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vsd" ContentType="application/vnd.visi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codeName="{00000000-0000-0000-0000-000000000000}"/>
  <workbookPr codeName="ThisWorkbook"/>
  <mc:AlternateContent xmlns:mc="http://schemas.openxmlformats.org/markup-compatibility/2006">
    <mc:Choice Requires="x15">
      <x15ac:absPath xmlns:x15ac="http://schemas.microsoft.com/office/spreadsheetml/2010/11/ac" url="C:\Users\MalekHattab\OneDrive - Acacus Computer Software House LLC\Desktop\SMART_ROOFSIGN_CONTROLLER\Documents\"/>
    </mc:Choice>
  </mc:AlternateContent>
  <xr:revisionPtr revIDLastSave="0" documentId="11_0BC083660A7212ED51B1F7854D7AF8D6B86BD2DC" xr6:coauthVersionLast="47" xr6:coauthVersionMax="47" xr10:uidLastSave="{00000000-0000-0000-0000-000000000000}"/>
  <workbookProtection workbookAlgorithmName="SHA-512" workbookHashValue="OVIqm0bcD2fUGq3B1Ar3c/zLWeSHTO5MMkIDMw6e6tpmvILVyyk/OuhmtIAyaYc/2pN5yld2qitEo/9fe99xJQ==" workbookSaltValue="v0//JnQ7d+sQWtmGhvEg2g==" workbookSpinCount="100000" lockStructure="1"/>
  <bookViews>
    <workbookView xWindow="0" yWindow="0" windowWidth="38400" windowHeight="17610" tabRatio="287" xr2:uid="{00000000-000D-0000-FFFF-FFFF00000000}"/>
  </bookViews>
  <sheets>
    <sheet name="Design Regulator" sheetId="1" r:id="rId1"/>
    <sheet name="Schematic &amp; BOM" sheetId="16" r:id="rId2"/>
    <sheet name="EVMs" sheetId="18" r:id="rId3"/>
    <sheet name="Variable Management" sheetId="2" state="hidden" r:id="rId4"/>
    <sheet name="Standard Value Calculator" sheetId="8" state="hidden" r:id="rId5"/>
    <sheet name="Bode Plots Calculations" sheetId="3" state="hidden" r:id="rId6"/>
    <sheet name="Schematic Management" sheetId="17" state="hidden" r:id="rId7"/>
    <sheet name="Power Calculations" sheetId="4" state="hidden" r:id="rId8"/>
    <sheet name="Snubber" sheetId="11" state="hidden" r:id="rId9"/>
    <sheet name="Parallel Output Caps" sheetId="6" state="hidden" r:id="rId10"/>
  </sheets>
  <definedNames>
    <definedName name="_Don1">'Variable Management'!$B$23</definedName>
    <definedName name="_Don2">'Variable Management'!$B$34</definedName>
    <definedName name="_Ren1">'Variable Management'!$B$94</definedName>
    <definedName name="_Rfb1">'Variable Management'!$B$126</definedName>
    <definedName name="_Rfb2">'Variable Management'!$B$127</definedName>
    <definedName name="_Rs1">'Variable Management'!$B$65</definedName>
    <definedName name="_Rs2">'Variable Management'!$B$64</definedName>
    <definedName name="_Rs3">'Variable Management'!$B$62</definedName>
    <definedName name="Cb">'Variable Management'!$B$119</definedName>
    <definedName name="Cby">'Variable Management'!$B$118</definedName>
    <definedName name="Cc1ea">'Variable Management'!$B$133</definedName>
    <definedName name="Cc1ea_u">'Variable Management'!$B$140</definedName>
    <definedName name="Cc2ea">'Variable Management'!$B$134</definedName>
    <definedName name="Cc2ea_u">'Variable Management'!$B$141</definedName>
    <definedName name="Cc3ea">'Variable Management'!$B$136</definedName>
    <definedName name="Cc3ea_u">'Variable Management'!$B$143</definedName>
    <definedName name="Cdd">'Variable Management'!$B$115</definedName>
    <definedName name="Cilim">'Variable Management'!$B$64</definedName>
    <definedName name="Cilim_ideal">'Variable Management'!$B$65</definedName>
    <definedName name="Cin">'Variable Management'!$B$81</definedName>
    <definedName name="Cin_Voltage_Rating">'Variable Management'!$S$66</definedName>
    <definedName name="CinEsrMax">'Variable Management'!$B$82</definedName>
    <definedName name="Core_Loss">'Design Regulator'!$M$77</definedName>
    <definedName name="CossBot">'Variable Management'!$B$202</definedName>
    <definedName name="CossTop">'Variable Management'!$B$190</definedName>
    <definedName name="Cout">'Variable Management'!$B$71</definedName>
    <definedName name="Cout_Voltage_Rating">'Variable Management'!$M$66</definedName>
    <definedName name="CoutEsr">'Variable Management'!$B$73</definedName>
    <definedName name="Coutmin">'Variable Management'!$B$70</definedName>
    <definedName name="Csb">'Variable Management'!$B$116</definedName>
    <definedName name="Csby">'Variable Management'!$B$117</definedName>
    <definedName name="Css">'Variable Management'!$B$90</definedName>
    <definedName name="Css_u">'Variable Management'!$B$91</definedName>
    <definedName name="DC_Current_Limit_Setpoint">'Variable Management'!$B$49</definedName>
    <definedName name="Deadtime">'Variable Management'!$B$181</definedName>
    <definedName name="Doff1">'Variable Management'!$B$24</definedName>
    <definedName name="Doff2">'Variable Management'!$B$35</definedName>
    <definedName name="Don_Vinmax">'Variable Management'!$B$27</definedName>
    <definedName name="Eadcg">'Variable Management'!$B$122</definedName>
    <definedName name="Fcross">'Variable Management'!$B$124</definedName>
    <definedName name="Fesr">'Variable Management'!$B$148</definedName>
    <definedName name="Fo">'Variable Management'!$B$146</definedName>
    <definedName name="Fp1_u">'Variable Management'!$B$151</definedName>
    <definedName name="Fp2_u">'Variable Management'!$B$152</definedName>
    <definedName name="Fsw">'Variable Management'!$B$12</definedName>
    <definedName name="Fz1_u">'Variable Management'!$B$149</definedName>
    <definedName name="Fz2_u">'Variable Management'!$B$150</definedName>
    <definedName name="GBP">'Variable Management'!$B$123</definedName>
    <definedName name="GmTop">'Variable Management'!$B$192</definedName>
    <definedName name="Icinrms">'Variable Management'!$B$79</definedName>
    <definedName name="Icoutrms">'Variable Management'!$B$69</definedName>
    <definedName name="Ilim1">'Variable Management'!$B$53</definedName>
    <definedName name="Ilim2">'Variable Management'!$B$54</definedName>
    <definedName name="ILimit">'Variable Management'!$B$50</definedName>
    <definedName name="Ilsat">'Variable Management'!$B$51</definedName>
    <definedName name="Iout">'Variable Management'!$B$11</definedName>
    <definedName name="Ipp">'Power Calculations'!$B$69</definedName>
    <definedName name="Iq">'Variable Management'!$B$183</definedName>
    <definedName name="Ireverse">'Variable Management'!$B$211</definedName>
    <definedName name="Iripple1">'Variable Management'!$B$42</definedName>
    <definedName name="Iss">'Variable Management'!$B$89</definedName>
    <definedName name="Iuvlo_hys">'Variable Management'!$B$109</definedName>
    <definedName name="Iuvlo1">'Variable Management'!$B$107</definedName>
    <definedName name="Iuvlo2">'Variable Management'!$B$108</definedName>
    <definedName name="Kmidband">'Variable Management'!$B$125</definedName>
    <definedName name="Lout1">'Variable Management'!$B$30</definedName>
    <definedName name="Lout2">'Variable Management'!$B$31</definedName>
    <definedName name="Ltc">'Variable Management'!$B$169</definedName>
    <definedName name="Pi">'Variable Management'!$B$154</definedName>
    <definedName name="PICTURE10">INDIRECT('Schematic Management'!$A$2)</definedName>
    <definedName name="PICTURE2" localSheetId="6">INDIRECT('Schematic Management'!$A$2)</definedName>
    <definedName name="_xlnm.Print_Area" localSheetId="0">'Design Regulator'!$A$1:$Q$106</definedName>
    <definedName name="_xlnm.Print_Area" localSheetId="1">'Schematic &amp; BOM'!$A$1:$J$68</definedName>
    <definedName name="Q">'Variable Management'!$B$147</definedName>
    <definedName name="QgBot">'Variable Management'!$B$200</definedName>
    <definedName name="QgdTop">'Variable Management'!$B$188</definedName>
    <definedName name="QgsTop">'Variable Management'!$B$189</definedName>
    <definedName name="QgTop">'Variable Management'!$B$187</definedName>
    <definedName name="QossBot">'Variable Management'!$B$201</definedName>
    <definedName name="QrrBot">'Variable Management'!$B$205</definedName>
    <definedName name="QrrSky">'Variable Management'!$B$210</definedName>
    <definedName name="Rcea1">'Variable Management'!$B$132</definedName>
    <definedName name="Rcea1_u">'Variable Management'!$B$139</definedName>
    <definedName name="Rcea2">'Variable Management'!$B$135</definedName>
    <definedName name="Rcea2_u">'Variable Management'!$B$142</definedName>
    <definedName name="RCinEsr">'Variable Management'!$B$83</definedName>
    <definedName name="RCoutEsr">'Variable Management'!$B$73</definedName>
    <definedName name="Rdcr">'Variable Management'!$B$32</definedName>
    <definedName name="RDSON_sense">'Variable Management'!$M$56</definedName>
    <definedName name="RdsonBot">'Variable Management'!$B$198</definedName>
    <definedName name="RdsonBotTc">'Variable Management'!$B$199</definedName>
    <definedName name="RdsonDRB">'Variable Management'!$B$178</definedName>
    <definedName name="RdsonDRB2">'Variable Management'!$B$179</definedName>
    <definedName name="RdsonDRT">'Variable Management'!$B$175</definedName>
    <definedName name="RdsonDRT2">'Variable Management'!$B$176</definedName>
    <definedName name="RdsonTop">'Variable Management'!$B$185</definedName>
    <definedName name="RdsonTopTc">'Variable Management'!$B$186</definedName>
    <definedName name="Resrmax">'Variable Management'!$B$72</definedName>
    <definedName name="Rfadj">'Variable Management'!$B$15</definedName>
    <definedName name="Rfb2_u">'Variable Management'!$B$128</definedName>
    <definedName name="Rfets">'Variable Management'!$B$156</definedName>
    <definedName name="RGateBot">'Variable Management'!$B$203</definedName>
    <definedName name="RGateTop">'Variable Management'!$B$191</definedName>
    <definedName name="Rh">'Variable Management'!$B$113</definedName>
    <definedName name="Rilim_Rdson">'Variable Management'!$B$56</definedName>
    <definedName name="Rilim_Rdson_ideal">'Variable Management'!$B$55</definedName>
    <definedName name="Rilim_shunt">'Variable Management'!$B$60</definedName>
    <definedName name="Rilim_shunt_ideal">'Variable Management'!$B$59</definedName>
    <definedName name="Ro">'Variable Management'!$B$153</definedName>
    <definedName name="Rpg">'Variable Management'!$B$111</definedName>
    <definedName name="Rsb">'Variable Management'!$B$112</definedName>
    <definedName name="Rshunt">'Variable Management'!$B$58</definedName>
    <definedName name="Ruvlo1">'Variable Management'!$B$97</definedName>
    <definedName name="Ruvlo2">'Variable Management'!$B$98</definedName>
    <definedName name="SCH_RDSON">'Schematic Management'!$B$5</definedName>
    <definedName name="SCH_SHUNT">'Schematic Management'!$B$8</definedName>
    <definedName name="Ta">'Variable Management'!$B$167</definedName>
    <definedName name="Tf">'Variable Management'!$B$217</definedName>
    <definedName name="ThetaCa">'Variable Management'!$B$170</definedName>
    <definedName name="ThetaJaBot">'Variable Management'!$B$207</definedName>
    <definedName name="ThetaJaCtrl">'Variable Management'!$B$213</definedName>
    <definedName name="ThetaJaTop">'Variable Management'!$B$196</definedName>
    <definedName name="TL">'Variable Management'!$B$44</definedName>
    <definedName name="Tr">'Variable Management'!$B$216</definedName>
    <definedName name="TrrBot">'Variable Management'!$B$206</definedName>
    <definedName name="Tss">'Variable Management'!$B$88</definedName>
    <definedName name="VARIANT">'Variable Management'!$V$12</definedName>
    <definedName name="Vdd">'Variable Management'!$B$173</definedName>
    <definedName name="VfdSky">'Variable Management'!$B$209</definedName>
    <definedName name="Vin">'Variable Management'!$B$7</definedName>
    <definedName name="VIN_MAX_RATING">'Variable Management'!$U$13</definedName>
    <definedName name="VIN_MIN_RATING">'Variable Management'!$U$14</definedName>
    <definedName name="Vinmax">'Variable Management'!$B$9</definedName>
    <definedName name="Vinmin">'Variable Management'!$B$8</definedName>
    <definedName name="Vinripple1">'Variable Management'!$B$78</definedName>
    <definedName name="Vinripple2">'Variable Management'!$B$84</definedName>
    <definedName name="VINuvlo_off">'Variable Management'!$B$96</definedName>
    <definedName name="VINuvlo_on">'Variable Management'!$B$95</definedName>
    <definedName name="Vout">'Variable Management'!$B$10</definedName>
    <definedName name="VOUT_MAX_RATING">'Variable Management'!$U$15</definedName>
    <definedName name="Vramp">'Variable Management'!$B$131</definedName>
    <definedName name="Vref">'Variable Management'!$B$14</definedName>
    <definedName name="Vripple1">'Variable Management'!$B$41</definedName>
    <definedName name="Vripple2">'Variable Management'!$B$74</definedName>
    <definedName name="VsdBot">'Variable Management'!$B$204</definedName>
    <definedName name="VsdTop">'Variable Management'!$B$195</definedName>
    <definedName name="VspTop">'Variable Management'!$B$194</definedName>
    <definedName name="VthTop">'Variable Management'!$B$193</definedName>
    <definedName name="Vuvlo_hys">'Variable Management'!$B$106</definedName>
    <definedName name="Vuvlo_off">'Variable Management'!$B$105</definedName>
    <definedName name="Vuvlo_on">'Variable Management'!$B$104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3" i="16" l="1"/>
  <c r="U15" i="2"/>
  <c r="C63" i="16"/>
  <c r="I63" i="16"/>
  <c r="U14" i="2"/>
  <c r="U13" i="2"/>
  <c r="U12" i="2"/>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129" i="4"/>
  <c r="P130" i="4"/>
  <c r="P131" i="4"/>
  <c r="P132" i="4"/>
  <c r="P133" i="4"/>
  <c r="P134" i="4"/>
  <c r="P135" i="4"/>
  <c r="P136" i="4"/>
  <c r="P137" i="4"/>
  <c r="P138" i="4"/>
  <c r="P139" i="4"/>
  <c r="P140" i="4"/>
  <c r="P141" i="4"/>
  <c r="P142" i="4"/>
  <c r="P143" i="4"/>
  <c r="P144" i="4"/>
  <c r="P145" i="4"/>
  <c r="P146" i="4"/>
  <c r="P147" i="4"/>
  <c r="P148" i="4"/>
  <c r="P149" i="4"/>
  <c r="P150" i="4"/>
  <c r="P151" i="4"/>
  <c r="P152" i="4"/>
  <c r="P153" i="4"/>
  <c r="P154" i="4"/>
  <c r="P155" i="4"/>
  <c r="P156" i="4"/>
  <c r="P157" i="4"/>
  <c r="P158" i="4"/>
  <c r="P159" i="4"/>
  <c r="P160" i="4"/>
  <c r="P161" i="4"/>
  <c r="P162" i="4"/>
  <c r="P163" i="4"/>
  <c r="P164" i="4"/>
  <c r="P165" i="4"/>
  <c r="P166" i="4"/>
  <c r="P167" i="4"/>
  <c r="P168" i="4"/>
  <c r="P169" i="4"/>
  <c r="P170" i="4"/>
  <c r="P171" i="4"/>
  <c r="P172" i="4"/>
  <c r="P173" i="4"/>
  <c r="P174" i="4"/>
  <c r="P175" i="4"/>
  <c r="P176" i="4"/>
  <c r="P177" i="4"/>
  <c r="P178" i="4"/>
  <c r="P179" i="4"/>
  <c r="P180" i="4"/>
  <c r="P181" i="4"/>
  <c r="P182" i="4"/>
  <c r="P183" i="4"/>
  <c r="P184" i="4"/>
  <c r="P185" i="4"/>
  <c r="P186" i="4"/>
  <c r="P187" i="4"/>
  <c r="P188" i="4"/>
  <c r="P189" i="4"/>
  <c r="P190" i="4"/>
  <c r="P191" i="4"/>
  <c r="P192" i="4"/>
  <c r="P193" i="4"/>
  <c r="P194" i="4"/>
  <c r="P195" i="4"/>
  <c r="P196" i="4"/>
  <c r="P197" i="4"/>
  <c r="P198" i="4"/>
  <c r="P199" i="4"/>
  <c r="P200" i="4"/>
  <c r="P201" i="4"/>
  <c r="P202" i="4"/>
  <c r="P203" i="4"/>
  <c r="P204" i="4"/>
  <c r="P205" i="4"/>
  <c r="P206" i="4"/>
  <c r="P207" i="4"/>
  <c r="P208" i="4"/>
  <c r="P209" i="4"/>
  <c r="P9" i="4"/>
  <c r="B249" i="2"/>
  <c r="F69" i="1"/>
  <c r="F68" i="1"/>
  <c r="F67" i="1"/>
  <c r="F66" i="1"/>
  <c r="A67" i="1"/>
  <c r="B190" i="2"/>
  <c r="B202" i="2"/>
  <c r="B201" i="2"/>
  <c r="L42" i="16"/>
  <c r="L59" i="16"/>
  <c r="A50" i="16"/>
  <c r="A49" i="16"/>
  <c r="L50" i="16"/>
  <c r="L49" i="16"/>
  <c r="A43" i="16"/>
  <c r="L43" i="16"/>
  <c r="C43" i="16"/>
  <c r="B13" i="2"/>
  <c r="B15" i="2"/>
  <c r="A270" i="2"/>
  <c r="A269" i="2"/>
  <c r="B12" i="2"/>
  <c r="K50" i="16"/>
  <c r="K49" i="16"/>
  <c r="K44" i="16"/>
  <c r="K43" i="16"/>
  <c r="L48" i="16"/>
  <c r="K48" i="16"/>
  <c r="L62" i="16"/>
  <c r="L61" i="16"/>
  <c r="L60" i="16"/>
  <c r="L58" i="16"/>
  <c r="L57" i="16"/>
  <c r="L56" i="16"/>
  <c r="L55" i="16"/>
  <c r="L54" i="16"/>
  <c r="L53" i="16"/>
  <c r="L52" i="16"/>
  <c r="K62" i="16"/>
  <c r="K61" i="16"/>
  <c r="K60" i="16"/>
  <c r="K58" i="16"/>
  <c r="K56" i="16"/>
  <c r="K57" i="16"/>
  <c r="K55" i="16"/>
  <c r="K54" i="16"/>
  <c r="K53" i="16"/>
  <c r="K52" i="16"/>
  <c r="L47" i="16"/>
  <c r="L46" i="16"/>
  <c r="L45" i="16"/>
  <c r="K47" i="16"/>
  <c r="K46" i="16"/>
  <c r="K45" i="16"/>
  <c r="L41" i="16"/>
  <c r="L40" i="16"/>
  <c r="K42" i="16"/>
  <c r="K41" i="16"/>
  <c r="K40" i="16"/>
  <c r="L39" i="16"/>
  <c r="K39" i="16"/>
  <c r="L38" i="16"/>
  <c r="K38" i="16"/>
  <c r="L56" i="2"/>
  <c r="L52" i="2"/>
  <c r="L86" i="2"/>
  <c r="N86" i="2"/>
  <c r="N74" i="2"/>
  <c r="L74" i="2"/>
  <c r="C59" i="16"/>
  <c r="C56" i="16"/>
  <c r="B49" i="2"/>
  <c r="B58" i="2"/>
  <c r="B8" i="2"/>
  <c r="B9" i="2"/>
  <c r="A2" i="17"/>
  <c r="B269" i="2"/>
  <c r="B281" i="2"/>
  <c r="S66" i="2"/>
  <c r="D43" i="16"/>
  <c r="D49" i="16"/>
  <c r="R66" i="2"/>
  <c r="I50" i="16"/>
  <c r="I49" i="16"/>
  <c r="B239" i="2"/>
  <c r="A239" i="2"/>
  <c r="D50" i="16"/>
  <c r="D56" i="16"/>
  <c r="D58" i="16"/>
  <c r="D62" i="16"/>
  <c r="C48" i="16"/>
  <c r="D47" i="16"/>
  <c r="D46" i="16"/>
  <c r="D38" i="16"/>
  <c r="B258" i="2"/>
  <c r="B95" i="2"/>
  <c r="B106" i="2"/>
  <c r="B109" i="2"/>
  <c r="B96" i="2"/>
  <c r="B97" i="2"/>
  <c r="R16" i="8"/>
  <c r="S16" i="8"/>
  <c r="D97" i="2"/>
  <c r="G97" i="2"/>
  <c r="D72" i="1"/>
  <c r="F97" i="2"/>
  <c r="B98" i="2"/>
  <c r="R17" i="8"/>
  <c r="S17" i="8"/>
  <c r="D98" i="2"/>
  <c r="B101" i="2"/>
  <c r="B689" i="3"/>
  <c r="N688" i="3"/>
  <c r="F98" i="2"/>
  <c r="E53" i="1"/>
  <c r="C61" i="16"/>
  <c r="D61" i="16"/>
  <c r="E52" i="1"/>
  <c r="C60" i="16"/>
  <c r="D60" i="16"/>
  <c r="G98" i="2"/>
  <c r="B100" i="2"/>
  <c r="B114" i="2"/>
  <c r="B73" i="2"/>
  <c r="E145" i="2"/>
  <c r="B124" i="2"/>
  <c r="B10" i="2"/>
  <c r="B11" i="2"/>
  <c r="B71" i="2"/>
  <c r="B31" i="2"/>
  <c r="B10" i="3"/>
  <c r="B11" i="3"/>
  <c r="B12" i="3"/>
  <c r="B13" i="3"/>
  <c r="B14" i="3"/>
  <c r="B15" i="3"/>
  <c r="B16" i="3"/>
  <c r="B17" i="3"/>
  <c r="B18" i="3"/>
  <c r="B9" i="3"/>
  <c r="B78" i="2"/>
  <c r="B210" i="2"/>
  <c r="B59" i="4"/>
  <c r="B191" i="2"/>
  <c r="J200" i="2"/>
  <c r="B238" i="2"/>
  <c r="B243" i="2"/>
  <c r="B32" i="2"/>
  <c r="B7" i="2"/>
  <c r="B81" i="2"/>
  <c r="B185" i="2"/>
  <c r="B37" i="4"/>
  <c r="B198" i="2"/>
  <c r="B49" i="4"/>
  <c r="B126" i="2"/>
  <c r="AJ350" i="3"/>
  <c r="B207" i="2"/>
  <c r="B56" i="4"/>
  <c r="B209" i="2"/>
  <c r="B58" i="4"/>
  <c r="B204" i="2"/>
  <c r="AG3" i="4"/>
  <c r="B88" i="2"/>
  <c r="B187" i="2"/>
  <c r="B200" i="2"/>
  <c r="B51" i="4"/>
  <c r="B205" i="2"/>
  <c r="B195" i="2"/>
  <c r="B46" i="4"/>
  <c r="B60" i="4"/>
  <c r="B188" i="2"/>
  <c r="B40" i="4"/>
  <c r="B189" i="2"/>
  <c r="B41" i="4"/>
  <c r="B193" i="2"/>
  <c r="B44" i="4"/>
  <c r="B192" i="2"/>
  <c r="B43" i="4"/>
  <c r="B279" i="2"/>
  <c r="B196" i="2"/>
  <c r="B47" i="4"/>
  <c r="B169" i="2"/>
  <c r="B83" i="2"/>
  <c r="B23" i="4"/>
  <c r="B186" i="2"/>
  <c r="B199" i="2"/>
  <c r="D6" i="6"/>
  <c r="D7" i="6"/>
  <c r="D9" i="6"/>
  <c r="D10" i="6"/>
  <c r="D2" i="11"/>
  <c r="D3" i="11"/>
  <c r="B5" i="11"/>
  <c r="D5" i="11"/>
  <c r="B15" i="4"/>
  <c r="B20" i="4"/>
  <c r="B21" i="4"/>
  <c r="B35" i="4"/>
  <c r="B52" i="4"/>
  <c r="B55" i="4"/>
  <c r="AR9" i="3"/>
  <c r="A34" i="8"/>
  <c r="A46" i="8"/>
  <c r="A58" i="8"/>
  <c r="A70" i="8"/>
  <c r="A82" i="8"/>
  <c r="A94" i="8"/>
  <c r="A106" i="8"/>
  <c r="A118" i="8"/>
  <c r="A130" i="8"/>
  <c r="A142" i="8"/>
  <c r="A154" i="8"/>
  <c r="A35" i="8"/>
  <c r="A47" i="8"/>
  <c r="A59" i="8"/>
  <c r="A71" i="8"/>
  <c r="A83" i="8"/>
  <c r="A95" i="8"/>
  <c r="A107" i="8"/>
  <c r="A119" i="8"/>
  <c r="A131" i="8"/>
  <c r="A143" i="8"/>
  <c r="A155" i="8"/>
  <c r="A36" i="8"/>
  <c r="A48" i="8"/>
  <c r="A60" i="8"/>
  <c r="A72" i="8"/>
  <c r="A84" i="8"/>
  <c r="A96" i="8"/>
  <c r="A108" i="8"/>
  <c r="A120" i="8"/>
  <c r="A132" i="8"/>
  <c r="A144" i="8"/>
  <c r="A156" i="8"/>
  <c r="A37" i="8"/>
  <c r="A49" i="8"/>
  <c r="A61" i="8"/>
  <c r="A73" i="8"/>
  <c r="A85" i="8"/>
  <c r="A97" i="8"/>
  <c r="A109" i="8"/>
  <c r="A121" i="8"/>
  <c r="A133" i="8"/>
  <c r="A145" i="8"/>
  <c r="A157" i="8"/>
  <c r="A38" i="8"/>
  <c r="A39" i="8"/>
  <c r="A40" i="8"/>
  <c r="A41" i="8"/>
  <c r="A42" i="8"/>
  <c r="A54" i="8"/>
  <c r="A66" i="8"/>
  <c r="A78" i="8"/>
  <c r="A90" i="8"/>
  <c r="A102" i="8"/>
  <c r="A114" i="8"/>
  <c r="A126" i="8"/>
  <c r="A138" i="8"/>
  <c r="A150" i="8"/>
  <c r="A43" i="8"/>
  <c r="A55" i="8"/>
  <c r="A67" i="8"/>
  <c r="A79" i="8"/>
  <c r="A91" i="8"/>
  <c r="A103" i="8"/>
  <c r="A115" i="8"/>
  <c r="A127" i="8"/>
  <c r="A139" i="8"/>
  <c r="A151" i="8"/>
  <c r="A44" i="8"/>
  <c r="A56" i="8"/>
  <c r="A68" i="8"/>
  <c r="A80" i="8"/>
  <c r="A92" i="8"/>
  <c r="A104" i="8"/>
  <c r="A116" i="8"/>
  <c r="A128" i="8"/>
  <c r="A140" i="8"/>
  <c r="A152" i="8"/>
  <c r="A45" i="8"/>
  <c r="A57" i="8"/>
  <c r="A69" i="8"/>
  <c r="A81" i="8"/>
  <c r="A93" i="8"/>
  <c r="A105" i="8"/>
  <c r="A117" i="8"/>
  <c r="A129" i="8"/>
  <c r="A141" i="8"/>
  <c r="A153" i="8"/>
  <c r="A50" i="8"/>
  <c r="A62" i="8"/>
  <c r="A74" i="8"/>
  <c r="A86" i="8"/>
  <c r="A98" i="8"/>
  <c r="A110" i="8"/>
  <c r="A122" i="8"/>
  <c r="A134" i="8"/>
  <c r="A146" i="8"/>
  <c r="A158" i="8"/>
  <c r="A51" i="8"/>
  <c r="A63" i="8"/>
  <c r="A75" i="8"/>
  <c r="A87" i="8"/>
  <c r="A99" i="8"/>
  <c r="A111" i="8"/>
  <c r="A123" i="8"/>
  <c r="A135" i="8"/>
  <c r="A147" i="8"/>
  <c r="A159" i="8"/>
  <c r="A52" i="8"/>
  <c r="A64" i="8"/>
  <c r="A76" i="8"/>
  <c r="A88" i="8"/>
  <c r="A100" i="8"/>
  <c r="A112" i="8"/>
  <c r="A124" i="8"/>
  <c r="A136" i="8"/>
  <c r="A148" i="8"/>
  <c r="A53" i="8"/>
  <c r="A65" i="8"/>
  <c r="A77" i="8"/>
  <c r="A89" i="8"/>
  <c r="A101" i="8"/>
  <c r="A113" i="8"/>
  <c r="A125" i="8"/>
  <c r="A137" i="8"/>
  <c r="A149" i="8"/>
  <c r="AQ9" i="3"/>
  <c r="AR10" i="3"/>
  <c r="AQ10" i="3"/>
  <c r="AR11" i="3"/>
  <c r="AQ11" i="3"/>
  <c r="AR12" i="3"/>
  <c r="AQ12" i="3"/>
  <c r="AR13" i="3"/>
  <c r="AQ13" i="3"/>
  <c r="AR14" i="3"/>
  <c r="AQ14" i="3"/>
  <c r="AR15" i="3"/>
  <c r="AQ15" i="3"/>
  <c r="AR16" i="3"/>
  <c r="AQ16" i="3"/>
  <c r="AR17" i="3"/>
  <c r="AQ17" i="3"/>
  <c r="AR18" i="3"/>
  <c r="AQ18" i="3"/>
  <c r="A19" i="3"/>
  <c r="B19" i="3"/>
  <c r="A20" i="3"/>
  <c r="B20" i="3"/>
  <c r="AR20" i="3"/>
  <c r="A21" i="3"/>
  <c r="B21" i="3"/>
  <c r="AR21" i="3"/>
  <c r="A22" i="3"/>
  <c r="A31" i="3"/>
  <c r="A23" i="3"/>
  <c r="AQ23" i="3"/>
  <c r="A24" i="3"/>
  <c r="B24" i="3"/>
  <c r="A25" i="3"/>
  <c r="A34" i="3"/>
  <c r="A26" i="3"/>
  <c r="AQ26" i="3"/>
  <c r="A27" i="3"/>
  <c r="A36" i="3"/>
  <c r="A30" i="3"/>
  <c r="AQ30" i="3"/>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AA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N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N213" i="3"/>
  <c r="N214" i="3"/>
  <c r="N215" i="3"/>
  <c r="N216" i="3"/>
  <c r="N217" i="3"/>
  <c r="N218" i="3"/>
  <c r="N219" i="3"/>
  <c r="N220" i="3"/>
  <c r="N221" i="3"/>
  <c r="N222" i="3"/>
  <c r="N223" i="3"/>
  <c r="N224" i="3"/>
  <c r="N225" i="3"/>
  <c r="N226" i="3"/>
  <c r="N227" i="3"/>
  <c r="N228" i="3"/>
  <c r="N229" i="3"/>
  <c r="N230" i="3"/>
  <c r="N231" i="3"/>
  <c r="N232" i="3"/>
  <c r="N233" i="3"/>
  <c r="N234" i="3"/>
  <c r="N235" i="3"/>
  <c r="N236" i="3"/>
  <c r="N237" i="3"/>
  <c r="N238" i="3"/>
  <c r="N239" i="3"/>
  <c r="N240" i="3"/>
  <c r="N241" i="3"/>
  <c r="N242" i="3"/>
  <c r="N243" i="3"/>
  <c r="N244" i="3"/>
  <c r="N245" i="3"/>
  <c r="N246" i="3"/>
  <c r="N247" i="3"/>
  <c r="N248" i="3"/>
  <c r="N249" i="3"/>
  <c r="N250" i="3"/>
  <c r="N251" i="3"/>
  <c r="N252" i="3"/>
  <c r="N253" i="3"/>
  <c r="N254" i="3"/>
  <c r="N255" i="3"/>
  <c r="N256" i="3"/>
  <c r="N257" i="3"/>
  <c r="N258" i="3"/>
  <c r="N259" i="3"/>
  <c r="N260" i="3"/>
  <c r="N261" i="3"/>
  <c r="N262" i="3"/>
  <c r="N263" i="3"/>
  <c r="N264" i="3"/>
  <c r="N265" i="3"/>
  <c r="N266" i="3"/>
  <c r="N267" i="3"/>
  <c r="N268" i="3"/>
  <c r="N269" i="3"/>
  <c r="N270" i="3"/>
  <c r="N271" i="3"/>
  <c r="N272" i="3"/>
  <c r="N273" i="3"/>
  <c r="N274" i="3"/>
  <c r="N275" i="3"/>
  <c r="N276" i="3"/>
  <c r="N277" i="3"/>
  <c r="N278" i="3"/>
  <c r="N279" i="3"/>
  <c r="N280" i="3"/>
  <c r="N281" i="3"/>
  <c r="N282" i="3"/>
  <c r="N283" i="3"/>
  <c r="N284" i="3"/>
  <c r="N285" i="3"/>
  <c r="N286" i="3"/>
  <c r="N287" i="3"/>
  <c r="N288" i="3"/>
  <c r="N289" i="3"/>
  <c r="N290" i="3"/>
  <c r="N291" i="3"/>
  <c r="N292" i="3"/>
  <c r="N293" i="3"/>
  <c r="N294" i="3"/>
  <c r="N295" i="3"/>
  <c r="N296" i="3"/>
  <c r="N297" i="3"/>
  <c r="N298" i="3"/>
  <c r="N299" i="3"/>
  <c r="N300" i="3"/>
  <c r="N301" i="3"/>
  <c r="N302" i="3"/>
  <c r="N303" i="3"/>
  <c r="N304" i="3"/>
  <c r="N305" i="3"/>
  <c r="N306" i="3"/>
  <c r="N307" i="3"/>
  <c r="N308" i="3"/>
  <c r="N309" i="3"/>
  <c r="N310" i="3"/>
  <c r="N311" i="3"/>
  <c r="N312" i="3"/>
  <c r="N313" i="3"/>
  <c r="N314" i="3"/>
  <c r="N315" i="3"/>
  <c r="N316" i="3"/>
  <c r="N317" i="3"/>
  <c r="N318" i="3"/>
  <c r="N319" i="3"/>
  <c r="N320" i="3"/>
  <c r="N321" i="3"/>
  <c r="N322" i="3"/>
  <c r="N323" i="3"/>
  <c r="N324" i="3"/>
  <c r="N325" i="3"/>
  <c r="N326" i="3"/>
  <c r="N327" i="3"/>
  <c r="N328" i="3"/>
  <c r="N329" i="3"/>
  <c r="N330" i="3"/>
  <c r="N331" i="3"/>
  <c r="N332" i="3"/>
  <c r="N333" i="3"/>
  <c r="N334" i="3"/>
  <c r="N335" i="3"/>
  <c r="N336" i="3"/>
  <c r="N337" i="3"/>
  <c r="N338" i="3"/>
  <c r="N339" i="3"/>
  <c r="N340" i="3"/>
  <c r="N341" i="3"/>
  <c r="N342" i="3"/>
  <c r="N343" i="3"/>
  <c r="N344" i="3"/>
  <c r="N345" i="3"/>
  <c r="N346" i="3"/>
  <c r="N347" i="3"/>
  <c r="N348" i="3"/>
  <c r="N349" i="3"/>
  <c r="N350" i="3"/>
  <c r="N351" i="3"/>
  <c r="N352" i="3"/>
  <c r="N353" i="3"/>
  <c r="N354" i="3"/>
  <c r="N355" i="3"/>
  <c r="N356" i="3"/>
  <c r="N357" i="3"/>
  <c r="N358" i="3"/>
  <c r="N359" i="3"/>
  <c r="N360" i="3"/>
  <c r="N361" i="3"/>
  <c r="N362" i="3"/>
  <c r="N363" i="3"/>
  <c r="N364" i="3"/>
  <c r="N365" i="3"/>
  <c r="N366" i="3"/>
  <c r="N367" i="3"/>
  <c r="N368" i="3"/>
  <c r="N369" i="3"/>
  <c r="N370" i="3"/>
  <c r="N371" i="3"/>
  <c r="N372" i="3"/>
  <c r="N373" i="3"/>
  <c r="N374" i="3"/>
  <c r="N375" i="3"/>
  <c r="N376" i="3"/>
  <c r="N377" i="3"/>
  <c r="N378" i="3"/>
  <c r="N379" i="3"/>
  <c r="N380" i="3"/>
  <c r="N381" i="3"/>
  <c r="N382" i="3"/>
  <c r="N383" i="3"/>
  <c r="N384" i="3"/>
  <c r="N385" i="3"/>
  <c r="N386" i="3"/>
  <c r="N387" i="3"/>
  <c r="N388" i="3"/>
  <c r="N389" i="3"/>
  <c r="N390" i="3"/>
  <c r="N391" i="3"/>
  <c r="N392" i="3"/>
  <c r="N393" i="3"/>
  <c r="N394" i="3"/>
  <c r="N395" i="3"/>
  <c r="N396" i="3"/>
  <c r="N397" i="3"/>
  <c r="N398" i="3"/>
  <c r="N399" i="3"/>
  <c r="N400" i="3"/>
  <c r="N401" i="3"/>
  <c r="N402" i="3"/>
  <c r="N403" i="3"/>
  <c r="N404" i="3"/>
  <c r="N405" i="3"/>
  <c r="N406" i="3"/>
  <c r="N407" i="3"/>
  <c r="N408" i="3"/>
  <c r="N409" i="3"/>
  <c r="N410" i="3"/>
  <c r="N411" i="3"/>
  <c r="N412" i="3"/>
  <c r="N413" i="3"/>
  <c r="N414" i="3"/>
  <c r="N415" i="3"/>
  <c r="N416" i="3"/>
  <c r="N417" i="3"/>
  <c r="N418" i="3"/>
  <c r="N419" i="3"/>
  <c r="N420" i="3"/>
  <c r="N421" i="3"/>
  <c r="N422" i="3"/>
  <c r="N423" i="3"/>
  <c r="N424" i="3"/>
  <c r="N425" i="3"/>
  <c r="N426" i="3"/>
  <c r="N427" i="3"/>
  <c r="N428" i="3"/>
  <c r="N429" i="3"/>
  <c r="N430" i="3"/>
  <c r="N431" i="3"/>
  <c r="N432" i="3"/>
  <c r="N433" i="3"/>
  <c r="N434" i="3"/>
  <c r="N435" i="3"/>
  <c r="N436" i="3"/>
  <c r="N437" i="3"/>
  <c r="N438" i="3"/>
  <c r="N439" i="3"/>
  <c r="N440" i="3"/>
  <c r="N441" i="3"/>
  <c r="N442" i="3"/>
  <c r="N443" i="3"/>
  <c r="N444" i="3"/>
  <c r="N445" i="3"/>
  <c r="N446" i="3"/>
  <c r="N447" i="3"/>
  <c r="N448" i="3"/>
  <c r="N449" i="3"/>
  <c r="N450" i="3"/>
  <c r="N451" i="3"/>
  <c r="N452" i="3"/>
  <c r="N453" i="3"/>
  <c r="N454" i="3"/>
  <c r="N455" i="3"/>
  <c r="N456" i="3"/>
  <c r="N457" i="3"/>
  <c r="N458" i="3"/>
  <c r="N459" i="3"/>
  <c r="N460" i="3"/>
  <c r="N461" i="3"/>
  <c r="N462" i="3"/>
  <c r="N463" i="3"/>
  <c r="N464" i="3"/>
  <c r="N465" i="3"/>
  <c r="N466" i="3"/>
  <c r="N467" i="3"/>
  <c r="N468" i="3"/>
  <c r="N469" i="3"/>
  <c r="N470" i="3"/>
  <c r="N471" i="3"/>
  <c r="N472" i="3"/>
  <c r="N473" i="3"/>
  <c r="N474" i="3"/>
  <c r="N475" i="3"/>
  <c r="N476" i="3"/>
  <c r="N477" i="3"/>
  <c r="N478" i="3"/>
  <c r="N479" i="3"/>
  <c r="N480" i="3"/>
  <c r="N481" i="3"/>
  <c r="N482" i="3"/>
  <c r="N483" i="3"/>
  <c r="N484" i="3"/>
  <c r="N485" i="3"/>
  <c r="N486" i="3"/>
  <c r="N487" i="3"/>
  <c r="N488" i="3"/>
  <c r="N489" i="3"/>
  <c r="N490" i="3"/>
  <c r="N491" i="3"/>
  <c r="N492" i="3"/>
  <c r="N493" i="3"/>
  <c r="N494" i="3"/>
  <c r="N495" i="3"/>
  <c r="N496" i="3"/>
  <c r="N497" i="3"/>
  <c r="N498" i="3"/>
  <c r="N499" i="3"/>
  <c r="N500" i="3"/>
  <c r="N501" i="3"/>
  <c r="N502" i="3"/>
  <c r="N503" i="3"/>
  <c r="N504" i="3"/>
  <c r="N505" i="3"/>
  <c r="N506" i="3"/>
  <c r="N507" i="3"/>
  <c r="N508" i="3"/>
  <c r="N509" i="3"/>
  <c r="N510" i="3"/>
  <c r="N511" i="3"/>
  <c r="N512" i="3"/>
  <c r="N513" i="3"/>
  <c r="N514" i="3"/>
  <c r="N515" i="3"/>
  <c r="N516" i="3"/>
  <c r="N517" i="3"/>
  <c r="N518" i="3"/>
  <c r="N519" i="3"/>
  <c r="N520" i="3"/>
  <c r="N521" i="3"/>
  <c r="N522" i="3"/>
  <c r="N523" i="3"/>
  <c r="N524" i="3"/>
  <c r="N525" i="3"/>
  <c r="N526" i="3"/>
  <c r="N527" i="3"/>
  <c r="N528" i="3"/>
  <c r="N529" i="3"/>
  <c r="N530" i="3"/>
  <c r="N531" i="3"/>
  <c r="N532" i="3"/>
  <c r="N533" i="3"/>
  <c r="N534" i="3"/>
  <c r="N535" i="3"/>
  <c r="N536" i="3"/>
  <c r="N537" i="3"/>
  <c r="N538" i="3"/>
  <c r="N539" i="3"/>
  <c r="N540" i="3"/>
  <c r="N541" i="3"/>
  <c r="N542" i="3"/>
  <c r="N543" i="3"/>
  <c r="N544" i="3"/>
  <c r="N545" i="3"/>
  <c r="N546" i="3"/>
  <c r="N547" i="3"/>
  <c r="N548" i="3"/>
  <c r="N549" i="3"/>
  <c r="N550" i="3"/>
  <c r="N551" i="3"/>
  <c r="N552" i="3"/>
  <c r="N553" i="3"/>
  <c r="N554" i="3"/>
  <c r="N555" i="3"/>
  <c r="N556" i="3"/>
  <c r="N557" i="3"/>
  <c r="N558" i="3"/>
  <c r="N559" i="3"/>
  <c r="N560" i="3"/>
  <c r="N561" i="3"/>
  <c r="N562" i="3"/>
  <c r="N563" i="3"/>
  <c r="N564" i="3"/>
  <c r="N565" i="3"/>
  <c r="N566" i="3"/>
  <c r="N567" i="3"/>
  <c r="N568" i="3"/>
  <c r="N569" i="3"/>
  <c r="N570" i="3"/>
  <c r="N571" i="3"/>
  <c r="N572" i="3"/>
  <c r="N573" i="3"/>
  <c r="N574" i="3"/>
  <c r="N575" i="3"/>
  <c r="N576" i="3"/>
  <c r="N577" i="3"/>
  <c r="N578" i="3"/>
  <c r="N579" i="3"/>
  <c r="N580" i="3"/>
  <c r="N581" i="3"/>
  <c r="N582" i="3"/>
  <c r="N583" i="3"/>
  <c r="N584" i="3"/>
  <c r="N585" i="3"/>
  <c r="N586" i="3"/>
  <c r="N587" i="3"/>
  <c r="N588" i="3"/>
  <c r="N589" i="3"/>
  <c r="N590" i="3"/>
  <c r="N591" i="3"/>
  <c r="N592" i="3"/>
  <c r="N593" i="3"/>
  <c r="N594" i="3"/>
  <c r="N595" i="3"/>
  <c r="N596" i="3"/>
  <c r="N597" i="3"/>
  <c r="N598" i="3"/>
  <c r="N599" i="3"/>
  <c r="N600" i="3"/>
  <c r="N601" i="3"/>
  <c r="N602" i="3"/>
  <c r="N603" i="3"/>
  <c r="N604" i="3"/>
  <c r="N605" i="3"/>
  <c r="N606" i="3"/>
  <c r="N607" i="3"/>
  <c r="N608" i="3"/>
  <c r="N609" i="3"/>
  <c r="N610" i="3"/>
  <c r="N611" i="3"/>
  <c r="N612" i="3"/>
  <c r="N613" i="3"/>
  <c r="N614" i="3"/>
  <c r="N615" i="3"/>
  <c r="N616" i="3"/>
  <c r="N617" i="3"/>
  <c r="N618" i="3"/>
  <c r="N619" i="3"/>
  <c r="N620" i="3"/>
  <c r="N621" i="3"/>
  <c r="N622" i="3"/>
  <c r="N623" i="3"/>
  <c r="N624" i="3"/>
  <c r="N625" i="3"/>
  <c r="N626" i="3"/>
  <c r="N627" i="3"/>
  <c r="N628" i="3"/>
  <c r="N629" i="3"/>
  <c r="N630" i="3"/>
  <c r="N631" i="3"/>
  <c r="N632" i="3"/>
  <c r="N633" i="3"/>
  <c r="N634" i="3"/>
  <c r="N635" i="3"/>
  <c r="N636" i="3"/>
  <c r="N637" i="3"/>
  <c r="N638" i="3"/>
  <c r="N639" i="3"/>
  <c r="N640" i="3"/>
  <c r="N641" i="3"/>
  <c r="N642" i="3"/>
  <c r="N643" i="3"/>
  <c r="N644" i="3"/>
  <c r="N645" i="3"/>
  <c r="N646" i="3"/>
  <c r="N647" i="3"/>
  <c r="N648" i="3"/>
  <c r="N649" i="3"/>
  <c r="N650" i="3"/>
  <c r="N651" i="3"/>
  <c r="N652" i="3"/>
  <c r="N653" i="3"/>
  <c r="N654" i="3"/>
  <c r="N655" i="3"/>
  <c r="N656" i="3"/>
  <c r="N657" i="3"/>
  <c r="N658" i="3"/>
  <c r="N659" i="3"/>
  <c r="N660" i="3"/>
  <c r="N661" i="3"/>
  <c r="N662" i="3"/>
  <c r="N663" i="3"/>
  <c r="N664" i="3"/>
  <c r="N665" i="3"/>
  <c r="N666" i="3"/>
  <c r="N667" i="3"/>
  <c r="N668" i="3"/>
  <c r="N669" i="3"/>
  <c r="N670" i="3"/>
  <c r="N671" i="3"/>
  <c r="N672" i="3"/>
  <c r="N673" i="3"/>
  <c r="N674" i="3"/>
  <c r="N675" i="3"/>
  <c r="N676" i="3"/>
  <c r="BD677" i="3"/>
  <c r="BD678" i="3"/>
  <c r="BK679" i="3"/>
  <c r="N682" i="3"/>
  <c r="N683" i="3"/>
  <c r="N684" i="3"/>
  <c r="N685" i="3"/>
  <c r="N686" i="3"/>
  <c r="N687" i="3"/>
  <c r="I3" i="8"/>
  <c r="J3" i="8"/>
  <c r="K3" i="8"/>
  <c r="L3" i="8"/>
  <c r="M3" i="8"/>
  <c r="N3" i="8"/>
  <c r="N4" i="8"/>
  <c r="B41" i="2"/>
  <c r="A238" i="2"/>
  <c r="A241" i="2"/>
  <c r="B241" i="2"/>
  <c r="A243" i="2"/>
  <c r="A258" i="2"/>
  <c r="AQ27" i="3"/>
  <c r="AQ21" i="3"/>
  <c r="AQ19" i="3"/>
  <c r="B278" i="2"/>
  <c r="B31" i="3"/>
  <c r="B25" i="3"/>
  <c r="AQ36" i="3"/>
  <c r="A32" i="3"/>
  <c r="AQ32" i="3"/>
  <c r="AR22" i="3"/>
  <c r="AQ20" i="3"/>
  <c r="B30" i="3"/>
  <c r="B22" i="3"/>
  <c r="A37" i="3"/>
  <c r="AR37" i="3"/>
  <c r="AR27" i="3"/>
  <c r="AQ22" i="3"/>
  <c r="AR19" i="3"/>
  <c r="B32" i="3"/>
  <c r="AR32" i="3"/>
  <c r="B23" i="3"/>
  <c r="AR23" i="3"/>
  <c r="A35" i="3"/>
  <c r="AR24" i="3"/>
  <c r="AR25" i="3"/>
  <c r="A33" i="3"/>
  <c r="A28" i="3"/>
  <c r="B4" i="11"/>
  <c r="D4" i="11"/>
  <c r="B6" i="11"/>
  <c r="D6" i="11"/>
  <c r="AR26" i="3"/>
  <c r="A29" i="3"/>
  <c r="AQ29" i="3"/>
  <c r="AR30" i="3"/>
  <c r="AQ25" i="3"/>
  <c r="B26" i="3"/>
  <c r="N44" i="2"/>
  <c r="M44" i="2"/>
  <c r="C242" i="2"/>
  <c r="H10" i="4"/>
  <c r="H14" i="4"/>
  <c r="H18" i="4"/>
  <c r="H22" i="4"/>
  <c r="H26" i="4"/>
  <c r="H30" i="4"/>
  <c r="H34" i="4"/>
  <c r="H38" i="4"/>
  <c r="H42" i="4"/>
  <c r="H46" i="4"/>
  <c r="H50" i="4"/>
  <c r="H54" i="4"/>
  <c r="H58" i="4"/>
  <c r="H62" i="4"/>
  <c r="H66" i="4"/>
  <c r="H70" i="4"/>
  <c r="H74" i="4"/>
  <c r="H78" i="4"/>
  <c r="H82" i="4"/>
  <c r="H86" i="4"/>
  <c r="H90" i="4"/>
  <c r="H94" i="4"/>
  <c r="H98" i="4"/>
  <c r="H102" i="4"/>
  <c r="H106" i="4"/>
  <c r="H110" i="4"/>
  <c r="AI110" i="4"/>
  <c r="H114" i="4"/>
  <c r="AI114" i="4"/>
  <c r="H118" i="4"/>
  <c r="AI118" i="4"/>
  <c r="H122" i="4"/>
  <c r="AI122" i="4"/>
  <c r="H126" i="4"/>
  <c r="AI126" i="4"/>
  <c r="H130" i="4"/>
  <c r="AI130" i="4"/>
  <c r="H134" i="4"/>
  <c r="AI134" i="4"/>
  <c r="H138" i="4"/>
  <c r="AI138" i="4"/>
  <c r="H142" i="4"/>
  <c r="AI142" i="4"/>
  <c r="H146" i="4"/>
  <c r="AI146" i="4"/>
  <c r="H150" i="4"/>
  <c r="AI150" i="4"/>
  <c r="H154" i="4"/>
  <c r="AI154" i="4"/>
  <c r="H158" i="4"/>
  <c r="AI158" i="4"/>
  <c r="H162" i="4"/>
  <c r="AI162" i="4"/>
  <c r="H166" i="4"/>
  <c r="AI166" i="4"/>
  <c r="H170" i="4"/>
  <c r="AI170" i="4"/>
  <c r="H174" i="4"/>
  <c r="AI174" i="4"/>
  <c r="H178" i="4"/>
  <c r="AI178" i="4"/>
  <c r="H182" i="4"/>
  <c r="AI182" i="4"/>
  <c r="H186" i="4"/>
  <c r="AI186" i="4"/>
  <c r="H190" i="4"/>
  <c r="AI190" i="4"/>
  <c r="H194" i="4"/>
  <c r="AI194" i="4"/>
  <c r="H198" i="4"/>
  <c r="AI198" i="4"/>
  <c r="H202" i="4"/>
  <c r="AI202" i="4"/>
  <c r="H206" i="4"/>
  <c r="AI206" i="4"/>
  <c r="H9" i="4"/>
  <c r="H11" i="4"/>
  <c r="H23" i="4"/>
  <c r="H31" i="4"/>
  <c r="H35" i="4"/>
  <c r="H43" i="4"/>
  <c r="H51" i="4"/>
  <c r="H59" i="4"/>
  <c r="H63" i="4"/>
  <c r="H71" i="4"/>
  <c r="H79" i="4"/>
  <c r="H87" i="4"/>
  <c r="H99" i="4"/>
  <c r="H107" i="4"/>
  <c r="H115" i="4"/>
  <c r="AI115" i="4"/>
  <c r="H123" i="4"/>
  <c r="AI123" i="4"/>
  <c r="H131" i="4"/>
  <c r="AI131" i="4"/>
  <c r="H139" i="4"/>
  <c r="AI139" i="4"/>
  <c r="H147" i="4"/>
  <c r="AI147" i="4"/>
  <c r="H155" i="4"/>
  <c r="AI155" i="4"/>
  <c r="H163" i="4"/>
  <c r="AI163" i="4"/>
  <c r="H171" i="4"/>
  <c r="AI171" i="4"/>
  <c r="H183" i="4"/>
  <c r="AI183" i="4"/>
  <c r="H191" i="4"/>
  <c r="AI191" i="4"/>
  <c r="H199" i="4"/>
  <c r="AI199" i="4"/>
  <c r="H207" i="4"/>
  <c r="AI207" i="4"/>
  <c r="H13" i="4"/>
  <c r="H17" i="4"/>
  <c r="H21" i="4"/>
  <c r="H25" i="4"/>
  <c r="H29" i="4"/>
  <c r="H33" i="4"/>
  <c r="H37" i="4"/>
  <c r="H41" i="4"/>
  <c r="H45" i="4"/>
  <c r="H49" i="4"/>
  <c r="H53" i="4"/>
  <c r="H57" i="4"/>
  <c r="H61" i="4"/>
  <c r="H65" i="4"/>
  <c r="H69" i="4"/>
  <c r="H73" i="4"/>
  <c r="H77" i="4"/>
  <c r="H81" i="4"/>
  <c r="H85" i="4"/>
  <c r="AI85" i="4"/>
  <c r="H89" i="4"/>
  <c r="H93" i="4"/>
  <c r="H97" i="4"/>
  <c r="H101" i="4"/>
  <c r="H105" i="4"/>
  <c r="H109" i="4"/>
  <c r="H113" i="4"/>
  <c r="AI113" i="4"/>
  <c r="H117" i="4"/>
  <c r="AI117" i="4"/>
  <c r="H121" i="4"/>
  <c r="AI121" i="4"/>
  <c r="H125" i="4"/>
  <c r="AI125" i="4"/>
  <c r="H129" i="4"/>
  <c r="AI129" i="4"/>
  <c r="H133" i="4"/>
  <c r="AI133" i="4"/>
  <c r="H137" i="4"/>
  <c r="AI137" i="4"/>
  <c r="H141" i="4"/>
  <c r="AI141" i="4"/>
  <c r="H145" i="4"/>
  <c r="AI145" i="4"/>
  <c r="H149" i="4"/>
  <c r="AI149" i="4"/>
  <c r="H153" i="4"/>
  <c r="AI153" i="4"/>
  <c r="H157" i="4"/>
  <c r="AI157" i="4"/>
  <c r="H161" i="4"/>
  <c r="AI161" i="4"/>
  <c r="H165" i="4"/>
  <c r="AI165" i="4"/>
  <c r="H169" i="4"/>
  <c r="AI169" i="4"/>
  <c r="H173" i="4"/>
  <c r="AI173" i="4"/>
  <c r="H177" i="4"/>
  <c r="AI177" i="4"/>
  <c r="H181" i="4"/>
  <c r="AI181" i="4"/>
  <c r="H185" i="4"/>
  <c r="AI185" i="4"/>
  <c r="H189" i="4"/>
  <c r="AI189" i="4"/>
  <c r="H193" i="4"/>
  <c r="AI193" i="4"/>
  <c r="H197" i="4"/>
  <c r="AI197" i="4"/>
  <c r="H201" i="4"/>
  <c r="AI201" i="4"/>
  <c r="H205" i="4"/>
  <c r="AI205" i="4"/>
  <c r="H209" i="4"/>
  <c r="AI209" i="4"/>
  <c r="H15" i="4"/>
  <c r="H19" i="4"/>
  <c r="H27" i="4"/>
  <c r="H39" i="4"/>
  <c r="H47" i="4"/>
  <c r="H55" i="4"/>
  <c r="H67" i="4"/>
  <c r="H75" i="4"/>
  <c r="H83" i="4"/>
  <c r="H91" i="4"/>
  <c r="H95" i="4"/>
  <c r="H103" i="4"/>
  <c r="H111" i="4"/>
  <c r="AI111" i="4"/>
  <c r="H119" i="4"/>
  <c r="AI119" i="4"/>
  <c r="H127" i="4"/>
  <c r="AI127" i="4"/>
  <c r="H135" i="4"/>
  <c r="AI135" i="4"/>
  <c r="H143" i="4"/>
  <c r="AI143" i="4"/>
  <c r="H151" i="4"/>
  <c r="AI151" i="4"/>
  <c r="H159" i="4"/>
  <c r="AI159" i="4"/>
  <c r="H167" i="4"/>
  <c r="AI167" i="4"/>
  <c r="H175" i="4"/>
  <c r="AI175" i="4"/>
  <c r="H179" i="4"/>
  <c r="AI179" i="4"/>
  <c r="H187" i="4"/>
  <c r="AI187" i="4"/>
  <c r="H195" i="4"/>
  <c r="AI195" i="4"/>
  <c r="H203" i="4"/>
  <c r="AI203" i="4"/>
  <c r="H12" i="4"/>
  <c r="H16" i="4"/>
  <c r="H32" i="4"/>
  <c r="H48" i="4"/>
  <c r="H64" i="4"/>
  <c r="H80" i="4"/>
  <c r="H96" i="4"/>
  <c r="H112" i="4"/>
  <c r="AI112" i="4"/>
  <c r="H128" i="4"/>
  <c r="AI128" i="4"/>
  <c r="H144" i="4"/>
  <c r="AI144" i="4"/>
  <c r="H160" i="4"/>
  <c r="AI160" i="4"/>
  <c r="H176" i="4"/>
  <c r="AI176" i="4"/>
  <c r="H192" i="4"/>
  <c r="AI192" i="4"/>
  <c r="H208" i="4"/>
  <c r="AI208" i="4"/>
  <c r="H20" i="4"/>
  <c r="H36" i="4"/>
  <c r="H52" i="4"/>
  <c r="H68" i="4"/>
  <c r="H84" i="4"/>
  <c r="H100" i="4"/>
  <c r="H116" i="4"/>
  <c r="AI116" i="4"/>
  <c r="H132" i="4"/>
  <c r="AI132" i="4"/>
  <c r="H148" i="4"/>
  <c r="AI148" i="4"/>
  <c r="H164" i="4"/>
  <c r="AI164" i="4"/>
  <c r="H180" i="4"/>
  <c r="AI180" i="4"/>
  <c r="H196" i="4"/>
  <c r="AI196" i="4"/>
  <c r="H24" i="4"/>
  <c r="H40" i="4"/>
  <c r="H56" i="4"/>
  <c r="H72" i="4"/>
  <c r="H88" i="4"/>
  <c r="H104" i="4"/>
  <c r="H120" i="4"/>
  <c r="AI120" i="4"/>
  <c r="H136" i="4"/>
  <c r="AI136" i="4"/>
  <c r="H152" i="4"/>
  <c r="AI152" i="4"/>
  <c r="H168" i="4"/>
  <c r="AI168" i="4"/>
  <c r="H184" i="4"/>
  <c r="AI184" i="4"/>
  <c r="H200" i="4"/>
  <c r="AI200" i="4"/>
  <c r="H28" i="4"/>
  <c r="H44" i="4"/>
  <c r="H60" i="4"/>
  <c r="H76" i="4"/>
  <c r="H92" i="4"/>
  <c r="H108" i="4"/>
  <c r="H124" i="4"/>
  <c r="AI124" i="4"/>
  <c r="H140" i="4"/>
  <c r="AI140" i="4"/>
  <c r="H156" i="4"/>
  <c r="AI156" i="4"/>
  <c r="H172" i="4"/>
  <c r="AI172" i="4"/>
  <c r="H188" i="4"/>
  <c r="AI188" i="4"/>
  <c r="H204" i="4"/>
  <c r="AI204" i="4"/>
  <c r="M66" i="2"/>
  <c r="AL110" i="4"/>
  <c r="AM110" i="4"/>
  <c r="AK111" i="4"/>
  <c r="AK112" i="4"/>
  <c r="AM113" i="4"/>
  <c r="AM114" i="4"/>
  <c r="AK115" i="4"/>
  <c r="AL116" i="4"/>
  <c r="AL119" i="4"/>
  <c r="AL120" i="4"/>
  <c r="AL123" i="4"/>
  <c r="AK124" i="4"/>
  <c r="AL125" i="4"/>
  <c r="AL126" i="4"/>
  <c r="AK127" i="4"/>
  <c r="AK128" i="4"/>
  <c r="AM129" i="4"/>
  <c r="AM130" i="4"/>
  <c r="AK131" i="4"/>
  <c r="AL133" i="4"/>
  <c r="AL134" i="4"/>
  <c r="AK110" i="4"/>
  <c r="AM111" i="4"/>
  <c r="AM112" i="4"/>
  <c r="AK113" i="4"/>
  <c r="AK114" i="4"/>
  <c r="AM115" i="4"/>
  <c r="AL117" i="4"/>
  <c r="AL118" i="4"/>
  <c r="AL121" i="4"/>
  <c r="AL122" i="4"/>
  <c r="AK119" i="4"/>
  <c r="AK123" i="4"/>
  <c r="AM124" i="4"/>
  <c r="AK126" i="4"/>
  <c r="AL127" i="4"/>
  <c r="AL129" i="4"/>
  <c r="AM131" i="4"/>
  <c r="AM132" i="4"/>
  <c r="AM133" i="4"/>
  <c r="AM135" i="4"/>
  <c r="AM136" i="4"/>
  <c r="AM138" i="4"/>
  <c r="AM139" i="4"/>
  <c r="AM140" i="4"/>
  <c r="AM142" i="4"/>
  <c r="AL143" i="4"/>
  <c r="AM144" i="4"/>
  <c r="AK145" i="4"/>
  <c r="AM146" i="4"/>
  <c r="AL113" i="4"/>
  <c r="AK118" i="4"/>
  <c r="AM119" i="4"/>
  <c r="AK122" i="4"/>
  <c r="AM123" i="4"/>
  <c r="AK125" i="4"/>
  <c r="AM126" i="4"/>
  <c r="AM127" i="4"/>
  <c r="AK137" i="4"/>
  <c r="AK141" i="4"/>
  <c r="AM143" i="4"/>
  <c r="AL145" i="4"/>
  <c r="AL114" i="4"/>
  <c r="AL115" i="4"/>
  <c r="AM116" i="4"/>
  <c r="AM117" i="4"/>
  <c r="AM120" i="4"/>
  <c r="AM121" i="4"/>
  <c r="AL124" i="4"/>
  <c r="AM128" i="4"/>
  <c r="AK129" i="4"/>
  <c r="AL130" i="4"/>
  <c r="AL131" i="4"/>
  <c r="AL132" i="4"/>
  <c r="AK133" i="4"/>
  <c r="AM134" i="4"/>
  <c r="AL135" i="4"/>
  <c r="AL136" i="4"/>
  <c r="AM137" i="4"/>
  <c r="AL138" i="4"/>
  <c r="AL139" i="4"/>
  <c r="AL140" i="4"/>
  <c r="AM141" i="4"/>
  <c r="AL142" i="4"/>
  <c r="AK143" i="4"/>
  <c r="AL144" i="4"/>
  <c r="AL146" i="4"/>
  <c r="AL147" i="4"/>
  <c r="AL149" i="4"/>
  <c r="AK150" i="4"/>
  <c r="AK151" i="4"/>
  <c r="AK152" i="4"/>
  <c r="AK153" i="4"/>
  <c r="AM154" i="4"/>
  <c r="AM155" i="4"/>
  <c r="AL156" i="4"/>
  <c r="AL157" i="4"/>
  <c r="AL158" i="4"/>
  <c r="AK159" i="4"/>
  <c r="AK160" i="4"/>
  <c r="AM162" i="4"/>
  <c r="AM163" i="4"/>
  <c r="AM164" i="4"/>
  <c r="AM165" i="4"/>
  <c r="AL166" i="4"/>
  <c r="AL167" i="4"/>
  <c r="AM168" i="4"/>
  <c r="AM170" i="4"/>
  <c r="AM171" i="4"/>
  <c r="AM172" i="4"/>
  <c r="AM173" i="4"/>
  <c r="AL174" i="4"/>
  <c r="AL175" i="4"/>
  <c r="AM176" i="4"/>
  <c r="AL177" i="4"/>
  <c r="AK178" i="4"/>
  <c r="AK181" i="4"/>
  <c r="AL183" i="4"/>
  <c r="AL184" i="4"/>
  <c r="AM185" i="4"/>
  <c r="AM186" i="4"/>
  <c r="AM187" i="4"/>
  <c r="AK116" i="4"/>
  <c r="AM125" i="4"/>
  <c r="AK132" i="4"/>
  <c r="AK134" i="4"/>
  <c r="AK140" i="4"/>
  <c r="AK146" i="4"/>
  <c r="AM148" i="4"/>
  <c r="AK149" i="4"/>
  <c r="AL150" i="4"/>
  <c r="AM151" i="4"/>
  <c r="AL153" i="4"/>
  <c r="AK154" i="4"/>
  <c r="AL155" i="4"/>
  <c r="AM156" i="4"/>
  <c r="AL160" i="4"/>
  <c r="AK161" i="4"/>
  <c r="AK162" i="4"/>
  <c r="AL163" i="4"/>
  <c r="AK167" i="4"/>
  <c r="AK169" i="4"/>
  <c r="AK170" i="4"/>
  <c r="AL171" i="4"/>
  <c r="AK175" i="4"/>
  <c r="AL180" i="4"/>
  <c r="AM183" i="4"/>
  <c r="AK188" i="4"/>
  <c r="AL192" i="4"/>
  <c r="AL196" i="4"/>
  <c r="AK198" i="4"/>
  <c r="AM202" i="4"/>
  <c r="AL208" i="4"/>
  <c r="AK157" i="4"/>
  <c r="AM158" i="4"/>
  <c r="AM159" i="4"/>
  <c r="AK164" i="4"/>
  <c r="AM166" i="4"/>
  <c r="AK172" i="4"/>
  <c r="AM174" i="4"/>
  <c r="AK176" i="4"/>
  <c r="AK177" i="4"/>
  <c r="AL179" i="4"/>
  <c r="AL182" i="4"/>
  <c r="AL187" i="4"/>
  <c r="AM188" i="4"/>
  <c r="AM193" i="4"/>
  <c r="AM197" i="4"/>
  <c r="AL199" i="4"/>
  <c r="AL201" i="4"/>
  <c r="AL205" i="4"/>
  <c r="AL207" i="4"/>
  <c r="AL209" i="4"/>
  <c r="AM118" i="4"/>
  <c r="AK121" i="4"/>
  <c r="AK138" i="4"/>
  <c r="AK142" i="4"/>
  <c r="AM145" i="4"/>
  <c r="AM149" i="4"/>
  <c r="AM150" i="4"/>
  <c r="AL152" i="4"/>
  <c r="AM153" i="4"/>
  <c r="AL154" i="4"/>
  <c r="AK158" i="4"/>
  <c r="AL159" i="4"/>
  <c r="AM160" i="4"/>
  <c r="AL161" i="4"/>
  <c r="AL162" i="4"/>
  <c r="AK165" i="4"/>
  <c r="AK166" i="4"/>
  <c r="AM167" i="4"/>
  <c r="AL169" i="4"/>
  <c r="AL170" i="4"/>
  <c r="AK173" i="4"/>
  <c r="AK174" i="4"/>
  <c r="AM175" i="4"/>
  <c r="AK179" i="4"/>
  <c r="AM180" i="4"/>
  <c r="AL181" i="4"/>
  <c r="AK182" i="4"/>
  <c r="AK187" i="4"/>
  <c r="AL188" i="4"/>
  <c r="AK189" i="4"/>
  <c r="AK190" i="4"/>
  <c r="AK191" i="4"/>
  <c r="AM192" i="4"/>
  <c r="AL193" i="4"/>
  <c r="AK194" i="4"/>
  <c r="AK195" i="4"/>
  <c r="AM196" i="4"/>
  <c r="AL197" i="4"/>
  <c r="AL198" i="4"/>
  <c r="AK199" i="4"/>
  <c r="AL200" i="4"/>
  <c r="AK201" i="4"/>
  <c r="AK203" i="4"/>
  <c r="AM204" i="4"/>
  <c r="AK205" i="4"/>
  <c r="AK206" i="4"/>
  <c r="AK207" i="4"/>
  <c r="AM208" i="4"/>
  <c r="AK209" i="4"/>
  <c r="AL111" i="4"/>
  <c r="AL112" i="4"/>
  <c r="AK120" i="4"/>
  <c r="AL128" i="4"/>
  <c r="AK130" i="4"/>
  <c r="AK135" i="4"/>
  <c r="AL137" i="4"/>
  <c r="AK144" i="4"/>
  <c r="AK147" i="4"/>
  <c r="AM161" i="4"/>
  <c r="AL173" i="4"/>
  <c r="AL190" i="4"/>
  <c r="AM200" i="4"/>
  <c r="AK202" i="4"/>
  <c r="AL206" i="4"/>
  <c r="AK117" i="4"/>
  <c r="AM122" i="4"/>
  <c r="AK136" i="4"/>
  <c r="AK139" i="4"/>
  <c r="AL141" i="4"/>
  <c r="AM147" i="4"/>
  <c r="AL148" i="4"/>
  <c r="AL151" i="4"/>
  <c r="AK155" i="4"/>
  <c r="AK156" i="4"/>
  <c r="AM157" i="4"/>
  <c r="AK163" i="4"/>
  <c r="AL164" i="4"/>
  <c r="AL168" i="4"/>
  <c r="AK171" i="4"/>
  <c r="AL172" i="4"/>
  <c r="AL176" i="4"/>
  <c r="AM177" i="4"/>
  <c r="AM178" i="4"/>
  <c r="AM179" i="4"/>
  <c r="AK180" i="4"/>
  <c r="AM182" i="4"/>
  <c r="AK183" i="4"/>
  <c r="AM184" i="4"/>
  <c r="AK185" i="4"/>
  <c r="AL186" i="4"/>
  <c r="AM189" i="4"/>
  <c r="AM190" i="4"/>
  <c r="AM191" i="4"/>
  <c r="AK192" i="4"/>
  <c r="AM194" i="4"/>
  <c r="AM195" i="4"/>
  <c r="AK196" i="4"/>
  <c r="AM199" i="4"/>
  <c r="AM201" i="4"/>
  <c r="AL202" i="4"/>
  <c r="AM203" i="4"/>
  <c r="AK204" i="4"/>
  <c r="AM205" i="4"/>
  <c r="AM206" i="4"/>
  <c r="AM207" i="4"/>
  <c r="AK208" i="4"/>
  <c r="AM209" i="4"/>
  <c r="AL185" i="4"/>
  <c r="AK193" i="4"/>
  <c r="AK197" i="4"/>
  <c r="AK200" i="4"/>
  <c r="AL204" i="4"/>
  <c r="AK148" i="4"/>
  <c r="AM152" i="4"/>
  <c r="AL165" i="4"/>
  <c r="AK168" i="4"/>
  <c r="AM169" i="4"/>
  <c r="AL178" i="4"/>
  <c r="AM181" i="4"/>
  <c r="AK184" i="4"/>
  <c r="AK186" i="4"/>
  <c r="AL189" i="4"/>
  <c r="AL191" i="4"/>
  <c r="AL194" i="4"/>
  <c r="AL195" i="4"/>
  <c r="AM198" i="4"/>
  <c r="AL203" i="4"/>
  <c r="B250" i="2"/>
  <c r="E250" i="2"/>
  <c r="B38" i="2"/>
  <c r="B25" i="2"/>
  <c r="B26" i="2"/>
  <c r="B27" i="2"/>
  <c r="B28" i="2"/>
  <c r="B36" i="2"/>
  <c r="B34" i="2"/>
  <c r="A35" i="16"/>
  <c r="G3" i="8"/>
  <c r="G159" i="8"/>
  <c r="G158" i="8"/>
  <c r="G157" i="8"/>
  <c r="G156" i="8"/>
  <c r="G155" i="8"/>
  <c r="G154" i="8"/>
  <c r="G153" i="8"/>
  <c r="G152" i="8"/>
  <c r="G151" i="8"/>
  <c r="G150" i="8"/>
  <c r="G149" i="8"/>
  <c r="G148" i="8"/>
  <c r="G147" i="8"/>
  <c r="G146" i="8"/>
  <c r="G145" i="8"/>
  <c r="G144" i="8"/>
  <c r="G143" i="8"/>
  <c r="G142" i="8"/>
  <c r="G141" i="8"/>
  <c r="G140" i="8"/>
  <c r="G139" i="8"/>
  <c r="G138" i="8"/>
  <c r="G137" i="8"/>
  <c r="G136" i="8"/>
  <c r="G135" i="8"/>
  <c r="G134" i="8"/>
  <c r="G133" i="8"/>
  <c r="G132" i="8"/>
  <c r="G131" i="8"/>
  <c r="G130" i="8"/>
  <c r="G129" i="8"/>
  <c r="G128" i="8"/>
  <c r="G127" i="8"/>
  <c r="G126" i="8"/>
  <c r="G125" i="8"/>
  <c r="G124" i="8"/>
  <c r="G123" i="8"/>
  <c r="G122" i="8"/>
  <c r="G121" i="8"/>
  <c r="G120" i="8"/>
  <c r="G119" i="8"/>
  <c r="G118" i="8"/>
  <c r="G117" i="8"/>
  <c r="G116" i="8"/>
  <c r="G115" i="8"/>
  <c r="G114" i="8"/>
  <c r="G113" i="8"/>
  <c r="G112" i="8"/>
  <c r="G111" i="8"/>
  <c r="G110" i="8"/>
  <c r="G109" i="8"/>
  <c r="G108" i="8"/>
  <c r="G107" i="8"/>
  <c r="G106" i="8"/>
  <c r="G105" i="8"/>
  <c r="G104" i="8"/>
  <c r="G103" i="8"/>
  <c r="G102" i="8"/>
  <c r="G101" i="8"/>
  <c r="G100" i="8"/>
  <c r="G99" i="8"/>
  <c r="G98" i="8"/>
  <c r="G97" i="8"/>
  <c r="G96" i="8"/>
  <c r="G95" i="8"/>
  <c r="G94" i="8"/>
  <c r="G93" i="8"/>
  <c r="G92" i="8"/>
  <c r="G91" i="8"/>
  <c r="G90" i="8"/>
  <c r="G89" i="8"/>
  <c r="G88" i="8"/>
  <c r="G87" i="8"/>
  <c r="G86" i="8"/>
  <c r="G85" i="8"/>
  <c r="G84" i="8"/>
  <c r="G83" i="8"/>
  <c r="G82" i="8"/>
  <c r="G81" i="8"/>
  <c r="G80" i="8"/>
  <c r="G79" i="8"/>
  <c r="G78" i="8"/>
  <c r="G77" i="8"/>
  <c r="G76" i="8"/>
  <c r="G75" i="8"/>
  <c r="G74" i="8"/>
  <c r="G73" i="8"/>
  <c r="G72" i="8"/>
  <c r="G71" i="8"/>
  <c r="G70" i="8"/>
  <c r="G69" i="8"/>
  <c r="G68" i="8"/>
  <c r="G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G13" i="8"/>
  <c r="G12" i="8"/>
  <c r="G11" i="8"/>
  <c r="G10" i="8"/>
  <c r="G9" i="8"/>
  <c r="G8" i="8"/>
  <c r="G7" i="8"/>
  <c r="G6" i="8"/>
  <c r="G4" i="8"/>
  <c r="B90" i="2"/>
  <c r="B3" i="8"/>
  <c r="B159" i="8"/>
  <c r="B158" i="8"/>
  <c r="B157" i="8"/>
  <c r="B156" i="8"/>
  <c r="B155" i="8"/>
  <c r="B154" i="8"/>
  <c r="B153" i="8"/>
  <c r="B152" i="8"/>
  <c r="B151" i="8"/>
  <c r="B150" i="8"/>
  <c r="B149" i="8"/>
  <c r="B148" i="8"/>
  <c r="B147" i="8"/>
  <c r="B146" i="8"/>
  <c r="B145" i="8"/>
  <c r="B144" i="8"/>
  <c r="B143" i="8"/>
  <c r="B142" i="8"/>
  <c r="B141" i="8"/>
  <c r="B140" i="8"/>
  <c r="B139" i="8"/>
  <c r="B138" i="8"/>
  <c r="B137" i="8"/>
  <c r="B136" i="8"/>
  <c r="B135" i="8"/>
  <c r="B134" i="8"/>
  <c r="B133" i="8"/>
  <c r="B132" i="8"/>
  <c r="B131" i="8"/>
  <c r="B130" i="8"/>
  <c r="B129" i="8"/>
  <c r="B128" i="8"/>
  <c r="B127" i="8"/>
  <c r="B126" i="8"/>
  <c r="B125" i="8"/>
  <c r="B124" i="8"/>
  <c r="B123" i="8"/>
  <c r="B122" i="8"/>
  <c r="B121" i="8"/>
  <c r="B120" i="8"/>
  <c r="B119" i="8"/>
  <c r="B118" i="8"/>
  <c r="B117" i="8"/>
  <c r="B116" i="8"/>
  <c r="B115" i="8"/>
  <c r="B114" i="8"/>
  <c r="B113" i="8"/>
  <c r="B112" i="8"/>
  <c r="B111" i="8"/>
  <c r="B110" i="8"/>
  <c r="B109" i="8"/>
  <c r="B108" i="8"/>
  <c r="B107" i="8"/>
  <c r="B106" i="8"/>
  <c r="B105" i="8"/>
  <c r="B104" i="8"/>
  <c r="B103" i="8"/>
  <c r="B102" i="8"/>
  <c r="B101" i="8"/>
  <c r="B100" i="8"/>
  <c r="B99" i="8"/>
  <c r="B98" i="8"/>
  <c r="B97" i="8"/>
  <c r="B96" i="8"/>
  <c r="B95" i="8"/>
  <c r="B94" i="8"/>
  <c r="B93" i="8"/>
  <c r="B92" i="8"/>
  <c r="B91" i="8"/>
  <c r="B90" i="8"/>
  <c r="B89" i="8"/>
  <c r="B88" i="8"/>
  <c r="B87" i="8"/>
  <c r="B86" i="8"/>
  <c r="B85" i="8"/>
  <c r="B84" i="8"/>
  <c r="B83" i="8"/>
  <c r="B82" i="8"/>
  <c r="B81" i="8"/>
  <c r="B80" i="8"/>
  <c r="B79" i="8"/>
  <c r="B78" i="8"/>
  <c r="B77" i="8"/>
  <c r="B76" i="8"/>
  <c r="B75" i="8"/>
  <c r="B74" i="8"/>
  <c r="B73" i="8"/>
  <c r="B72" i="8"/>
  <c r="B71" i="8"/>
  <c r="B70" i="8"/>
  <c r="B69" i="8"/>
  <c r="B68" i="8"/>
  <c r="B67" i="8"/>
  <c r="B66" i="8"/>
  <c r="B65" i="8"/>
  <c r="B64" i="8"/>
  <c r="B63" i="8"/>
  <c r="B62" i="8"/>
  <c r="B61" i="8"/>
  <c r="B60" i="8"/>
  <c r="B59" i="8"/>
  <c r="B58" i="8"/>
  <c r="B57" i="8"/>
  <c r="B56" i="8"/>
  <c r="B55" i="8"/>
  <c r="B54" i="8"/>
  <c r="B53" i="8"/>
  <c r="B52" i="8"/>
  <c r="B51" i="8"/>
  <c r="B50" i="8"/>
  <c r="B49" i="8"/>
  <c r="B48" i="8"/>
  <c r="B47" i="8"/>
  <c r="B46" i="8"/>
  <c r="B45" i="8"/>
  <c r="B44" i="8"/>
  <c r="B43" i="8"/>
  <c r="B42" i="8"/>
  <c r="B41" i="8"/>
  <c r="B40" i="8"/>
  <c r="B39" i="8"/>
  <c r="B38" i="8"/>
  <c r="B37" i="8"/>
  <c r="B36" i="8"/>
  <c r="B35" i="8"/>
  <c r="B34" i="8"/>
  <c r="B33" i="8"/>
  <c r="B32" i="8"/>
  <c r="B31" i="8"/>
  <c r="B30" i="8"/>
  <c r="B29" i="8"/>
  <c r="B28" i="8"/>
  <c r="B27" i="8"/>
  <c r="B26" i="8"/>
  <c r="B25" i="8"/>
  <c r="B24" i="8"/>
  <c r="B23" i="8"/>
  <c r="B22" i="8"/>
  <c r="B21" i="8"/>
  <c r="B20" i="8"/>
  <c r="B19" i="8"/>
  <c r="B18" i="8"/>
  <c r="B17" i="8"/>
  <c r="B16" i="8"/>
  <c r="B15" i="8"/>
  <c r="B14" i="8"/>
  <c r="B13" i="8"/>
  <c r="B12" i="8"/>
  <c r="B11" i="8"/>
  <c r="B10" i="8"/>
  <c r="B9" i="8"/>
  <c r="B8" i="8"/>
  <c r="B7" i="8"/>
  <c r="B6" i="8"/>
  <c r="B4" i="8"/>
  <c r="B131" i="2"/>
  <c r="J136" i="3"/>
  <c r="AK10" i="4"/>
  <c r="AL10" i="4"/>
  <c r="B19" i="4"/>
  <c r="B34" i="3"/>
  <c r="AR34" i="3"/>
  <c r="AQ34" i="3"/>
  <c r="AQ24" i="3"/>
  <c r="B248" i="2"/>
  <c r="B18" i="4"/>
  <c r="AK24" i="4"/>
  <c r="AJ173" i="3"/>
  <c r="AJ565" i="3"/>
  <c r="AK57" i="4"/>
  <c r="C273" i="2"/>
  <c r="AJ19" i="3"/>
  <c r="AJ175" i="3"/>
  <c r="AJ150" i="3"/>
  <c r="R4" i="8"/>
  <c r="S4" i="8"/>
  <c r="E13" i="1"/>
  <c r="B23" i="2"/>
  <c r="B85" i="2"/>
  <c r="AJ264" i="3"/>
  <c r="AJ522" i="3"/>
  <c r="AJ512" i="3"/>
  <c r="AJ71" i="3"/>
  <c r="AJ553" i="3"/>
  <c r="AJ136" i="3"/>
  <c r="AJ545" i="3"/>
  <c r="AJ195" i="3"/>
  <c r="AJ281" i="3"/>
  <c r="AJ634" i="3"/>
  <c r="AJ384" i="3"/>
  <c r="AJ475" i="3"/>
  <c r="AJ322" i="3"/>
  <c r="AJ434" i="3"/>
  <c r="AL39" i="4"/>
  <c r="AJ463" i="3"/>
  <c r="AJ328" i="3"/>
  <c r="AJ200" i="3"/>
  <c r="AJ72" i="3"/>
  <c r="AJ241" i="3"/>
  <c r="AJ639" i="3"/>
  <c r="AJ394" i="3"/>
  <c r="AJ511" i="3"/>
  <c r="AJ105" i="3"/>
  <c r="AJ437" i="3"/>
  <c r="AJ666" i="3"/>
  <c r="AJ576" i="3"/>
  <c r="AJ448" i="3"/>
  <c r="AJ303" i="3"/>
  <c r="AJ603" i="3"/>
  <c r="AJ347" i="3"/>
  <c r="AJ236" i="3"/>
  <c r="AJ66" i="3"/>
  <c r="AJ18" i="3"/>
  <c r="AJ606" i="3"/>
  <c r="AJ187" i="3"/>
  <c r="AJ253" i="3"/>
  <c r="AJ296" i="3"/>
  <c r="AJ232" i="3"/>
  <c r="AJ168" i="3"/>
  <c r="AJ104" i="3"/>
  <c r="AJ40" i="3"/>
  <c r="AJ85" i="3"/>
  <c r="AJ417" i="3"/>
  <c r="AJ671" i="3"/>
  <c r="AJ586" i="3"/>
  <c r="AJ458" i="3"/>
  <c r="AJ323" i="3"/>
  <c r="R10" i="8"/>
  <c r="S10" i="8"/>
  <c r="AJ383" i="3"/>
  <c r="AJ41" i="3"/>
  <c r="AJ153" i="3"/>
  <c r="AJ373" i="3"/>
  <c r="AJ501" i="3"/>
  <c r="AJ674" i="3"/>
  <c r="AJ650" i="3"/>
  <c r="AJ608" i="3"/>
  <c r="AJ544" i="3"/>
  <c r="AJ480" i="3"/>
  <c r="AJ416" i="3"/>
  <c r="AJ352" i="3"/>
  <c r="AJ239" i="3"/>
  <c r="AJ91" i="3"/>
  <c r="AJ539" i="3"/>
  <c r="AJ411" i="3"/>
  <c r="AJ229" i="3"/>
  <c r="AJ278" i="3"/>
  <c r="AJ194" i="3"/>
  <c r="AJ108" i="3"/>
  <c r="AJ28" i="3"/>
  <c r="AJ377" i="3"/>
  <c r="AJ659" i="3"/>
  <c r="AJ518" i="3"/>
  <c r="AJ141" i="3"/>
  <c r="AJ688" i="3"/>
  <c r="AK25" i="4"/>
  <c r="AL23" i="4"/>
  <c r="F63" i="1"/>
  <c r="N159" i="8"/>
  <c r="N158" i="8"/>
  <c r="N157" i="8"/>
  <c r="N156" i="8"/>
  <c r="N155" i="8"/>
  <c r="N154" i="8"/>
  <c r="N153" i="8"/>
  <c r="N152" i="8"/>
  <c r="N151" i="8"/>
  <c r="N150" i="8"/>
  <c r="N149" i="8"/>
  <c r="N148" i="8"/>
  <c r="N147" i="8"/>
  <c r="N146" i="8"/>
  <c r="N145" i="8"/>
  <c r="N144" i="8"/>
  <c r="N143" i="8"/>
  <c r="N142" i="8"/>
  <c r="N141" i="8"/>
  <c r="N140" i="8"/>
  <c r="N139" i="8"/>
  <c r="N138" i="8"/>
  <c r="N137" i="8"/>
  <c r="N136" i="8"/>
  <c r="N135" i="8"/>
  <c r="N134" i="8"/>
  <c r="N133" i="8"/>
  <c r="N132" i="8"/>
  <c r="N131" i="8"/>
  <c r="N130" i="8"/>
  <c r="N129" i="8"/>
  <c r="N128" i="8"/>
  <c r="N127" i="8"/>
  <c r="N126" i="8"/>
  <c r="N125" i="8"/>
  <c r="N124" i="8"/>
  <c r="N123" i="8"/>
  <c r="N122" i="8"/>
  <c r="N121" i="8"/>
  <c r="N120" i="8"/>
  <c r="N119" i="8"/>
  <c r="N118" i="8"/>
  <c r="N117" i="8"/>
  <c r="N116" i="8"/>
  <c r="N115" i="8"/>
  <c r="N114" i="8"/>
  <c r="N113" i="8"/>
  <c r="N112" i="8"/>
  <c r="N111" i="8"/>
  <c r="N110" i="8"/>
  <c r="N109" i="8"/>
  <c r="N108" i="8"/>
  <c r="N107" i="8"/>
  <c r="N106" i="8"/>
  <c r="N105" i="8"/>
  <c r="N104" i="8"/>
  <c r="N103" i="8"/>
  <c r="N102" i="8"/>
  <c r="N101" i="8"/>
  <c r="N100" i="8"/>
  <c r="N99" i="8"/>
  <c r="N98" i="8"/>
  <c r="N97" i="8"/>
  <c r="N96" i="8"/>
  <c r="N95" i="8"/>
  <c r="N94" i="8"/>
  <c r="N93" i="8"/>
  <c r="N92" i="8"/>
  <c r="N91" i="8"/>
  <c r="N90" i="8"/>
  <c r="N89" i="8"/>
  <c r="N88" i="8"/>
  <c r="N87" i="8"/>
  <c r="N86" i="8"/>
  <c r="N85" i="8"/>
  <c r="N84" i="8"/>
  <c r="N83" i="8"/>
  <c r="N82" i="8"/>
  <c r="N81" i="8"/>
  <c r="N80" i="8"/>
  <c r="N79" i="8"/>
  <c r="N78" i="8"/>
  <c r="N77" i="8"/>
  <c r="N76" i="8"/>
  <c r="N75" i="8"/>
  <c r="N74" i="8"/>
  <c r="N73" i="8"/>
  <c r="N72" i="8"/>
  <c r="N71" i="8"/>
  <c r="N70" i="8"/>
  <c r="N69" i="8"/>
  <c r="N68" i="8"/>
  <c r="N67" i="8"/>
  <c r="N66" i="8"/>
  <c r="N65" i="8"/>
  <c r="N64" i="8"/>
  <c r="N63" i="8"/>
  <c r="N62" i="8"/>
  <c r="N61" i="8"/>
  <c r="N60" i="8"/>
  <c r="N59" i="8"/>
  <c r="N58" i="8"/>
  <c r="N57" i="8"/>
  <c r="N56" i="8"/>
  <c r="N55" i="8"/>
  <c r="N54" i="8"/>
  <c r="N53" i="8"/>
  <c r="N52" i="8"/>
  <c r="N51" i="8"/>
  <c r="N50" i="8"/>
  <c r="N49" i="8"/>
  <c r="N48" i="8"/>
  <c r="N47" i="8"/>
  <c r="N46" i="8"/>
  <c r="N45" i="8"/>
  <c r="N44" i="8"/>
  <c r="N43" i="8"/>
  <c r="N42" i="8"/>
  <c r="N41" i="8"/>
  <c r="N40" i="8"/>
  <c r="N39" i="8"/>
  <c r="N38" i="8"/>
  <c r="N37" i="8"/>
  <c r="N36" i="8"/>
  <c r="N35" i="8"/>
  <c r="N34" i="8"/>
  <c r="N33" i="8"/>
  <c r="N32" i="8"/>
  <c r="N31" i="8"/>
  <c r="N30" i="8"/>
  <c r="N29" i="8"/>
  <c r="N28" i="8"/>
  <c r="N27" i="8"/>
  <c r="N26" i="8"/>
  <c r="N25" i="8"/>
  <c r="N24" i="8"/>
  <c r="N23" i="8"/>
  <c r="N22" i="8"/>
  <c r="N21" i="8"/>
  <c r="N20" i="8"/>
  <c r="N19" i="8"/>
  <c r="N18" i="8"/>
  <c r="N17" i="8"/>
  <c r="N16" i="8"/>
  <c r="N15" i="8"/>
  <c r="N14" i="8"/>
  <c r="N13" i="8"/>
  <c r="N12" i="8"/>
  <c r="N11" i="8"/>
  <c r="N10" i="8"/>
  <c r="N9" i="8"/>
  <c r="N8" i="8"/>
  <c r="N7" i="8"/>
  <c r="N6" i="8"/>
  <c r="AL46" i="4"/>
  <c r="B53" i="4"/>
  <c r="B22" i="4"/>
  <c r="B194" i="2"/>
  <c r="B45" i="4"/>
  <c r="B14" i="4"/>
  <c r="AL96" i="4"/>
  <c r="AL107" i="4"/>
  <c r="AJ375" i="3"/>
  <c r="AJ551" i="3"/>
  <c r="B127" i="2"/>
  <c r="B153" i="2"/>
  <c r="B146" i="2"/>
  <c r="AJ312" i="3"/>
  <c r="AJ280" i="3"/>
  <c r="AJ248" i="3"/>
  <c r="AJ216" i="3"/>
  <c r="AJ184" i="3"/>
  <c r="AJ152" i="3"/>
  <c r="AJ120" i="3"/>
  <c r="AJ88" i="3"/>
  <c r="AJ56" i="3"/>
  <c r="AJ29" i="3"/>
  <c r="AJ16" i="3"/>
  <c r="AJ95" i="3"/>
  <c r="AJ353" i="3"/>
  <c r="AJ481" i="3"/>
  <c r="AJ609" i="3"/>
  <c r="AJ655" i="3"/>
  <c r="AJ618" i="3"/>
  <c r="AJ554" i="3"/>
  <c r="AJ490" i="3"/>
  <c r="AJ426" i="3"/>
  <c r="AJ362" i="3"/>
  <c r="AJ259" i="3"/>
  <c r="AJ131" i="3"/>
  <c r="AJ575" i="3"/>
  <c r="AJ447" i="3"/>
  <c r="AJ301" i="3"/>
  <c r="AL57" i="4"/>
  <c r="AJ73" i="3"/>
  <c r="AJ47" i="3"/>
  <c r="AJ217" i="3"/>
  <c r="AJ341" i="3"/>
  <c r="AJ405" i="3"/>
  <c r="AJ469" i="3"/>
  <c r="AJ533" i="3"/>
  <c r="AJ597" i="3"/>
  <c r="AJ687" i="3"/>
  <c r="AJ658" i="3"/>
  <c r="AJ642" i="3"/>
  <c r="AJ624" i="3"/>
  <c r="AJ592" i="3"/>
  <c r="AJ560" i="3"/>
  <c r="AJ528" i="3"/>
  <c r="AJ496" i="3"/>
  <c r="AJ464" i="3"/>
  <c r="AJ432" i="3"/>
  <c r="AJ400" i="3"/>
  <c r="AJ368" i="3"/>
  <c r="AJ335" i="3"/>
  <c r="AJ271" i="3"/>
  <c r="AJ207" i="3"/>
  <c r="AJ143" i="3"/>
  <c r="AJ14" i="3"/>
  <c r="AJ571" i="3"/>
  <c r="AJ507" i="3"/>
  <c r="AJ443" i="3"/>
  <c r="AJ379" i="3"/>
  <c r="AJ293" i="3"/>
  <c r="AJ165" i="3"/>
  <c r="AJ300" i="3"/>
  <c r="AJ258" i="3"/>
  <c r="AJ214" i="3"/>
  <c r="AJ172" i="3"/>
  <c r="AJ130" i="3"/>
  <c r="AJ86" i="3"/>
  <c r="AJ44" i="3"/>
  <c r="AJ13" i="3"/>
  <c r="AJ61" i="3"/>
  <c r="AJ257" i="3"/>
  <c r="AJ465" i="3"/>
  <c r="AJ675" i="3"/>
  <c r="AJ637" i="3"/>
  <c r="AJ562" i="3"/>
  <c r="AJ478" i="3"/>
  <c r="AJ390" i="3"/>
  <c r="AJ275" i="3"/>
  <c r="AJ83" i="3"/>
  <c r="AK67" i="4"/>
  <c r="AK89" i="4"/>
  <c r="AL19" i="4"/>
  <c r="AK15" i="4"/>
  <c r="AJ583" i="3"/>
  <c r="B25" i="4"/>
  <c r="B171" i="2"/>
  <c r="AL47" i="4"/>
  <c r="AL38" i="4"/>
  <c r="AL70" i="4"/>
  <c r="AL68" i="4"/>
  <c r="AL26" i="4"/>
  <c r="AL92" i="4"/>
  <c r="AJ333" i="3"/>
  <c r="AJ423" i="3"/>
  <c r="AJ503" i="3"/>
  <c r="AJ591" i="3"/>
  <c r="AJ336" i="3"/>
  <c r="AJ320" i="3"/>
  <c r="AJ304" i="3"/>
  <c r="AJ288" i="3"/>
  <c r="AJ272" i="3"/>
  <c r="AJ256" i="3"/>
  <c r="AJ240" i="3"/>
  <c r="AJ224" i="3"/>
  <c r="AJ208" i="3"/>
  <c r="AJ192" i="3"/>
  <c r="AJ176" i="3"/>
  <c r="AJ160" i="3"/>
  <c r="AJ144" i="3"/>
  <c r="AJ128" i="3"/>
  <c r="AJ112" i="3"/>
  <c r="AJ96" i="3"/>
  <c r="AJ80" i="3"/>
  <c r="AJ64" i="3"/>
  <c r="AJ48" i="3"/>
  <c r="AJ35" i="3"/>
  <c r="AJ24" i="3"/>
  <c r="AJ11" i="3"/>
  <c r="AJ53" i="3"/>
  <c r="AJ117" i="3"/>
  <c r="AJ177" i="3"/>
  <c r="AJ305" i="3"/>
  <c r="AJ385" i="3"/>
  <c r="AJ449" i="3"/>
  <c r="AJ513" i="3"/>
  <c r="AJ577" i="3"/>
  <c r="AJ682" i="3"/>
  <c r="AJ663" i="3"/>
  <c r="AJ647" i="3"/>
  <c r="AJ631" i="3"/>
  <c r="AJ602" i="3"/>
  <c r="AJ570" i="3"/>
  <c r="AJ538" i="3"/>
  <c r="AJ506" i="3"/>
  <c r="AJ474" i="3"/>
  <c r="AJ442" i="3"/>
  <c r="AJ410" i="3"/>
  <c r="AJ378" i="3"/>
  <c r="AJ346" i="3"/>
  <c r="AJ291" i="3"/>
  <c r="AJ227" i="3"/>
  <c r="AJ163" i="3"/>
  <c r="AJ67" i="3"/>
  <c r="AJ607" i="3"/>
  <c r="AJ543" i="3"/>
  <c r="AJ479" i="3"/>
  <c r="AJ415" i="3"/>
  <c r="AJ351" i="3"/>
  <c r="AJ237" i="3"/>
  <c r="AJ87" i="3"/>
  <c r="AL45" i="4"/>
  <c r="AJ57" i="3"/>
  <c r="AJ89" i="3"/>
  <c r="AJ121" i="3"/>
  <c r="AJ111" i="3"/>
  <c r="AJ185" i="3"/>
  <c r="AJ249" i="3"/>
  <c r="AJ313" i="3"/>
  <c r="AJ357" i="3"/>
  <c r="AJ389" i="3"/>
  <c r="AJ421" i="3"/>
  <c r="AJ453" i="3"/>
  <c r="AJ485" i="3"/>
  <c r="AJ517" i="3"/>
  <c r="AJ549" i="3"/>
  <c r="AJ581" i="3"/>
  <c r="AJ613" i="3"/>
  <c r="AJ683" i="3"/>
  <c r="AJ670" i="3"/>
  <c r="AJ662" i="3"/>
  <c r="AJ654" i="3"/>
  <c r="AJ646" i="3"/>
  <c r="AJ638" i="3"/>
  <c r="AJ630" i="3"/>
  <c r="AJ616" i="3"/>
  <c r="AJ600" i="3"/>
  <c r="AJ584" i="3"/>
  <c r="AJ568" i="3"/>
  <c r="AJ552" i="3"/>
  <c r="AJ536" i="3"/>
  <c r="AJ520" i="3"/>
  <c r="AJ504" i="3"/>
  <c r="AJ488" i="3"/>
  <c r="AJ472" i="3"/>
  <c r="AJ456" i="3"/>
  <c r="AJ440" i="3"/>
  <c r="AJ424" i="3"/>
  <c r="AJ408" i="3"/>
  <c r="AJ392" i="3"/>
  <c r="AJ376" i="3"/>
  <c r="AJ360" i="3"/>
  <c r="AJ344" i="3"/>
  <c r="AJ319" i="3"/>
  <c r="AJ287" i="3"/>
  <c r="AJ255" i="3"/>
  <c r="AJ223" i="3"/>
  <c r="AJ191" i="3"/>
  <c r="AJ159" i="3"/>
  <c r="AJ123" i="3"/>
  <c r="AJ59" i="3"/>
  <c r="AJ619" i="3"/>
  <c r="AJ587" i="3"/>
  <c r="AJ555" i="3"/>
  <c r="AJ523" i="3"/>
  <c r="AJ491" i="3"/>
  <c r="AJ459" i="3"/>
  <c r="AJ427" i="3"/>
  <c r="AJ395" i="3"/>
  <c r="AJ363" i="3"/>
  <c r="AJ325" i="3"/>
  <c r="AJ261" i="3"/>
  <c r="AJ197" i="3"/>
  <c r="AJ133" i="3"/>
  <c r="AJ34" i="3"/>
  <c r="AK98" i="4"/>
  <c r="AJ332" i="3"/>
  <c r="AJ310" i="3"/>
  <c r="AJ290" i="3"/>
  <c r="AJ268" i="3"/>
  <c r="AJ246" i="3"/>
  <c r="AJ226" i="3"/>
  <c r="AJ204" i="3"/>
  <c r="AJ182" i="3"/>
  <c r="AJ162" i="3"/>
  <c r="AJ140" i="3"/>
  <c r="AJ118" i="3"/>
  <c r="AJ98" i="3"/>
  <c r="AJ76" i="3"/>
  <c r="AJ54" i="3"/>
  <c r="AJ36" i="3"/>
  <c r="AJ21" i="3"/>
  <c r="AL79" i="4"/>
  <c r="AJ101" i="3"/>
  <c r="AJ161" i="3"/>
  <c r="AJ337" i="3"/>
  <c r="AJ425" i="3"/>
  <c r="AJ505" i="3"/>
  <c r="AJ593" i="3"/>
  <c r="AJ669" i="3"/>
  <c r="AJ649" i="3"/>
  <c r="AJ626" i="3"/>
  <c r="AJ582" i="3"/>
  <c r="AJ542" i="3"/>
  <c r="AJ498" i="3"/>
  <c r="AJ454" i="3"/>
  <c r="AJ414" i="3"/>
  <c r="AJ370" i="3"/>
  <c r="AJ315" i="3"/>
  <c r="AJ235" i="3"/>
  <c r="AJ147" i="3"/>
  <c r="AK77" i="4"/>
  <c r="AK45" i="4"/>
  <c r="AK90" i="4"/>
  <c r="AK78" i="4"/>
  <c r="AK36" i="4"/>
  <c r="AJ359" i="3"/>
  <c r="AJ471" i="3"/>
  <c r="AL40" i="4"/>
  <c r="AL11" i="4"/>
  <c r="AL72" i="4"/>
  <c r="AL42" i="4"/>
  <c r="AL27" i="4"/>
  <c r="AL30" i="4"/>
  <c r="AK106" i="4"/>
  <c r="AL21" i="4"/>
  <c r="AL86" i="4"/>
  <c r="AK38" i="4"/>
  <c r="AK108" i="4"/>
  <c r="AK14" i="4"/>
  <c r="AK35" i="4"/>
  <c r="AK56" i="4"/>
  <c r="AK79" i="4"/>
  <c r="AK100" i="4"/>
  <c r="AK42" i="4"/>
  <c r="AK34" i="4"/>
  <c r="AK96" i="4"/>
  <c r="AK68" i="4"/>
  <c r="AK47" i="4"/>
  <c r="AL90" i="4"/>
  <c r="AL66" i="4"/>
  <c r="AL35" i="4"/>
  <c r="AL29" i="4"/>
  <c r="AL106" i="4"/>
  <c r="AL105" i="4"/>
  <c r="AL59" i="4"/>
  <c r="AL12" i="4"/>
  <c r="AL74" i="4"/>
  <c r="AL78" i="4"/>
  <c r="AL61" i="4"/>
  <c r="AL85" i="4"/>
  <c r="AL44" i="4"/>
  <c r="AL36" i="4"/>
  <c r="AL48" i="4"/>
  <c r="AL9" i="4"/>
  <c r="AL76" i="4"/>
  <c r="AL17" i="4"/>
  <c r="AL98" i="4"/>
  <c r="AL37" i="4"/>
  <c r="AL95" i="4"/>
  <c r="AL64" i="4"/>
  <c r="AL102" i="4"/>
  <c r="AL104" i="4"/>
  <c r="AL28" i="4"/>
  <c r="AL13" i="4"/>
  <c r="AL33" i="4"/>
  <c r="AL69" i="4"/>
  <c r="AL18" i="4"/>
  <c r="AL100" i="4"/>
  <c r="AL73" i="4"/>
  <c r="AL82" i="4"/>
  <c r="AL67" i="4"/>
  <c r="AL56" i="4"/>
  <c r="AL49" i="4"/>
  <c r="AL53" i="4"/>
  <c r="AL83" i="4"/>
  <c r="AL62" i="4"/>
  <c r="AL94" i="4"/>
  <c r="AL24" i="4"/>
  <c r="AL25" i="4"/>
  <c r="AL71" i="4"/>
  <c r="AL99" i="4"/>
  <c r="AL109" i="4"/>
  <c r="AL75" i="4"/>
  <c r="AL81" i="4"/>
  <c r="AL89" i="4"/>
  <c r="AL60" i="4"/>
  <c r="AL41" i="4"/>
  <c r="AL52" i="4"/>
  <c r="AL84" i="4"/>
  <c r="AL31" i="4"/>
  <c r="B54" i="4"/>
  <c r="B224" i="2"/>
  <c r="B39" i="4"/>
  <c r="B77" i="4"/>
  <c r="B223" i="2"/>
  <c r="AJ55" i="3"/>
  <c r="AJ205" i="3"/>
  <c r="AJ317" i="3"/>
  <c r="AJ391" i="3"/>
  <c r="AJ439" i="3"/>
  <c r="AJ495" i="3"/>
  <c r="AJ559" i="3"/>
  <c r="AJ615" i="3"/>
  <c r="AJ26" i="3"/>
  <c r="AJ115" i="3"/>
  <c r="AJ171" i="3"/>
  <c r="AJ211" i="3"/>
  <c r="AJ251" i="3"/>
  <c r="AJ299" i="3"/>
  <c r="AJ338" i="3"/>
  <c r="AJ358" i="3"/>
  <c r="AJ382" i="3"/>
  <c r="AJ402" i="3"/>
  <c r="AJ422" i="3"/>
  <c r="AJ446" i="3"/>
  <c r="AJ466" i="3"/>
  <c r="AJ486" i="3"/>
  <c r="AJ510" i="3"/>
  <c r="AJ530" i="3"/>
  <c r="AJ550" i="3"/>
  <c r="AJ574" i="3"/>
  <c r="AJ594" i="3"/>
  <c r="AJ614" i="3"/>
  <c r="AJ633" i="3"/>
  <c r="AJ643" i="3"/>
  <c r="AJ653" i="3"/>
  <c r="AJ665" i="3"/>
  <c r="AJ686" i="3"/>
  <c r="AJ617" i="3"/>
  <c r="AJ569" i="3"/>
  <c r="AJ529" i="3"/>
  <c r="AJ489" i="3"/>
  <c r="AJ441" i="3"/>
  <c r="AJ401" i="3"/>
  <c r="AJ361" i="3"/>
  <c r="AJ289" i="3"/>
  <c r="AJ209" i="3"/>
  <c r="AJ127" i="3"/>
  <c r="AJ125" i="3"/>
  <c r="AJ77" i="3"/>
  <c r="AJ30" i="3"/>
  <c r="AJ17" i="3"/>
  <c r="AJ25" i="3"/>
  <c r="AJ32" i="3"/>
  <c r="AJ38" i="3"/>
  <c r="AJ50" i="3"/>
  <c r="AJ60" i="3"/>
  <c r="AJ70" i="3"/>
  <c r="AJ82" i="3"/>
  <c r="AJ92" i="3"/>
  <c r="AJ102" i="3"/>
  <c r="AJ114" i="3"/>
  <c r="AJ124" i="3"/>
  <c r="AJ134" i="3"/>
  <c r="AJ146" i="3"/>
  <c r="AJ156" i="3"/>
  <c r="AJ166" i="3"/>
  <c r="AJ178" i="3"/>
  <c r="AJ188" i="3"/>
  <c r="AJ198" i="3"/>
  <c r="AJ210" i="3"/>
  <c r="AJ220" i="3"/>
  <c r="AJ230" i="3"/>
  <c r="AJ242" i="3"/>
  <c r="AJ252" i="3"/>
  <c r="AJ262" i="3"/>
  <c r="AJ274" i="3"/>
  <c r="AJ284" i="3"/>
  <c r="AJ294" i="3"/>
  <c r="AJ306" i="3"/>
  <c r="AJ316" i="3"/>
  <c r="AJ326" i="3"/>
  <c r="AJ39" i="3"/>
  <c r="AJ103" i="3"/>
  <c r="AJ149" i="3"/>
  <c r="AJ181" i="3"/>
  <c r="AJ213" i="3"/>
  <c r="AJ245" i="3"/>
  <c r="AJ277" i="3"/>
  <c r="AJ309" i="3"/>
  <c r="AJ339" i="3"/>
  <c r="AJ355" i="3"/>
  <c r="AJ371" i="3"/>
  <c r="AJ387" i="3"/>
  <c r="AJ403" i="3"/>
  <c r="AJ419" i="3"/>
  <c r="AJ435" i="3"/>
  <c r="AJ451" i="3"/>
  <c r="AJ467" i="3"/>
  <c r="AJ483" i="3"/>
  <c r="AJ499" i="3"/>
  <c r="AJ515" i="3"/>
  <c r="AJ531" i="3"/>
  <c r="AJ547" i="3"/>
  <c r="AJ563" i="3"/>
  <c r="AJ579" i="3"/>
  <c r="AJ595" i="3"/>
  <c r="AJ611" i="3"/>
  <c r="AJ627" i="3"/>
  <c r="AJ43" i="3"/>
  <c r="AJ75" i="3"/>
  <c r="AJ107" i="3"/>
  <c r="AJ135" i="3"/>
  <c r="AJ151" i="3"/>
  <c r="AJ167" i="3"/>
  <c r="AJ183" i="3"/>
  <c r="AJ199" i="3"/>
  <c r="AJ215" i="3"/>
  <c r="AJ231" i="3"/>
  <c r="AJ247" i="3"/>
  <c r="AJ263" i="3"/>
  <c r="AJ279" i="3"/>
  <c r="AJ295" i="3"/>
  <c r="AJ311" i="3"/>
  <c r="AJ327" i="3"/>
  <c r="AJ340" i="3"/>
  <c r="AJ348" i="3"/>
  <c r="AJ356" i="3"/>
  <c r="AJ364" i="3"/>
  <c r="AJ372" i="3"/>
  <c r="AJ380" i="3"/>
  <c r="AJ388" i="3"/>
  <c r="AJ396" i="3"/>
  <c r="AJ404" i="3"/>
  <c r="AJ412" i="3"/>
  <c r="AJ420" i="3"/>
  <c r="AJ428" i="3"/>
  <c r="AJ436" i="3"/>
  <c r="AJ444" i="3"/>
  <c r="AJ452" i="3"/>
  <c r="AJ460" i="3"/>
  <c r="AJ468" i="3"/>
  <c r="AJ476" i="3"/>
  <c r="AJ484" i="3"/>
  <c r="AJ492" i="3"/>
  <c r="AJ500" i="3"/>
  <c r="AJ508" i="3"/>
  <c r="AJ516" i="3"/>
  <c r="AJ524" i="3"/>
  <c r="AJ532" i="3"/>
  <c r="AJ540" i="3"/>
  <c r="AJ548" i="3"/>
  <c r="AJ556" i="3"/>
  <c r="AJ564" i="3"/>
  <c r="AJ572" i="3"/>
  <c r="AJ580" i="3"/>
  <c r="AJ588" i="3"/>
  <c r="AJ596" i="3"/>
  <c r="AJ604" i="3"/>
  <c r="AJ612" i="3"/>
  <c r="AJ620" i="3"/>
  <c r="AJ628" i="3"/>
  <c r="AJ632" i="3"/>
  <c r="AJ636" i="3"/>
  <c r="AJ640" i="3"/>
  <c r="AJ644" i="3"/>
  <c r="AJ648" i="3"/>
  <c r="AJ652" i="3"/>
  <c r="AJ656" i="3"/>
  <c r="AJ660" i="3"/>
  <c r="AJ664" i="3"/>
  <c r="AJ668" i="3"/>
  <c r="AJ672" i="3"/>
  <c r="AJ685" i="3"/>
  <c r="AJ676" i="3"/>
  <c r="AJ621" i="3"/>
  <c r="AJ605" i="3"/>
  <c r="AJ589" i="3"/>
  <c r="AJ573" i="3"/>
  <c r="AJ557" i="3"/>
  <c r="AJ541" i="3"/>
  <c r="AJ525" i="3"/>
  <c r="AJ509" i="3"/>
  <c r="AJ493" i="3"/>
  <c r="AJ477" i="3"/>
  <c r="AJ461" i="3"/>
  <c r="AJ445" i="3"/>
  <c r="AJ429" i="3"/>
  <c r="AJ413" i="3"/>
  <c r="AJ397" i="3"/>
  <c r="AJ381" i="3"/>
  <c r="AJ365" i="3"/>
  <c r="AJ349" i="3"/>
  <c r="AJ329" i="3"/>
  <c r="AJ297" i="3"/>
  <c r="AJ265" i="3"/>
  <c r="AJ233" i="3"/>
  <c r="AJ201" i="3"/>
  <c r="AJ169" i="3"/>
  <c r="AJ137" i="3"/>
  <c r="AJ79" i="3"/>
  <c r="AJ129" i="3"/>
  <c r="AJ113" i="3"/>
  <c r="AJ97" i="3"/>
  <c r="AJ81" i="3"/>
  <c r="AJ65" i="3"/>
  <c r="AJ49" i="3"/>
  <c r="AK74" i="4"/>
  <c r="AK20" i="4"/>
  <c r="AK31" i="4"/>
  <c r="AK41" i="4"/>
  <c r="AK52" i="4"/>
  <c r="AK63" i="4"/>
  <c r="AK73" i="4"/>
  <c r="AK84" i="4"/>
  <c r="AK101" i="4"/>
  <c r="AK58" i="4"/>
  <c r="AK18" i="4"/>
  <c r="AK22" i="4"/>
  <c r="AK82" i="4"/>
  <c r="AK107" i="4"/>
  <c r="AK95" i="4"/>
  <c r="AK83" i="4"/>
  <c r="AK72" i="4"/>
  <c r="AK61" i="4"/>
  <c r="AK51" i="4"/>
  <c r="AK40" i="4"/>
  <c r="AK29" i="4"/>
  <c r="AK19" i="4"/>
  <c r="AK103" i="4"/>
  <c r="AL58" i="4"/>
  <c r="AL22" i="4"/>
  <c r="AK104" i="4"/>
  <c r="AK87" i="4"/>
  <c r="AK66" i="4"/>
  <c r="AL65" i="4"/>
  <c r="AL77" i="4"/>
  <c r="AL16" i="4"/>
  <c r="AL88" i="4"/>
  <c r="AL43" i="4"/>
  <c r="AL103" i="4"/>
  <c r="AL14" i="4"/>
  <c r="AL55" i="4"/>
  <c r="AL54" i="4"/>
  <c r="AL20" i="4"/>
  <c r="AL32" i="4"/>
  <c r="AL50" i="4"/>
  <c r="AL97" i="4"/>
  <c r="D145" i="2"/>
  <c r="B24" i="4"/>
  <c r="B12" i="4"/>
  <c r="AJ527" i="3"/>
  <c r="AJ407" i="3"/>
  <c r="AJ269" i="3"/>
  <c r="M159" i="8"/>
  <c r="M158" i="8"/>
  <c r="M157" i="8"/>
  <c r="M156" i="8"/>
  <c r="M155" i="8"/>
  <c r="M154" i="8"/>
  <c r="M153" i="8"/>
  <c r="M152" i="8"/>
  <c r="M151" i="8"/>
  <c r="M150" i="8"/>
  <c r="M149" i="8"/>
  <c r="M148" i="8"/>
  <c r="M147" i="8"/>
  <c r="M146" i="8"/>
  <c r="M145" i="8"/>
  <c r="M144" i="8"/>
  <c r="M143" i="8"/>
  <c r="M142" i="8"/>
  <c r="M141" i="8"/>
  <c r="M140" i="8"/>
  <c r="M139" i="8"/>
  <c r="M138" i="8"/>
  <c r="M137" i="8"/>
  <c r="M136" i="8"/>
  <c r="M135" i="8"/>
  <c r="M134" i="8"/>
  <c r="M133" i="8"/>
  <c r="M132" i="8"/>
  <c r="M131" i="8"/>
  <c r="M130" i="8"/>
  <c r="M129" i="8"/>
  <c r="M128" i="8"/>
  <c r="M127" i="8"/>
  <c r="M126" i="8"/>
  <c r="M125" i="8"/>
  <c r="M124" i="8"/>
  <c r="M123" i="8"/>
  <c r="M122" i="8"/>
  <c r="M121" i="8"/>
  <c r="M120" i="8"/>
  <c r="M119" i="8"/>
  <c r="M118" i="8"/>
  <c r="M117" i="8"/>
  <c r="M116" i="8"/>
  <c r="M115" i="8"/>
  <c r="M114" i="8"/>
  <c r="M113" i="8"/>
  <c r="M112" i="8"/>
  <c r="M111" i="8"/>
  <c r="M110" i="8"/>
  <c r="M109" i="8"/>
  <c r="M108" i="8"/>
  <c r="M107" i="8"/>
  <c r="M106" i="8"/>
  <c r="M105" i="8"/>
  <c r="M104" i="8"/>
  <c r="M103" i="8"/>
  <c r="M102" i="8"/>
  <c r="M101" i="8"/>
  <c r="M100" i="8"/>
  <c r="M99" i="8"/>
  <c r="M98" i="8"/>
  <c r="M97" i="8"/>
  <c r="M96" i="8"/>
  <c r="M95" i="8"/>
  <c r="M94" i="8"/>
  <c r="M93" i="8"/>
  <c r="M92" i="8"/>
  <c r="M91" i="8"/>
  <c r="M90" i="8"/>
  <c r="M89" i="8"/>
  <c r="M88" i="8"/>
  <c r="M87" i="8"/>
  <c r="M86" i="8"/>
  <c r="M85" i="8"/>
  <c r="M84" i="8"/>
  <c r="M83" i="8"/>
  <c r="M82" i="8"/>
  <c r="M81" i="8"/>
  <c r="M80" i="8"/>
  <c r="M79" i="8"/>
  <c r="M78" i="8"/>
  <c r="M77" i="8"/>
  <c r="M76" i="8"/>
  <c r="M75" i="8"/>
  <c r="M74" i="8"/>
  <c r="M73" i="8"/>
  <c r="M72" i="8"/>
  <c r="M71" i="8"/>
  <c r="M70" i="8"/>
  <c r="M69" i="8"/>
  <c r="M68" i="8"/>
  <c r="M67" i="8"/>
  <c r="M66" i="8"/>
  <c r="M65" i="8"/>
  <c r="M64" i="8"/>
  <c r="M63" i="8"/>
  <c r="M62" i="8"/>
  <c r="M61" i="8"/>
  <c r="M60" i="8"/>
  <c r="M59" i="8"/>
  <c r="M58" i="8"/>
  <c r="M57" i="8"/>
  <c r="M56" i="8"/>
  <c r="M55" i="8"/>
  <c r="M54" i="8"/>
  <c r="M53" i="8"/>
  <c r="M52" i="8"/>
  <c r="M51" i="8"/>
  <c r="M50" i="8"/>
  <c r="M49"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M13" i="8"/>
  <c r="M12" i="8"/>
  <c r="M11" i="8"/>
  <c r="M10" i="8"/>
  <c r="M9" i="8"/>
  <c r="M8" i="8"/>
  <c r="M7" i="8"/>
  <c r="M6" i="8"/>
  <c r="M4" i="8"/>
  <c r="J159" i="8"/>
  <c r="J158" i="8"/>
  <c r="J157" i="8"/>
  <c r="J156" i="8"/>
  <c r="J155" i="8"/>
  <c r="J154" i="8"/>
  <c r="J153" i="8"/>
  <c r="J152" i="8"/>
  <c r="J151" i="8"/>
  <c r="J150" i="8"/>
  <c r="J149" i="8"/>
  <c r="J148" i="8"/>
  <c r="J147" i="8"/>
  <c r="J146" i="8"/>
  <c r="J145" i="8"/>
  <c r="J144" i="8"/>
  <c r="J143" i="8"/>
  <c r="J142" i="8"/>
  <c r="J141" i="8"/>
  <c r="J140" i="8"/>
  <c r="J139" i="8"/>
  <c r="J138" i="8"/>
  <c r="J137" i="8"/>
  <c r="J136" i="8"/>
  <c r="J135" i="8"/>
  <c r="J134" i="8"/>
  <c r="J133" i="8"/>
  <c r="J132" i="8"/>
  <c r="J131" i="8"/>
  <c r="J130" i="8"/>
  <c r="J129" i="8"/>
  <c r="J128" i="8"/>
  <c r="J127" i="8"/>
  <c r="J126" i="8"/>
  <c r="J125" i="8"/>
  <c r="J124" i="8"/>
  <c r="J123" i="8"/>
  <c r="J122" i="8"/>
  <c r="J121" i="8"/>
  <c r="J120" i="8"/>
  <c r="J119" i="8"/>
  <c r="J118" i="8"/>
  <c r="J117" i="8"/>
  <c r="J116" i="8"/>
  <c r="J115" i="8"/>
  <c r="J114" i="8"/>
  <c r="J113" i="8"/>
  <c r="J112" i="8"/>
  <c r="J111" i="8"/>
  <c r="J110" i="8"/>
  <c r="J109" i="8"/>
  <c r="J108" i="8"/>
  <c r="J107" i="8"/>
  <c r="J106" i="8"/>
  <c r="J105" i="8"/>
  <c r="J104" i="8"/>
  <c r="J103" i="8"/>
  <c r="J102" i="8"/>
  <c r="J101" i="8"/>
  <c r="J100" i="8"/>
  <c r="J99" i="8"/>
  <c r="J98" i="8"/>
  <c r="J97" i="8"/>
  <c r="J96" i="8"/>
  <c r="J95" i="8"/>
  <c r="J94" i="8"/>
  <c r="J93" i="8"/>
  <c r="J92" i="8"/>
  <c r="J91" i="8"/>
  <c r="J90" i="8"/>
  <c r="J89" i="8"/>
  <c r="J88" i="8"/>
  <c r="J87" i="8"/>
  <c r="J86" i="8"/>
  <c r="J85" i="8"/>
  <c r="J84" i="8"/>
  <c r="J83" i="8"/>
  <c r="J82" i="8"/>
  <c r="J81" i="8"/>
  <c r="J80" i="8"/>
  <c r="J79" i="8"/>
  <c r="J78" i="8"/>
  <c r="J77" i="8"/>
  <c r="J76" i="8"/>
  <c r="J75" i="8"/>
  <c r="J74" i="8"/>
  <c r="J73" i="8"/>
  <c r="J72" i="8"/>
  <c r="J71" i="8"/>
  <c r="J70" i="8"/>
  <c r="J69" i="8"/>
  <c r="J68" i="8"/>
  <c r="J67" i="8"/>
  <c r="J66" i="8"/>
  <c r="J65" i="8"/>
  <c r="J64" i="8"/>
  <c r="J63" i="8"/>
  <c r="J62" i="8"/>
  <c r="J61" i="8"/>
  <c r="J60" i="8"/>
  <c r="J59" i="8"/>
  <c r="J58" i="8"/>
  <c r="J57" i="8"/>
  <c r="J56" i="8"/>
  <c r="J55" i="8"/>
  <c r="J54" i="8"/>
  <c r="J53" i="8"/>
  <c r="J52" i="8"/>
  <c r="J51" i="8"/>
  <c r="J50" i="8"/>
  <c r="J49" i="8"/>
  <c r="J48" i="8"/>
  <c r="J47" i="8"/>
  <c r="J46" i="8"/>
  <c r="J45" i="8"/>
  <c r="J44" i="8"/>
  <c r="J43" i="8"/>
  <c r="J42" i="8"/>
  <c r="J41" i="8"/>
  <c r="J40" i="8"/>
  <c r="J39" i="8"/>
  <c r="J38" i="8"/>
  <c r="J37" i="8"/>
  <c r="J36" i="8"/>
  <c r="J35" i="8"/>
  <c r="J34" i="8"/>
  <c r="J33" i="8"/>
  <c r="J32" i="8"/>
  <c r="J31" i="8"/>
  <c r="J30" i="8"/>
  <c r="J29" i="8"/>
  <c r="J28" i="8"/>
  <c r="J27" i="8"/>
  <c r="J26" i="8"/>
  <c r="J25" i="8"/>
  <c r="J24" i="8"/>
  <c r="J23" i="8"/>
  <c r="J22" i="8"/>
  <c r="J21" i="8"/>
  <c r="J20" i="8"/>
  <c r="J19" i="8"/>
  <c r="J18" i="8"/>
  <c r="J17" i="8"/>
  <c r="J16" i="8"/>
  <c r="J15" i="8"/>
  <c r="J14" i="8"/>
  <c r="J13" i="8"/>
  <c r="J12" i="8"/>
  <c r="J11" i="8"/>
  <c r="J10" i="8"/>
  <c r="J9" i="8"/>
  <c r="J8" i="8"/>
  <c r="J7" i="8"/>
  <c r="J6" i="8"/>
  <c r="J4" i="8"/>
  <c r="L159" i="8"/>
  <c r="L158" i="8"/>
  <c r="L157" i="8"/>
  <c r="L156" i="8"/>
  <c r="L155" i="8"/>
  <c r="L154" i="8"/>
  <c r="L153" i="8"/>
  <c r="L152" i="8"/>
  <c r="L151" i="8"/>
  <c r="L150" i="8"/>
  <c r="L149" i="8"/>
  <c r="L148" i="8"/>
  <c r="L147" i="8"/>
  <c r="L146" i="8"/>
  <c r="L145" i="8"/>
  <c r="L144" i="8"/>
  <c r="L143" i="8"/>
  <c r="L142" i="8"/>
  <c r="L141" i="8"/>
  <c r="L140" i="8"/>
  <c r="L139" i="8"/>
  <c r="L138" i="8"/>
  <c r="L137" i="8"/>
  <c r="L136" i="8"/>
  <c r="L135" i="8"/>
  <c r="L134" i="8"/>
  <c r="L133" i="8"/>
  <c r="L132" i="8"/>
  <c r="L131" i="8"/>
  <c r="L130" i="8"/>
  <c r="L129" i="8"/>
  <c r="L128" i="8"/>
  <c r="L127" i="8"/>
  <c r="L126" i="8"/>
  <c r="L125" i="8"/>
  <c r="L124" i="8"/>
  <c r="L123" i="8"/>
  <c r="L122" i="8"/>
  <c r="L121" i="8"/>
  <c r="L120" i="8"/>
  <c r="L119" i="8"/>
  <c r="L118" i="8"/>
  <c r="L117" i="8"/>
  <c r="L116" i="8"/>
  <c r="L115" i="8"/>
  <c r="L114" i="8"/>
  <c r="L113" i="8"/>
  <c r="L112" i="8"/>
  <c r="L111" i="8"/>
  <c r="L110" i="8"/>
  <c r="L109" i="8"/>
  <c r="L108" i="8"/>
  <c r="L107" i="8"/>
  <c r="L106" i="8"/>
  <c r="L105" i="8"/>
  <c r="L104" i="8"/>
  <c r="L103" i="8"/>
  <c r="L102" i="8"/>
  <c r="L101" i="8"/>
  <c r="L100" i="8"/>
  <c r="L99" i="8"/>
  <c r="L98" i="8"/>
  <c r="L97" i="8"/>
  <c r="L96" i="8"/>
  <c r="L95" i="8"/>
  <c r="L94" i="8"/>
  <c r="L93" i="8"/>
  <c r="L92" i="8"/>
  <c r="L91" i="8"/>
  <c r="L90" i="8"/>
  <c r="L89" i="8"/>
  <c r="L88" i="8"/>
  <c r="L87" i="8"/>
  <c r="L86" i="8"/>
  <c r="L85" i="8"/>
  <c r="L84" i="8"/>
  <c r="L83" i="8"/>
  <c r="L82" i="8"/>
  <c r="L81" i="8"/>
  <c r="L80" i="8"/>
  <c r="L79" i="8"/>
  <c r="L78" i="8"/>
  <c r="L77" i="8"/>
  <c r="L76" i="8"/>
  <c r="L75" i="8"/>
  <c r="L74" i="8"/>
  <c r="L73" i="8"/>
  <c r="L72" i="8"/>
  <c r="L71" i="8"/>
  <c r="L70" i="8"/>
  <c r="L69" i="8"/>
  <c r="L68" i="8"/>
  <c r="L67" i="8"/>
  <c r="L66" i="8"/>
  <c r="L65" i="8"/>
  <c r="L64" i="8"/>
  <c r="L63" i="8"/>
  <c r="L62" i="8"/>
  <c r="L61" i="8"/>
  <c r="L60" i="8"/>
  <c r="L59" i="8"/>
  <c r="L58" i="8"/>
  <c r="L57" i="8"/>
  <c r="L56" i="8"/>
  <c r="L55" i="8"/>
  <c r="L54" i="8"/>
  <c r="L53" i="8"/>
  <c r="L52" i="8"/>
  <c r="L51" i="8"/>
  <c r="L50" i="8"/>
  <c r="L49" i="8"/>
  <c r="L48" i="8"/>
  <c r="L47" i="8"/>
  <c r="L46" i="8"/>
  <c r="L45" i="8"/>
  <c r="L44" i="8"/>
  <c r="L43" i="8"/>
  <c r="L42" i="8"/>
  <c r="L41" i="8"/>
  <c r="L40" i="8"/>
  <c r="L39" i="8"/>
  <c r="L38" i="8"/>
  <c r="L37" i="8"/>
  <c r="L36" i="8"/>
  <c r="L35" i="8"/>
  <c r="L34" i="8"/>
  <c r="L33" i="8"/>
  <c r="L32" i="8"/>
  <c r="L31" i="8"/>
  <c r="L30" i="8"/>
  <c r="L29" i="8"/>
  <c r="L28" i="8"/>
  <c r="L27" i="8"/>
  <c r="L26" i="8"/>
  <c r="L25" i="8"/>
  <c r="L24" i="8"/>
  <c r="L23" i="8"/>
  <c r="L22" i="8"/>
  <c r="L21" i="8"/>
  <c r="L20" i="8"/>
  <c r="L19" i="8"/>
  <c r="L18" i="8"/>
  <c r="L17" i="8"/>
  <c r="L16" i="8"/>
  <c r="L15" i="8"/>
  <c r="L14" i="8"/>
  <c r="L13" i="8"/>
  <c r="L12" i="8"/>
  <c r="L11" i="8"/>
  <c r="L10" i="8"/>
  <c r="L9" i="8"/>
  <c r="L8" i="8"/>
  <c r="L7" i="8"/>
  <c r="L6" i="8"/>
  <c r="L4" i="8"/>
  <c r="I159" i="8"/>
  <c r="I158" i="8"/>
  <c r="I157" i="8"/>
  <c r="I156" i="8"/>
  <c r="I155" i="8"/>
  <c r="I154" i="8"/>
  <c r="I153" i="8"/>
  <c r="I152" i="8"/>
  <c r="I151" i="8"/>
  <c r="I150" i="8"/>
  <c r="I149" i="8"/>
  <c r="I148" i="8"/>
  <c r="I147" i="8"/>
  <c r="I146" i="8"/>
  <c r="I145" i="8"/>
  <c r="I144" i="8"/>
  <c r="I143" i="8"/>
  <c r="I142" i="8"/>
  <c r="I141" i="8"/>
  <c r="I140" i="8"/>
  <c r="I139" i="8"/>
  <c r="I138" i="8"/>
  <c r="I137" i="8"/>
  <c r="I136" i="8"/>
  <c r="I135" i="8"/>
  <c r="I134" i="8"/>
  <c r="I133" i="8"/>
  <c r="I132" i="8"/>
  <c r="I131" i="8"/>
  <c r="I130" i="8"/>
  <c r="I129" i="8"/>
  <c r="I128" i="8"/>
  <c r="I127" i="8"/>
  <c r="I126" i="8"/>
  <c r="I125" i="8"/>
  <c r="I124" i="8"/>
  <c r="I123" i="8"/>
  <c r="I122" i="8"/>
  <c r="I121" i="8"/>
  <c r="I120" i="8"/>
  <c r="I119" i="8"/>
  <c r="I118" i="8"/>
  <c r="I117" i="8"/>
  <c r="I116" i="8"/>
  <c r="I115" i="8"/>
  <c r="I114" i="8"/>
  <c r="I113" i="8"/>
  <c r="I112" i="8"/>
  <c r="I111" i="8"/>
  <c r="I110" i="8"/>
  <c r="I109" i="8"/>
  <c r="I108" i="8"/>
  <c r="I107" i="8"/>
  <c r="I106" i="8"/>
  <c r="I105" i="8"/>
  <c r="I104" i="8"/>
  <c r="I103" i="8"/>
  <c r="I102" i="8"/>
  <c r="I101" i="8"/>
  <c r="I100" i="8"/>
  <c r="I99" i="8"/>
  <c r="I98" i="8"/>
  <c r="I97" i="8"/>
  <c r="I96" i="8"/>
  <c r="I95" i="8"/>
  <c r="I94" i="8"/>
  <c r="I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I4"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80" i="8"/>
  <c r="K79" i="8"/>
  <c r="K78" i="8"/>
  <c r="K77" i="8"/>
  <c r="K76" i="8"/>
  <c r="K75" i="8"/>
  <c r="K74" i="8"/>
  <c r="K73" i="8"/>
  <c r="K72" i="8"/>
  <c r="K71" i="8"/>
  <c r="K70" i="8"/>
  <c r="K69" i="8"/>
  <c r="K68" i="8"/>
  <c r="K67"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K13" i="8"/>
  <c r="K12" i="8"/>
  <c r="K11" i="8"/>
  <c r="K10" i="8"/>
  <c r="K9" i="8"/>
  <c r="K8" i="8"/>
  <c r="K7" i="8"/>
  <c r="K6" i="8"/>
  <c r="K4" i="8"/>
  <c r="AJ157" i="3"/>
  <c r="AJ119" i="3"/>
  <c r="AJ189" i="3"/>
  <c r="AJ221" i="3"/>
  <c r="AJ285" i="3"/>
  <c r="AJ343" i="3"/>
  <c r="AJ367" i="3"/>
  <c r="AJ399" i="3"/>
  <c r="AJ431" i="3"/>
  <c r="AJ455" i="3"/>
  <c r="AJ487" i="3"/>
  <c r="AJ519" i="3"/>
  <c r="AJ535" i="3"/>
  <c r="AJ567" i="3"/>
  <c r="AJ599" i="3"/>
  <c r="AJ623" i="3"/>
  <c r="AJ12" i="3"/>
  <c r="AJ51" i="3"/>
  <c r="AJ99" i="3"/>
  <c r="AJ139" i="3"/>
  <c r="AJ155" i="3"/>
  <c r="AJ179" i="3"/>
  <c r="AJ203" i="3"/>
  <c r="AJ219" i="3"/>
  <c r="AJ243" i="3"/>
  <c r="AJ267" i="3"/>
  <c r="AJ283" i="3"/>
  <c r="AJ307" i="3"/>
  <c r="AJ331" i="3"/>
  <c r="AJ342" i="3"/>
  <c r="AJ354" i="3"/>
  <c r="AJ366" i="3"/>
  <c r="AJ374" i="3"/>
  <c r="AJ386" i="3"/>
  <c r="AJ398" i="3"/>
  <c r="AJ406" i="3"/>
  <c r="AJ418" i="3"/>
  <c r="AJ430" i="3"/>
  <c r="AJ438" i="3"/>
  <c r="AJ450" i="3"/>
  <c r="AJ462" i="3"/>
  <c r="AJ470" i="3"/>
  <c r="AJ482" i="3"/>
  <c r="AJ494" i="3"/>
  <c r="AJ502" i="3"/>
  <c r="AJ514" i="3"/>
  <c r="AJ526" i="3"/>
  <c r="AJ534" i="3"/>
  <c r="AJ546" i="3"/>
  <c r="AJ558" i="3"/>
  <c r="AJ566" i="3"/>
  <c r="AJ578" i="3"/>
  <c r="AJ590" i="3"/>
  <c r="AJ598" i="3"/>
  <c r="AJ610" i="3"/>
  <c r="AJ622" i="3"/>
  <c r="AJ629" i="3"/>
  <c r="AJ635" i="3"/>
  <c r="AJ641" i="3"/>
  <c r="AJ645" i="3"/>
  <c r="AJ651" i="3"/>
  <c r="AJ657" i="3"/>
  <c r="AJ661" i="3"/>
  <c r="AJ667" i="3"/>
  <c r="AJ673" i="3"/>
  <c r="AJ684" i="3"/>
  <c r="AJ625" i="3"/>
  <c r="AJ601" i="3"/>
  <c r="AJ585" i="3"/>
  <c r="AJ561" i="3"/>
  <c r="AJ537" i="3"/>
  <c r="AJ521" i="3"/>
  <c r="AJ497" i="3"/>
  <c r="AJ473" i="3"/>
  <c r="AJ457" i="3"/>
  <c r="AJ433" i="3"/>
  <c r="AJ409" i="3"/>
  <c r="AJ393" i="3"/>
  <c r="AJ369" i="3"/>
  <c r="AJ345" i="3"/>
  <c r="AJ321" i="3"/>
  <c r="AJ273" i="3"/>
  <c r="AJ225" i="3"/>
  <c r="AJ193" i="3"/>
  <c r="AJ145" i="3"/>
  <c r="AJ63" i="3"/>
  <c r="AJ109" i="3"/>
  <c r="AJ93" i="3"/>
  <c r="AJ69" i="3"/>
  <c r="AJ45" i="3"/>
  <c r="AJ22" i="3"/>
  <c r="AJ10" i="3"/>
  <c r="AJ15" i="3"/>
  <c r="AJ20" i="3"/>
  <c r="AJ23" i="3"/>
  <c r="AJ27" i="3"/>
  <c r="AJ31" i="3"/>
  <c r="AJ33" i="3"/>
  <c r="AJ37" i="3"/>
  <c r="AJ42" i="3"/>
  <c r="AJ46" i="3"/>
  <c r="AJ52" i="3"/>
  <c r="AJ58" i="3"/>
  <c r="AJ62" i="3"/>
  <c r="AJ68" i="3"/>
  <c r="AJ74" i="3"/>
  <c r="AJ78" i="3"/>
  <c r="AJ84" i="3"/>
  <c r="AJ90" i="3"/>
  <c r="AJ94" i="3"/>
  <c r="AJ100" i="3"/>
  <c r="AJ106" i="3"/>
  <c r="AJ110" i="3"/>
  <c r="AJ116" i="3"/>
  <c r="AJ122" i="3"/>
  <c r="AJ126" i="3"/>
  <c r="AJ132" i="3"/>
  <c r="AJ138" i="3"/>
  <c r="AJ142" i="3"/>
  <c r="AJ148" i="3"/>
  <c r="AJ154" i="3"/>
  <c r="AJ158" i="3"/>
  <c r="AJ164" i="3"/>
  <c r="AJ170" i="3"/>
  <c r="AJ174" i="3"/>
  <c r="AJ180" i="3"/>
  <c r="AJ186" i="3"/>
  <c r="AJ190" i="3"/>
  <c r="AJ196" i="3"/>
  <c r="AJ202" i="3"/>
  <c r="AJ206" i="3"/>
  <c r="AJ212" i="3"/>
  <c r="AJ218" i="3"/>
  <c r="AJ222" i="3"/>
  <c r="AJ228" i="3"/>
  <c r="AJ234" i="3"/>
  <c r="AJ238" i="3"/>
  <c r="AJ244" i="3"/>
  <c r="AJ250" i="3"/>
  <c r="AJ254" i="3"/>
  <c r="AJ260" i="3"/>
  <c r="AJ266" i="3"/>
  <c r="AJ270" i="3"/>
  <c r="AJ276" i="3"/>
  <c r="AJ282" i="3"/>
  <c r="AJ286" i="3"/>
  <c r="AJ292" i="3"/>
  <c r="AJ298" i="3"/>
  <c r="AJ302" i="3"/>
  <c r="AJ308" i="3"/>
  <c r="AJ314" i="3"/>
  <c r="AJ318" i="3"/>
  <c r="AJ324" i="3"/>
  <c r="AJ330" i="3"/>
  <c r="AJ334" i="3"/>
  <c r="AK93" i="4"/>
  <c r="B280" i="2"/>
  <c r="AK9" i="4"/>
  <c r="AK17" i="4"/>
  <c r="AK23" i="4"/>
  <c r="AK28" i="4"/>
  <c r="AK33" i="4"/>
  <c r="AK39" i="4"/>
  <c r="AK44" i="4"/>
  <c r="AK49" i="4"/>
  <c r="AK55" i="4"/>
  <c r="AK60" i="4"/>
  <c r="AK65" i="4"/>
  <c r="AK71" i="4"/>
  <c r="AK76" i="4"/>
  <c r="AK80" i="4"/>
  <c r="AK94" i="4"/>
  <c r="AK99" i="4"/>
  <c r="AL108" i="4"/>
  <c r="AK62" i="4"/>
  <c r="AK46" i="4"/>
  <c r="AK26" i="4"/>
  <c r="AK12" i="4"/>
  <c r="AK13" i="4"/>
  <c r="AK30" i="4"/>
  <c r="AL51" i="4"/>
  <c r="AL15" i="4"/>
  <c r="B11" i="4"/>
  <c r="AK102" i="4"/>
  <c r="AK97" i="4"/>
  <c r="AL93" i="4"/>
  <c r="AK85" i="4"/>
  <c r="AK81" i="4"/>
  <c r="AK75" i="4"/>
  <c r="AK69" i="4"/>
  <c r="AK64" i="4"/>
  <c r="AK59" i="4"/>
  <c r="AK53" i="4"/>
  <c r="AK48" i="4"/>
  <c r="AK43" i="4"/>
  <c r="AK37" i="4"/>
  <c r="AK32" i="4"/>
  <c r="AK27" i="4"/>
  <c r="AK21" i="4"/>
  <c r="AK16" i="4"/>
  <c r="AK109" i="4"/>
  <c r="AK92" i="4"/>
  <c r="AK54" i="4"/>
  <c r="AL87" i="4"/>
  <c r="AL34" i="4"/>
  <c r="AL80" i="4"/>
  <c r="AK105" i="4"/>
  <c r="AL101" i="4"/>
  <c r="AK88" i="4"/>
  <c r="AK86" i="4"/>
  <c r="AK70" i="4"/>
  <c r="AK50" i="4"/>
  <c r="AK11" i="4"/>
  <c r="AL63" i="4"/>
  <c r="B78" i="4"/>
  <c r="B4" i="6"/>
  <c r="B12" i="6"/>
  <c r="B13" i="6"/>
  <c r="B13" i="4"/>
  <c r="AJ9" i="3"/>
  <c r="AM10" i="4"/>
  <c r="B44" i="2"/>
  <c r="B42" i="4"/>
  <c r="B43" i="2"/>
  <c r="AK91" i="4"/>
  <c r="B148" i="2"/>
  <c r="B89" i="2"/>
  <c r="F3" i="8"/>
  <c r="F159" i="8"/>
  <c r="F158" i="8"/>
  <c r="F157" i="8"/>
  <c r="F156" i="8"/>
  <c r="F155" i="8"/>
  <c r="F154" i="8"/>
  <c r="F153" i="8"/>
  <c r="F152" i="8"/>
  <c r="F151" i="8"/>
  <c r="F150" i="8"/>
  <c r="F149" i="8"/>
  <c r="F148" i="8"/>
  <c r="F147" i="8"/>
  <c r="F146" i="8"/>
  <c r="F145" i="8"/>
  <c r="F144" i="8"/>
  <c r="F143" i="8"/>
  <c r="F142" i="8"/>
  <c r="F141" i="8"/>
  <c r="F140" i="8"/>
  <c r="F139" i="8"/>
  <c r="F138" i="8"/>
  <c r="F137" i="8"/>
  <c r="F136" i="8"/>
  <c r="F135" i="8"/>
  <c r="F134" i="8"/>
  <c r="F133" i="8"/>
  <c r="F132" i="8"/>
  <c r="F131" i="8"/>
  <c r="F130" i="8"/>
  <c r="F129" i="8"/>
  <c r="F128" i="8"/>
  <c r="F127" i="8"/>
  <c r="F126" i="8"/>
  <c r="F125" i="8"/>
  <c r="F124" i="8"/>
  <c r="F123" i="8"/>
  <c r="F122" i="8"/>
  <c r="F121" i="8"/>
  <c r="F120" i="8"/>
  <c r="F119" i="8"/>
  <c r="F118" i="8"/>
  <c r="F117" i="8"/>
  <c r="F116" i="8"/>
  <c r="F115" i="8"/>
  <c r="F114" i="8"/>
  <c r="F113" i="8"/>
  <c r="F112" i="8"/>
  <c r="F111" i="8"/>
  <c r="F110" i="8"/>
  <c r="F109" i="8"/>
  <c r="F108" i="8"/>
  <c r="F107" i="8"/>
  <c r="F106" i="8"/>
  <c r="F105" i="8"/>
  <c r="F104" i="8"/>
  <c r="F103" i="8"/>
  <c r="F102" i="8"/>
  <c r="F101" i="8"/>
  <c r="F100" i="8"/>
  <c r="F99" i="8"/>
  <c r="F98" i="8"/>
  <c r="F97" i="8"/>
  <c r="F96" i="8"/>
  <c r="F95" i="8"/>
  <c r="F94" i="8"/>
  <c r="F93" i="8"/>
  <c r="F92" i="8"/>
  <c r="F91" i="8"/>
  <c r="F90" i="8"/>
  <c r="F89" i="8"/>
  <c r="F88" i="8"/>
  <c r="F87" i="8"/>
  <c r="F86" i="8"/>
  <c r="F85" i="8"/>
  <c r="F84" i="8"/>
  <c r="F83" i="8"/>
  <c r="F82" i="8"/>
  <c r="F81" i="8"/>
  <c r="F80" i="8"/>
  <c r="F79" i="8"/>
  <c r="F78" i="8"/>
  <c r="F77" i="8"/>
  <c r="F76" i="8"/>
  <c r="F75" i="8"/>
  <c r="F74" i="8"/>
  <c r="F73" i="8"/>
  <c r="F72" i="8"/>
  <c r="F71" i="8"/>
  <c r="F70" i="8"/>
  <c r="F69" i="8"/>
  <c r="F68" i="8"/>
  <c r="F67" i="8"/>
  <c r="F66" i="8"/>
  <c r="F65" i="8"/>
  <c r="F64" i="8"/>
  <c r="F63" i="8"/>
  <c r="F62" i="8"/>
  <c r="F61" i="8"/>
  <c r="F60" i="8"/>
  <c r="F59" i="8"/>
  <c r="F58" i="8"/>
  <c r="F57" i="8"/>
  <c r="F56" i="8"/>
  <c r="F55" i="8"/>
  <c r="F54" i="8"/>
  <c r="F53" i="8"/>
  <c r="F52" i="8"/>
  <c r="F51" i="8"/>
  <c r="F50" i="8"/>
  <c r="F49" i="8"/>
  <c r="F48" i="8"/>
  <c r="F47" i="8"/>
  <c r="F46" i="8"/>
  <c r="F45" i="8"/>
  <c r="F44" i="8"/>
  <c r="F43" i="8"/>
  <c r="F42" i="8"/>
  <c r="F41" i="8"/>
  <c r="F40" i="8"/>
  <c r="F39" i="8"/>
  <c r="F38" i="8"/>
  <c r="F37" i="8"/>
  <c r="F36" i="8"/>
  <c r="F35" i="8"/>
  <c r="F34" i="8"/>
  <c r="F33" i="8"/>
  <c r="F32" i="8"/>
  <c r="F31" i="8"/>
  <c r="F30" i="8"/>
  <c r="F29" i="8"/>
  <c r="F28" i="8"/>
  <c r="F27" i="8"/>
  <c r="F26" i="8"/>
  <c r="F25" i="8"/>
  <c r="F24" i="8"/>
  <c r="F23" i="8"/>
  <c r="F22" i="8"/>
  <c r="F21" i="8"/>
  <c r="F20" i="8"/>
  <c r="F19" i="8"/>
  <c r="F18" i="8"/>
  <c r="F17" i="8"/>
  <c r="F16" i="8"/>
  <c r="F15" i="8"/>
  <c r="F14" i="8"/>
  <c r="F13" i="8"/>
  <c r="F12" i="8"/>
  <c r="F11" i="8"/>
  <c r="F10" i="8"/>
  <c r="F9" i="8"/>
  <c r="F8" i="8"/>
  <c r="F7" i="8"/>
  <c r="F6" i="8"/>
  <c r="F4" i="8"/>
  <c r="AL91" i="4"/>
  <c r="AQ37" i="3"/>
  <c r="A38" i="3"/>
  <c r="B37" i="3"/>
  <c r="AR29" i="3"/>
  <c r="B29" i="3"/>
  <c r="AQ31" i="3"/>
  <c r="AR31" i="3"/>
  <c r="AR36" i="3"/>
  <c r="B36" i="3"/>
  <c r="B27" i="3"/>
  <c r="B28" i="3"/>
  <c r="AR28" i="3"/>
  <c r="AQ28" i="3"/>
  <c r="AR33" i="3"/>
  <c r="B33" i="3"/>
  <c r="AQ33" i="3"/>
  <c r="B35" i="3"/>
  <c r="AQ35" i="3"/>
  <c r="AR35" i="3"/>
  <c r="AN20" i="4"/>
  <c r="AJ157" i="4"/>
  <c r="AJ204" i="4"/>
  <c r="I132" i="4"/>
  <c r="J132" i="4"/>
  <c r="K132" i="4"/>
  <c r="AP138" i="4"/>
  <c r="AJ186" i="4"/>
  <c r="AP157" i="4"/>
  <c r="AJ208" i="4"/>
  <c r="I202" i="4"/>
  <c r="J202" i="4"/>
  <c r="AJ115" i="4"/>
  <c r="AP173" i="4"/>
  <c r="AP127" i="4"/>
  <c r="AJ122" i="4"/>
  <c r="AJ170" i="4"/>
  <c r="AP125" i="4"/>
  <c r="AJ192" i="4"/>
  <c r="AJ118" i="4"/>
  <c r="I166" i="4"/>
  <c r="J166" i="4"/>
  <c r="K166" i="4"/>
  <c r="AJ120" i="4"/>
  <c r="AP150" i="4"/>
  <c r="AP124" i="4"/>
  <c r="AJ188" i="4"/>
  <c r="I184" i="4"/>
  <c r="J184" i="4"/>
  <c r="K184" i="4"/>
  <c r="I180" i="4"/>
  <c r="J180" i="4"/>
  <c r="AJ166" i="4"/>
  <c r="AJ153" i="4"/>
  <c r="I201" i="4"/>
  <c r="J201" i="4"/>
  <c r="K201" i="4"/>
  <c r="AJ171" i="4"/>
  <c r="I198" i="4"/>
  <c r="J198" i="4"/>
  <c r="K198" i="4"/>
  <c r="I207" i="4"/>
  <c r="J207" i="4"/>
  <c r="AJ184" i="4"/>
  <c r="I153" i="4"/>
  <c r="J153" i="4"/>
  <c r="K153" i="4"/>
  <c r="AP166" i="4"/>
  <c r="AP134" i="4"/>
  <c r="AP192" i="4"/>
  <c r="AP116" i="4"/>
  <c r="AJ151" i="4"/>
  <c r="AJ134" i="4"/>
  <c r="I116" i="4"/>
  <c r="J116" i="4"/>
  <c r="AJ179" i="4"/>
  <c r="AJ137" i="4"/>
  <c r="AP179" i="4"/>
  <c r="AP180" i="4"/>
  <c r="AP151" i="4"/>
  <c r="I151" i="4"/>
  <c r="J151" i="4"/>
  <c r="AJ198" i="4"/>
  <c r="AJ169" i="4"/>
  <c r="AJ207" i="4"/>
  <c r="I121" i="4"/>
  <c r="J121" i="4"/>
  <c r="K121" i="4"/>
  <c r="I169" i="4"/>
  <c r="J169" i="4"/>
  <c r="I192" i="4"/>
  <c r="J192" i="4"/>
  <c r="K192" i="4"/>
  <c r="AJ116" i="4"/>
  <c r="AP121" i="4"/>
  <c r="AP129" i="4"/>
  <c r="AP132" i="4"/>
  <c r="AJ177" i="4"/>
  <c r="AJ167" i="4"/>
  <c r="AN137" i="4"/>
  <c r="AN185" i="4"/>
  <c r="AN191" i="4"/>
  <c r="I127" i="4"/>
  <c r="J127" i="4"/>
  <c r="K127" i="4"/>
  <c r="I186" i="4"/>
  <c r="J186" i="4"/>
  <c r="K186" i="4"/>
  <c r="AJ125" i="4"/>
  <c r="AJ196" i="4"/>
  <c r="AJ200" i="4"/>
  <c r="I138" i="4"/>
  <c r="J138" i="4"/>
  <c r="K138" i="4"/>
  <c r="I208" i="4"/>
  <c r="J208" i="4"/>
  <c r="K208" i="4"/>
  <c r="I200" i="4"/>
  <c r="J200" i="4"/>
  <c r="K200" i="4"/>
  <c r="I154" i="4"/>
  <c r="J154" i="4"/>
  <c r="K154" i="4"/>
  <c r="I141" i="4"/>
  <c r="J141" i="4"/>
  <c r="K141" i="4"/>
  <c r="AJ144" i="4"/>
  <c r="AP186" i="4"/>
  <c r="AP205" i="4"/>
  <c r="AP183" i="4"/>
  <c r="AP208" i="4"/>
  <c r="I173" i="4"/>
  <c r="J173" i="4"/>
  <c r="I170" i="4"/>
  <c r="J170" i="4"/>
  <c r="K170" i="4"/>
  <c r="I183" i="4"/>
  <c r="J183" i="4"/>
  <c r="K183" i="4"/>
  <c r="I157" i="4"/>
  <c r="J157" i="4"/>
  <c r="I125" i="4"/>
  <c r="J125" i="4"/>
  <c r="K125" i="4"/>
  <c r="AP170" i="4"/>
  <c r="AP144" i="4"/>
  <c r="AP196" i="4"/>
  <c r="AN139" i="4"/>
  <c r="AN163" i="4"/>
  <c r="AN192" i="4"/>
  <c r="AN132" i="4"/>
  <c r="I171" i="4"/>
  <c r="J171" i="4"/>
  <c r="K171" i="4"/>
  <c r="I150" i="4"/>
  <c r="J150" i="4"/>
  <c r="K150" i="4"/>
  <c r="I118" i="4"/>
  <c r="J118" i="4"/>
  <c r="K118" i="4"/>
  <c r="AJ185" i="4"/>
  <c r="AJ150" i="4"/>
  <c r="AJ182" i="4"/>
  <c r="I110" i="4"/>
  <c r="J110" i="4"/>
  <c r="K110" i="4"/>
  <c r="AJ201" i="4"/>
  <c r="AJ124" i="4"/>
  <c r="I185" i="4"/>
  <c r="J185" i="4"/>
  <c r="AJ180" i="4"/>
  <c r="I120" i="4"/>
  <c r="J120" i="4"/>
  <c r="AP153" i="4"/>
  <c r="AP169" i="4"/>
  <c r="AP171" i="4"/>
  <c r="AP185" i="4"/>
  <c r="AP139" i="4"/>
  <c r="AP207" i="4"/>
  <c r="AP184" i="4"/>
  <c r="I134" i="4"/>
  <c r="J134" i="4"/>
  <c r="K134" i="4"/>
  <c r="AJ121" i="4"/>
  <c r="I139" i="4"/>
  <c r="J139" i="4"/>
  <c r="K139" i="4"/>
  <c r="AJ139" i="4"/>
  <c r="I188" i="4"/>
  <c r="J188" i="4"/>
  <c r="K188" i="4"/>
  <c r="I179" i="4"/>
  <c r="J179" i="4"/>
  <c r="K179" i="4"/>
  <c r="I137" i="4"/>
  <c r="J137" i="4"/>
  <c r="I182" i="4"/>
  <c r="J182" i="4"/>
  <c r="AJ128" i="4"/>
  <c r="AJ119" i="4"/>
  <c r="I128" i="4"/>
  <c r="J128" i="4"/>
  <c r="K128" i="4"/>
  <c r="I119" i="4"/>
  <c r="J119" i="4"/>
  <c r="K119" i="4"/>
  <c r="AP118" i="4"/>
  <c r="AP198" i="4"/>
  <c r="AP201" i="4"/>
  <c r="AP182" i="4"/>
  <c r="AP128" i="4"/>
  <c r="AP119" i="4"/>
  <c r="AP137" i="4"/>
  <c r="AP188" i="4"/>
  <c r="AP165" i="4"/>
  <c r="AP120" i="4"/>
  <c r="AN129" i="4"/>
  <c r="AN187" i="4"/>
  <c r="AN167" i="4"/>
  <c r="AN136" i="4"/>
  <c r="AN177" i="4"/>
  <c r="AN118" i="4"/>
  <c r="AN135" i="4"/>
  <c r="AJ159" i="4"/>
  <c r="AJ147" i="4"/>
  <c r="AJ138" i="4"/>
  <c r="I159" i="4"/>
  <c r="J159" i="4"/>
  <c r="K159" i="4"/>
  <c r="AJ202" i="4"/>
  <c r="AJ141" i="4"/>
  <c r="I178" i="4"/>
  <c r="J178" i="4"/>
  <c r="K178" i="4"/>
  <c r="I189" i="4"/>
  <c r="J189" i="4"/>
  <c r="K189" i="4"/>
  <c r="AJ183" i="4"/>
  <c r="I140" i="4"/>
  <c r="J140" i="4"/>
  <c r="I204" i="4"/>
  <c r="J204" i="4"/>
  <c r="K204" i="4"/>
  <c r="I144" i="4"/>
  <c r="J144" i="4"/>
  <c r="K144" i="4"/>
  <c r="AJ140" i="4"/>
  <c r="I115" i="4"/>
  <c r="J115" i="4"/>
  <c r="K115" i="4"/>
  <c r="AJ132" i="4"/>
  <c r="AP159" i="4"/>
  <c r="AP122" i="4"/>
  <c r="AP189" i="4"/>
  <c r="AP141" i="4"/>
  <c r="AP147" i="4"/>
  <c r="AP115" i="4"/>
  <c r="I187" i="4"/>
  <c r="J187" i="4"/>
  <c r="K187" i="4"/>
  <c r="I205" i="4"/>
  <c r="J205" i="4"/>
  <c r="K205" i="4"/>
  <c r="AJ205" i="4"/>
  <c r="I122" i="4"/>
  <c r="J122" i="4"/>
  <c r="AJ187" i="4"/>
  <c r="AJ154" i="4"/>
  <c r="I196" i="4"/>
  <c r="J196" i="4"/>
  <c r="K196" i="4"/>
  <c r="I147" i="4"/>
  <c r="J147" i="4"/>
  <c r="K147" i="4"/>
  <c r="AJ189" i="4"/>
  <c r="AJ173" i="4"/>
  <c r="I136" i="4"/>
  <c r="J136" i="4"/>
  <c r="K136" i="4"/>
  <c r="AJ127" i="4"/>
  <c r="AJ136" i="4"/>
  <c r="AP154" i="4"/>
  <c r="AP187" i="4"/>
  <c r="AP202" i="4"/>
  <c r="AN200" i="4"/>
  <c r="AN119" i="4"/>
  <c r="AJ145" i="4"/>
  <c r="AJ158" i="4"/>
  <c r="I124" i="4"/>
  <c r="J124" i="4"/>
  <c r="AP123" i="4"/>
  <c r="AJ129" i="4"/>
  <c r="I129" i="4"/>
  <c r="J129" i="4"/>
  <c r="K129" i="4"/>
  <c r="I190" i="4"/>
  <c r="J190" i="4"/>
  <c r="AJ209" i="4"/>
  <c r="AP174" i="4"/>
  <c r="AP167" i="4"/>
  <c r="AP113" i="4"/>
  <c r="AP135" i="4"/>
  <c r="I193" i="4"/>
  <c r="J193" i="4"/>
  <c r="K193" i="4"/>
  <c r="I126" i="4"/>
  <c r="J126" i="4"/>
  <c r="AJ191" i="4"/>
  <c r="AP152" i="4"/>
  <c r="AN150" i="4"/>
  <c r="AN123" i="4"/>
  <c r="AN208" i="4"/>
  <c r="AN126" i="4"/>
  <c r="AN166" i="4"/>
  <c r="AN196" i="4"/>
  <c r="AN209" i="4"/>
  <c r="AN138" i="4"/>
  <c r="AN149" i="4"/>
  <c r="AN140" i="4"/>
  <c r="AN110" i="4"/>
  <c r="AN124" i="4"/>
  <c r="AP204" i="4"/>
  <c r="AP148" i="4"/>
  <c r="AN197" i="4"/>
  <c r="AN158" i="4"/>
  <c r="AN113" i="4"/>
  <c r="AN127" i="4"/>
  <c r="AP175" i="4"/>
  <c r="AN193" i="4"/>
  <c r="AN199" i="4"/>
  <c r="I199" i="4"/>
  <c r="J199" i="4"/>
  <c r="K199" i="4"/>
  <c r="AJ113" i="4"/>
  <c r="AJ206" i="4"/>
  <c r="I165" i="4"/>
  <c r="J165" i="4"/>
  <c r="I177" i="4"/>
  <c r="J177" i="4"/>
  <c r="I113" i="4"/>
  <c r="J113" i="4"/>
  <c r="I172" i="4"/>
  <c r="J172" i="4"/>
  <c r="AJ195" i="4"/>
  <c r="AJ123" i="4"/>
  <c r="I123" i="4"/>
  <c r="J123" i="4"/>
  <c r="AP161" i="4"/>
  <c r="AP190" i="4"/>
  <c r="AP206" i="4"/>
  <c r="AP209" i="4"/>
  <c r="AP156" i="4"/>
  <c r="AP140" i="4"/>
  <c r="I164" i="4"/>
  <c r="J164" i="4"/>
  <c r="K164" i="4"/>
  <c r="AJ130" i="4"/>
  <c r="AJ174" i="4"/>
  <c r="I130" i="4"/>
  <c r="J130" i="4"/>
  <c r="I167" i="4"/>
  <c r="J167" i="4"/>
  <c r="I197" i="4"/>
  <c r="J197" i="4"/>
  <c r="K197" i="4"/>
  <c r="AJ156" i="4"/>
  <c r="I145" i="4"/>
  <c r="J145" i="4"/>
  <c r="I206" i="4"/>
  <c r="J206" i="4"/>
  <c r="K206" i="4"/>
  <c r="AJ142" i="4"/>
  <c r="I191" i="4"/>
  <c r="J191" i="4"/>
  <c r="I152" i="4"/>
  <c r="J152" i="4"/>
  <c r="AJ148" i="4"/>
  <c r="AP111" i="4"/>
  <c r="AP191" i="4"/>
  <c r="AP195" i="4"/>
  <c r="AP145" i="4"/>
  <c r="AN207" i="4"/>
  <c r="AN203" i="4"/>
  <c r="AN154" i="4"/>
  <c r="AN186" i="4"/>
  <c r="AN134" i="4"/>
  <c r="AN143" i="4"/>
  <c r="AN184" i="4"/>
  <c r="AN147" i="4"/>
  <c r="AN195" i="4"/>
  <c r="AN182" i="4"/>
  <c r="AN202" i="4"/>
  <c r="AN157" i="4"/>
  <c r="AN175" i="4"/>
  <c r="AN116" i="4"/>
  <c r="AN148" i="4"/>
  <c r="AN190" i="4"/>
  <c r="AN179" i="4"/>
  <c r="AN156" i="4"/>
  <c r="AN206" i="4"/>
  <c r="AN201" i="4"/>
  <c r="AN194" i="4"/>
  <c r="AN174" i="4"/>
  <c r="AN159" i="4"/>
  <c r="AN152" i="4"/>
  <c r="AN170" i="4"/>
  <c r="AN131" i="4"/>
  <c r="AN115" i="4"/>
  <c r="AN180" i="4"/>
  <c r="AN155" i="4"/>
  <c r="AN205" i="4"/>
  <c r="AN142" i="4"/>
  <c r="AN122" i="4"/>
  <c r="AJ114" i="4"/>
  <c r="AJ117" i="4"/>
  <c r="AJ199" i="4"/>
  <c r="I149" i="4"/>
  <c r="J149" i="4"/>
  <c r="AJ194" i="4"/>
  <c r="AP197" i="4"/>
  <c r="AP181" i="4"/>
  <c r="AJ160" i="4"/>
  <c r="I117" i="4"/>
  <c r="J117" i="4"/>
  <c r="K117" i="4"/>
  <c r="AJ163" i="4"/>
  <c r="AJ178" i="4"/>
  <c r="I163" i="4"/>
  <c r="J163" i="4"/>
  <c r="I160" i="4"/>
  <c r="J160" i="4"/>
  <c r="I143" i="4"/>
  <c r="J143" i="4"/>
  <c r="AJ190" i="4"/>
  <c r="I162" i="4"/>
  <c r="J162" i="4"/>
  <c r="X162" i="4"/>
  <c r="Y162" i="4"/>
  <c r="I209" i="4"/>
  <c r="J209" i="4"/>
  <c r="AJ162" i="4"/>
  <c r="AJ203" i="4"/>
  <c r="I203" i="4"/>
  <c r="J203" i="4"/>
  <c r="AJ176" i="4"/>
  <c r="AJ172" i="4"/>
  <c r="AJ168" i="4"/>
  <c r="AJ164" i="4"/>
  <c r="I148" i="4"/>
  <c r="J148" i="4"/>
  <c r="K148" i="4"/>
  <c r="I135" i="4"/>
  <c r="J135" i="4"/>
  <c r="I131" i="4"/>
  <c r="J131" i="4"/>
  <c r="I111" i="4"/>
  <c r="J111" i="4"/>
  <c r="L111" i="4"/>
  <c r="AP163" i="4"/>
  <c r="AP155" i="4"/>
  <c r="AP126" i="4"/>
  <c r="AP110" i="4"/>
  <c r="AP158" i="4"/>
  <c r="AP177" i="4"/>
  <c r="AP162" i="4"/>
  <c r="AP133" i="4"/>
  <c r="AP193" i="4"/>
  <c r="AP112" i="4"/>
  <c r="AP164" i="4"/>
  <c r="AP172" i="4"/>
  <c r="AP200" i="4"/>
  <c r="AP136" i="4"/>
  <c r="I114" i="4"/>
  <c r="J114" i="4"/>
  <c r="R114" i="4"/>
  <c r="S114" i="4"/>
  <c r="T114" i="4"/>
  <c r="AJ143" i="4"/>
  <c r="I175" i="4"/>
  <c r="J175" i="4"/>
  <c r="AJ149" i="4"/>
  <c r="I181" i="4"/>
  <c r="J181" i="4"/>
  <c r="I176" i="4"/>
  <c r="J176" i="4"/>
  <c r="K176" i="4"/>
  <c r="I168" i="4"/>
  <c r="J168" i="4"/>
  <c r="AJ165" i="4"/>
  <c r="AJ112" i="4"/>
  <c r="AP114" i="4"/>
  <c r="AP199" i="4"/>
  <c r="AP143" i="4"/>
  <c r="I133" i="4"/>
  <c r="J133" i="4"/>
  <c r="AJ193" i="4"/>
  <c r="AJ110" i="4"/>
  <c r="I155" i="4"/>
  <c r="J155" i="4"/>
  <c r="K155" i="4"/>
  <c r="I174" i="4"/>
  <c r="J174" i="4"/>
  <c r="K174" i="4"/>
  <c r="AJ126" i="4"/>
  <c r="I146" i="4"/>
  <c r="J146" i="4"/>
  <c r="AJ146" i="4"/>
  <c r="I156" i="4"/>
  <c r="J156" i="4"/>
  <c r="K156" i="4"/>
  <c r="AJ197" i="4"/>
  <c r="I194" i="4"/>
  <c r="J194" i="4"/>
  <c r="AJ133" i="4"/>
  <c r="AJ175" i="4"/>
  <c r="I142" i="4"/>
  <c r="J142" i="4"/>
  <c r="K142" i="4"/>
  <c r="AJ161" i="4"/>
  <c r="I158" i="4"/>
  <c r="J158" i="4"/>
  <c r="AJ181" i="4"/>
  <c r="AJ155" i="4"/>
  <c r="I161" i="4"/>
  <c r="J161" i="4"/>
  <c r="K161" i="4"/>
  <c r="I195" i="4"/>
  <c r="J195" i="4"/>
  <c r="AJ152" i="4"/>
  <c r="AJ131" i="4"/>
  <c r="AJ135" i="4"/>
  <c r="I112" i="4"/>
  <c r="J112" i="4"/>
  <c r="AJ111" i="4"/>
  <c r="AP117" i="4"/>
  <c r="AP203" i="4"/>
  <c r="AP146" i="4"/>
  <c r="AP142" i="4"/>
  <c r="AP130" i="4"/>
  <c r="AP160" i="4"/>
  <c r="AP149" i="4"/>
  <c r="AP178" i="4"/>
  <c r="AP194" i="4"/>
  <c r="AP131" i="4"/>
  <c r="AP176" i="4"/>
  <c r="AP168" i="4"/>
  <c r="C243" i="2"/>
  <c r="F243" i="2"/>
  <c r="C44" i="16"/>
  <c r="B244" i="2"/>
  <c r="D44" i="16"/>
  <c r="D242" i="2"/>
  <c r="B245" i="2"/>
  <c r="D243" i="2"/>
  <c r="AN120" i="4"/>
  <c r="AN173" i="4"/>
  <c r="AN165" i="4"/>
  <c r="AN172" i="4"/>
  <c r="AN161" i="4"/>
  <c r="AN183" i="4"/>
  <c r="AN178" i="4"/>
  <c r="AN160" i="4"/>
  <c r="AN153" i="4"/>
  <c r="AN146" i="4"/>
  <c r="AN141" i="4"/>
  <c r="AN128" i="4"/>
  <c r="AN125" i="4"/>
  <c r="AN112" i="4"/>
  <c r="AN204" i="4"/>
  <c r="AN130" i="4"/>
  <c r="AN181" i="4"/>
  <c r="AN176" i="4"/>
  <c r="AN198" i="4"/>
  <c r="AN145" i="4"/>
  <c r="AN114" i="4"/>
  <c r="AN111" i="4"/>
  <c r="AN189" i="4"/>
  <c r="AN168" i="4"/>
  <c r="AN171" i="4"/>
  <c r="AN144" i="4"/>
  <c r="AN164" i="4"/>
  <c r="AN188" i="4"/>
  <c r="AN169" i="4"/>
  <c r="AN162" i="4"/>
  <c r="AN151" i="4"/>
  <c r="AN121" i="4"/>
  <c r="AN117" i="4"/>
  <c r="AN133" i="4"/>
  <c r="AJ43" i="4"/>
  <c r="AP98" i="4"/>
  <c r="AJ13" i="4"/>
  <c r="AJ80" i="4"/>
  <c r="AP109" i="4"/>
  <c r="AJ78" i="4"/>
  <c r="AJ40" i="4"/>
  <c r="AJ97" i="4"/>
  <c r="AJ19" i="4"/>
  <c r="AJ61" i="4"/>
  <c r="AP22" i="4"/>
  <c r="AP85" i="4"/>
  <c r="AI38" i="4"/>
  <c r="AP73" i="4"/>
  <c r="AJ84" i="4"/>
  <c r="AI86" i="4"/>
  <c r="AJ29" i="4"/>
  <c r="I107" i="4"/>
  <c r="J107" i="4"/>
  <c r="K107" i="4"/>
  <c r="AI25" i="4"/>
  <c r="I30" i="4"/>
  <c r="J30" i="4"/>
  <c r="K30" i="4"/>
  <c r="AJ94" i="4"/>
  <c r="AP88" i="4"/>
  <c r="AI26" i="4"/>
  <c r="I37" i="4"/>
  <c r="J37" i="4"/>
  <c r="K37" i="4"/>
  <c r="AJ41" i="4"/>
  <c r="AP66" i="4"/>
  <c r="AJ39" i="4"/>
  <c r="AP76" i="4"/>
  <c r="I51" i="4"/>
  <c r="J51" i="4"/>
  <c r="K51" i="4"/>
  <c r="AP12" i="4"/>
  <c r="AP17" i="4"/>
  <c r="AI70" i="4"/>
  <c r="I16" i="4"/>
  <c r="J16" i="4"/>
  <c r="K16" i="4"/>
  <c r="AP104" i="4"/>
  <c r="AJ87" i="4"/>
  <c r="AJ52" i="4"/>
  <c r="AP15" i="4"/>
  <c r="AI100" i="4"/>
  <c r="AP18" i="4"/>
  <c r="AJ67" i="4"/>
  <c r="AJ45" i="4"/>
  <c r="AP62" i="4"/>
  <c r="AP56" i="4"/>
  <c r="I20" i="4"/>
  <c r="J20" i="4"/>
  <c r="K20" i="4"/>
  <c r="AI34" i="4"/>
  <c r="AI103" i="4"/>
  <c r="AJ44" i="4"/>
  <c r="AI21" i="4"/>
  <c r="AP31" i="4"/>
  <c r="AP69" i="4"/>
  <c r="AJ42" i="4"/>
  <c r="AP49" i="4"/>
  <c r="I99" i="4"/>
  <c r="J99" i="4"/>
  <c r="K99" i="4"/>
  <c r="AP24" i="4"/>
  <c r="AJ64" i="4"/>
  <c r="AI28" i="4"/>
  <c r="AP53" i="4"/>
  <c r="AJ96" i="4"/>
  <c r="AP68" i="4"/>
  <c r="AI32" i="4"/>
  <c r="AP106" i="4"/>
  <c r="AP11" i="4"/>
  <c r="AI9" i="4"/>
  <c r="I75" i="4"/>
  <c r="J75" i="4"/>
  <c r="K75" i="4"/>
  <c r="AI82" i="4"/>
  <c r="AP92" i="4"/>
  <c r="AI48" i="4"/>
  <c r="AP23" i="4"/>
  <c r="I27" i="4"/>
  <c r="J27" i="4"/>
  <c r="K27" i="4"/>
  <c r="AI89" i="4"/>
  <c r="AJ91" i="4"/>
  <c r="AP58" i="4"/>
  <c r="AI10" i="4"/>
  <c r="I33" i="4"/>
  <c r="J33" i="4"/>
  <c r="K33" i="4"/>
  <c r="AP105" i="4"/>
  <c r="AJ79" i="4"/>
  <c r="AI46" i="4"/>
  <c r="I72" i="4"/>
  <c r="J72" i="4"/>
  <c r="K72" i="4"/>
  <c r="AJ101" i="4"/>
  <c r="AJ50" i="4"/>
  <c r="AJ71" i="4"/>
  <c r="AI81" i="4"/>
  <c r="AI60" i="4"/>
  <c r="AJ83" i="4"/>
  <c r="AJ57" i="4"/>
  <c r="AJ95" i="4"/>
  <c r="AI102" i="4"/>
  <c r="AI59" i="4"/>
  <c r="I74" i="4"/>
  <c r="J74" i="4"/>
  <c r="K74" i="4"/>
  <c r="AP93" i="4"/>
  <c r="AP35" i="4"/>
  <c r="AP77" i="4"/>
  <c r="AI90" i="4"/>
  <c r="AJ36" i="4"/>
  <c r="AJ54" i="4"/>
  <c r="I55" i="4"/>
  <c r="J55" i="4"/>
  <c r="K55" i="4"/>
  <c r="AP63" i="4"/>
  <c r="AI14" i="4"/>
  <c r="L66" i="2"/>
  <c r="G243" i="2"/>
  <c r="B39" i="2"/>
  <c r="B17" i="2"/>
  <c r="B37" i="2"/>
  <c r="B18" i="2"/>
  <c r="B62" i="2"/>
  <c r="R14" i="8"/>
  <c r="AP10" i="4"/>
  <c r="B125" i="2"/>
  <c r="B132" i="2"/>
  <c r="I10" i="4"/>
  <c r="J10" i="4"/>
  <c r="K10" i="4"/>
  <c r="AJ10" i="4"/>
  <c r="AI18" i="4"/>
  <c r="B273" i="2"/>
  <c r="I28" i="4"/>
  <c r="J28" i="4"/>
  <c r="K28" i="4"/>
  <c r="AP45" i="4"/>
  <c r="AN10" i="4"/>
  <c r="AI16" i="4"/>
  <c r="AN93" i="4"/>
  <c r="AN24" i="4"/>
  <c r="I45" i="4"/>
  <c r="J45" i="4"/>
  <c r="K45" i="4"/>
  <c r="AI45" i="4"/>
  <c r="B80" i="2"/>
  <c r="E40" i="1"/>
  <c r="B30" i="2"/>
  <c r="E16" i="1"/>
  <c r="I104" i="4"/>
  <c r="J104" i="4"/>
  <c r="K104" i="4"/>
  <c r="AP28" i="4"/>
  <c r="I58" i="4"/>
  <c r="J58" i="4"/>
  <c r="K58" i="4"/>
  <c r="AP91" i="4"/>
  <c r="AI104" i="4"/>
  <c r="AI55" i="4"/>
  <c r="AI96" i="4"/>
  <c r="I36" i="4"/>
  <c r="J36" i="4"/>
  <c r="K36" i="4"/>
  <c r="J668" i="3"/>
  <c r="AN57" i="4"/>
  <c r="I77" i="4"/>
  <c r="J77" i="4"/>
  <c r="K77" i="4"/>
  <c r="J640" i="3"/>
  <c r="J95" i="3"/>
  <c r="AJ93" i="4"/>
  <c r="AJ32" i="4"/>
  <c r="I68" i="4"/>
  <c r="J68" i="4"/>
  <c r="K68" i="4"/>
  <c r="AP36" i="4"/>
  <c r="J526" i="3"/>
  <c r="J660" i="3"/>
  <c r="AP44" i="4"/>
  <c r="AI20" i="4"/>
  <c r="AJ27" i="4"/>
  <c r="AI74" i="4"/>
  <c r="AJ51" i="4"/>
  <c r="I32" i="4"/>
  <c r="J32" i="4"/>
  <c r="K32" i="4"/>
  <c r="J265" i="3"/>
  <c r="J393" i="3"/>
  <c r="J300" i="3"/>
  <c r="J665" i="3"/>
  <c r="AP67" i="4"/>
  <c r="J409" i="3"/>
  <c r="B24" i="2"/>
  <c r="AP89" i="4"/>
  <c r="AN23" i="4"/>
  <c r="J13" i="3"/>
  <c r="J317" i="3"/>
  <c r="AJ88" i="4"/>
  <c r="AJ74" i="4"/>
  <c r="J173" i="3"/>
  <c r="J643" i="3"/>
  <c r="J267" i="3"/>
  <c r="J537" i="3"/>
  <c r="J140" i="3"/>
  <c r="J480" i="3"/>
  <c r="J233" i="3"/>
  <c r="J19" i="3"/>
  <c r="J332" i="3"/>
  <c r="J286" i="3"/>
  <c r="J397" i="3"/>
  <c r="J511" i="3"/>
  <c r="AJ48" i="4"/>
  <c r="AI95" i="4"/>
  <c r="AP94" i="4"/>
  <c r="I91" i="4"/>
  <c r="J91" i="4"/>
  <c r="K91" i="4"/>
  <c r="I54" i="4"/>
  <c r="J54" i="4"/>
  <c r="K54" i="4"/>
  <c r="AJ55" i="4"/>
  <c r="I64" i="4"/>
  <c r="J64" i="4"/>
  <c r="K64" i="4"/>
  <c r="J423" i="3"/>
  <c r="J110" i="3"/>
  <c r="J280" i="3"/>
  <c r="J106" i="3"/>
  <c r="J309" i="3"/>
  <c r="J179" i="3"/>
  <c r="J621" i="3"/>
  <c r="J463" i="3"/>
  <c r="J174" i="3"/>
  <c r="J224" i="3"/>
  <c r="J354" i="3"/>
  <c r="J552" i="3"/>
  <c r="J197" i="3"/>
  <c r="J384" i="3"/>
  <c r="J111" i="3"/>
  <c r="J636" i="3"/>
  <c r="J395" i="3"/>
  <c r="AI63" i="4"/>
  <c r="J337" i="3"/>
  <c r="J427" i="3"/>
  <c r="J125" i="3"/>
  <c r="J687" i="3"/>
  <c r="J604" i="3"/>
  <c r="J595" i="3"/>
  <c r="J346" i="3"/>
  <c r="AP42" i="4"/>
  <c r="AP54" i="4"/>
  <c r="AI54" i="4"/>
  <c r="I96" i="4"/>
  <c r="J96" i="4"/>
  <c r="K96" i="4"/>
  <c r="AI101" i="4"/>
  <c r="I92" i="4"/>
  <c r="J92" i="4"/>
  <c r="K92" i="4"/>
  <c r="I9" i="4"/>
  <c r="J9" i="4"/>
  <c r="K9" i="4"/>
  <c r="I87" i="4"/>
  <c r="J87" i="4"/>
  <c r="K87" i="4"/>
  <c r="I19" i="4"/>
  <c r="J19" i="4"/>
  <c r="K19" i="4"/>
  <c r="I53" i="4"/>
  <c r="J53" i="4"/>
  <c r="K53" i="4"/>
  <c r="I42" i="4"/>
  <c r="J42" i="4"/>
  <c r="K42" i="4"/>
  <c r="AP78" i="4"/>
  <c r="AI53" i="4"/>
  <c r="AI52" i="4"/>
  <c r="I24" i="4"/>
  <c r="J24" i="4"/>
  <c r="K24" i="4"/>
  <c r="AJ15" i="4"/>
  <c r="AI67" i="4"/>
  <c r="I52" i="4"/>
  <c r="J52" i="4"/>
  <c r="K52" i="4"/>
  <c r="AI22" i="4"/>
  <c r="I76" i="4"/>
  <c r="J76" i="4"/>
  <c r="K76" i="4"/>
  <c r="AP21" i="4"/>
  <c r="I12" i="4"/>
  <c r="J12" i="4"/>
  <c r="K12" i="4"/>
  <c r="AP55" i="4"/>
  <c r="I93" i="4"/>
  <c r="J93" i="4"/>
  <c r="K93" i="4"/>
  <c r="AI91" i="4"/>
  <c r="AJ90" i="4"/>
  <c r="AJ58" i="4"/>
  <c r="I21" i="4"/>
  <c r="J21" i="4"/>
  <c r="K21" i="4"/>
  <c r="AI98" i="4"/>
  <c r="I94" i="4"/>
  <c r="J94" i="4"/>
  <c r="K94" i="4"/>
  <c r="I102" i="4"/>
  <c r="J102" i="4"/>
  <c r="K102" i="4"/>
  <c r="I39" i="4"/>
  <c r="J39" i="4"/>
  <c r="K39" i="4"/>
  <c r="I90" i="4"/>
  <c r="J90" i="4"/>
  <c r="K90" i="4"/>
  <c r="AJ35" i="4"/>
  <c r="I35" i="4"/>
  <c r="J35" i="4"/>
  <c r="K35" i="4"/>
  <c r="AJ98" i="4"/>
  <c r="AN70" i="4"/>
  <c r="AN39" i="4"/>
  <c r="AJ12" i="4"/>
  <c r="AI77" i="4"/>
  <c r="AI27" i="4"/>
  <c r="I63" i="4"/>
  <c r="J63" i="4"/>
  <c r="K63" i="4"/>
  <c r="B275" i="2"/>
  <c r="AJ17" i="4"/>
  <c r="AJ14" i="4"/>
  <c r="I81" i="4"/>
  <c r="J81" i="4"/>
  <c r="K81" i="4"/>
  <c r="AP16" i="4"/>
  <c r="AP96" i="4"/>
  <c r="AJ18" i="4"/>
  <c r="AI61" i="4"/>
  <c r="AJ22" i="4"/>
  <c r="AP83" i="4"/>
  <c r="AJ85" i="4"/>
  <c r="AP40" i="4"/>
  <c r="AP32" i="4"/>
  <c r="I80" i="4"/>
  <c r="J80" i="4"/>
  <c r="J113" i="3"/>
  <c r="J11" i="3"/>
  <c r="J307" i="3"/>
  <c r="J533" i="3"/>
  <c r="J146" i="3"/>
  <c r="J440" i="3"/>
  <c r="J611" i="3"/>
  <c r="J437" i="3"/>
  <c r="J353" i="3"/>
  <c r="J658" i="3"/>
  <c r="J223" i="3"/>
  <c r="J139" i="3"/>
  <c r="J24" i="3"/>
  <c r="J577" i="3"/>
  <c r="J507" i="3"/>
  <c r="J388" i="3"/>
  <c r="J254" i="3"/>
  <c r="J50" i="3"/>
  <c r="J184" i="3"/>
  <c r="J268" i="3"/>
  <c r="J310" i="3"/>
  <c r="J418" i="3"/>
  <c r="J524" i="3"/>
  <c r="J594" i="3"/>
  <c r="J14" i="3"/>
  <c r="J407" i="3"/>
  <c r="I49" i="4"/>
  <c r="J49" i="4"/>
  <c r="K49" i="4"/>
  <c r="I57" i="4"/>
  <c r="J57" i="4"/>
  <c r="K57" i="4"/>
  <c r="I67" i="4"/>
  <c r="J67" i="4"/>
  <c r="K67" i="4"/>
  <c r="I14" i="4"/>
  <c r="J14" i="4"/>
  <c r="K14" i="4"/>
  <c r="I18" i="4"/>
  <c r="J18" i="4"/>
  <c r="K18" i="4"/>
  <c r="AI99" i="4"/>
  <c r="J109" i="3"/>
  <c r="J505" i="3"/>
  <c r="J18" i="3"/>
  <c r="J553" i="3"/>
  <c r="J124" i="3"/>
  <c r="J422" i="3"/>
  <c r="J598" i="3"/>
  <c r="J225" i="3"/>
  <c r="AI49" i="4"/>
  <c r="AJ106" i="4"/>
  <c r="AI24" i="4"/>
  <c r="AP70" i="4"/>
  <c r="J241" i="3"/>
  <c r="J664" i="3"/>
  <c r="J663" i="3"/>
  <c r="J656" i="3"/>
  <c r="J183" i="3"/>
  <c r="J166" i="3"/>
  <c r="J490" i="3"/>
  <c r="J48" i="3"/>
  <c r="J227" i="3"/>
  <c r="J291" i="3"/>
  <c r="J81" i="3"/>
  <c r="AN15" i="4"/>
  <c r="AN46" i="4"/>
  <c r="J615" i="3"/>
  <c r="J582" i="3"/>
  <c r="J403" i="3"/>
  <c r="J467" i="3"/>
  <c r="J67" i="3"/>
  <c r="AJ68" i="4"/>
  <c r="AJ69" i="4"/>
  <c r="J182" i="3"/>
  <c r="J509" i="3"/>
  <c r="J287" i="3"/>
  <c r="I69" i="4"/>
  <c r="J69" i="4"/>
  <c r="K69" i="4"/>
  <c r="AP14" i="4"/>
  <c r="AI80" i="4"/>
  <c r="AI68" i="4"/>
  <c r="AI37" i="4"/>
  <c r="AP90" i="4"/>
  <c r="J683" i="3"/>
  <c r="R11" i="8"/>
  <c r="S11" i="8"/>
  <c r="B128" i="2"/>
  <c r="AI64" i="4"/>
  <c r="AJ70" i="4"/>
  <c r="AJ104" i="4"/>
  <c r="AJ28" i="4"/>
  <c r="AJ100" i="4"/>
  <c r="C25" i="3"/>
  <c r="AJ86" i="4"/>
  <c r="AI29" i="4"/>
  <c r="AI58" i="4"/>
  <c r="AJ63" i="4"/>
  <c r="AI93" i="4"/>
  <c r="C55" i="16"/>
  <c r="D55" i="16"/>
  <c r="AJ89" i="4"/>
  <c r="AP38" i="4"/>
  <c r="AP86" i="4"/>
  <c r="AJ24" i="4"/>
  <c r="AP95" i="4"/>
  <c r="I29" i="4"/>
  <c r="J29" i="4"/>
  <c r="K29" i="4"/>
  <c r="I89" i="4"/>
  <c r="J89" i="4"/>
  <c r="K89" i="4"/>
  <c r="I23" i="4"/>
  <c r="J23" i="4"/>
  <c r="K23" i="4"/>
  <c r="AP46" i="4"/>
  <c r="AP27" i="4"/>
  <c r="AJ59" i="4"/>
  <c r="AI73" i="4"/>
  <c r="AP71" i="4"/>
  <c r="AP81" i="4"/>
  <c r="AJ60" i="4"/>
  <c r="AJ9" i="4"/>
  <c r="AP72" i="4"/>
  <c r="AI57" i="4"/>
  <c r="AP29" i="4"/>
  <c r="I50" i="4"/>
  <c r="J50" i="4"/>
  <c r="K50" i="4"/>
  <c r="AP48" i="4"/>
  <c r="AP97" i="4"/>
  <c r="I97" i="4"/>
  <c r="J97" i="4"/>
  <c r="K97" i="4"/>
  <c r="I84" i="4"/>
  <c r="J84" i="4"/>
  <c r="K84" i="4"/>
  <c r="AI36" i="4"/>
  <c r="I78" i="4"/>
  <c r="J78" i="4"/>
  <c r="K78" i="4"/>
  <c r="I86" i="4"/>
  <c r="J86" i="4"/>
  <c r="K86" i="4"/>
  <c r="I61" i="4"/>
  <c r="J61" i="4"/>
  <c r="K61" i="4"/>
  <c r="AP82" i="4"/>
  <c r="AI19" i="4"/>
  <c r="AN63" i="4"/>
  <c r="AN34" i="4"/>
  <c r="AN109" i="4"/>
  <c r="AN21" i="4"/>
  <c r="AN85" i="4"/>
  <c r="AN71" i="4"/>
  <c r="AN60" i="4"/>
  <c r="AP79" i="4"/>
  <c r="AP102" i="4"/>
  <c r="AP74" i="4"/>
  <c r="AP84" i="4"/>
  <c r="AI35" i="4"/>
  <c r="AJ77" i="4"/>
  <c r="AJ38" i="4"/>
  <c r="AN25" i="4"/>
  <c r="AI84" i="4"/>
  <c r="AN45" i="4"/>
  <c r="AJ102" i="4"/>
  <c r="AI44" i="4"/>
  <c r="AJ56" i="4"/>
  <c r="AI94" i="4"/>
  <c r="AJ31" i="4"/>
  <c r="AJ76" i="4"/>
  <c r="AP51" i="4"/>
  <c r="AP80" i="4"/>
  <c r="AP87" i="4"/>
  <c r="AP64" i="4"/>
  <c r="AJ37" i="4"/>
  <c r="AP20" i="4"/>
  <c r="AI39" i="4"/>
  <c r="I103" i="4"/>
  <c r="J103" i="4"/>
  <c r="K103" i="4"/>
  <c r="AI51" i="4"/>
  <c r="AI56" i="4"/>
  <c r="I26" i="4"/>
  <c r="J26" i="4"/>
  <c r="K26" i="4"/>
  <c r="AJ16" i="4"/>
  <c r="AJ49" i="4"/>
  <c r="I15" i="4"/>
  <c r="J15" i="4"/>
  <c r="K15" i="4"/>
  <c r="I13" i="4"/>
  <c r="J13" i="4"/>
  <c r="K13" i="4"/>
  <c r="I34" i="4"/>
  <c r="J34" i="4"/>
  <c r="K34" i="4"/>
  <c r="J477" i="3"/>
  <c r="J273" i="3"/>
  <c r="J493" i="3"/>
  <c r="J93" i="3"/>
  <c r="J269" i="3"/>
  <c r="J387" i="3"/>
  <c r="J599" i="3"/>
  <c r="J416" i="3"/>
  <c r="J138" i="3"/>
  <c r="J226" i="3"/>
  <c r="J360" i="3"/>
  <c r="J497" i="3"/>
  <c r="J563" i="3"/>
  <c r="J53" i="3"/>
  <c r="J457" i="3"/>
  <c r="J417" i="3"/>
  <c r="J373" i="3"/>
  <c r="J329" i="3"/>
  <c r="J289" i="3"/>
  <c r="J26" i="3"/>
  <c r="J243" i="3"/>
  <c r="J203" i="3"/>
  <c r="J159" i="3"/>
  <c r="J115" i="3"/>
  <c r="J75" i="3"/>
  <c r="J685" i="3"/>
  <c r="J601" i="3"/>
  <c r="J557" i="3"/>
  <c r="J527" i="3"/>
  <c r="J487" i="3"/>
  <c r="J428" i="3"/>
  <c r="J340" i="3"/>
  <c r="J648" i="3"/>
  <c r="J214" i="3"/>
  <c r="J126" i="3"/>
  <c r="J116" i="3"/>
  <c r="J160" i="3"/>
  <c r="J204" i="3"/>
  <c r="J248" i="3"/>
  <c r="J29" i="3"/>
  <c r="J290" i="3"/>
  <c r="J334" i="3"/>
  <c r="J374" i="3"/>
  <c r="J460" i="3"/>
  <c r="J502" i="3"/>
  <c r="J671" i="3"/>
  <c r="J574" i="3"/>
  <c r="J616" i="3"/>
  <c r="J39" i="3"/>
  <c r="J331" i="3"/>
  <c r="J27" i="3"/>
  <c r="J97" i="3"/>
  <c r="J74" i="3"/>
  <c r="I31" i="4"/>
  <c r="J31" i="4"/>
  <c r="K31" i="4"/>
  <c r="I100" i="4"/>
  <c r="J100" i="4"/>
  <c r="K100" i="4"/>
  <c r="AI43" i="4"/>
  <c r="AI42" i="4"/>
  <c r="AI12" i="4"/>
  <c r="AP99" i="4"/>
  <c r="AP52" i="4"/>
  <c r="I17" i="4"/>
  <c r="J17" i="4"/>
  <c r="K17" i="4"/>
  <c r="I41" i="4"/>
  <c r="J41" i="4"/>
  <c r="K41" i="4"/>
  <c r="J295" i="3"/>
  <c r="J419" i="3"/>
  <c r="J258" i="3"/>
  <c r="J36" i="3"/>
  <c r="J325" i="3"/>
  <c r="J195" i="3"/>
  <c r="J661" i="3"/>
  <c r="J479" i="3"/>
  <c r="J206" i="3"/>
  <c r="J208" i="3"/>
  <c r="J338" i="3"/>
  <c r="J484" i="3"/>
  <c r="J554" i="3"/>
  <c r="J673" i="3"/>
  <c r="J85" i="3"/>
  <c r="J304" i="3"/>
  <c r="AI31" i="4"/>
  <c r="J210" i="3"/>
  <c r="J57" i="3"/>
  <c r="J156" i="3"/>
  <c r="J454" i="3"/>
  <c r="J614" i="3"/>
  <c r="J279" i="3"/>
  <c r="J591" i="3"/>
  <c r="J567" i="3"/>
  <c r="J603" i="3"/>
  <c r="J666" i="3"/>
  <c r="J32" i="3"/>
  <c r="J380" i="3"/>
  <c r="J180" i="3"/>
  <c r="J394" i="3"/>
  <c r="J540" i="3"/>
  <c r="J89" i="3"/>
  <c r="J638" i="3"/>
  <c r="AI15" i="4"/>
  <c r="I98" i="4"/>
  <c r="J98" i="4"/>
  <c r="K98" i="4"/>
  <c r="J17" i="3"/>
  <c r="J357" i="3"/>
  <c r="J130" i="3"/>
  <c r="AN105" i="4"/>
  <c r="AN64" i="4"/>
  <c r="AN13" i="4"/>
  <c r="AN26" i="4"/>
  <c r="AN49" i="4"/>
  <c r="J163" i="3"/>
  <c r="J390" i="3"/>
  <c r="J439" i="3"/>
  <c r="J153" i="3"/>
  <c r="J521" i="3"/>
  <c r="J103" i="3"/>
  <c r="J132" i="3"/>
  <c r="J530" i="3"/>
  <c r="J161" i="3"/>
  <c r="AI13" i="4"/>
  <c r="AJ53" i="4"/>
  <c r="AP100" i="4"/>
  <c r="AP43" i="4"/>
  <c r="J237" i="3"/>
  <c r="J560" i="3"/>
  <c r="J62" i="3"/>
  <c r="I70" i="4"/>
  <c r="J70" i="4"/>
  <c r="K70" i="4"/>
  <c r="AI87" i="4"/>
  <c r="J263" i="3"/>
  <c r="AJ99" i="4"/>
  <c r="J375" i="3"/>
  <c r="AI69" i="4"/>
  <c r="AP13" i="4"/>
  <c r="AJ26" i="4"/>
  <c r="AJ20" i="4"/>
  <c r="AI17" i="4"/>
  <c r="AP34" i="4"/>
  <c r="J688" i="3"/>
  <c r="I48" i="4"/>
  <c r="J48" i="4"/>
  <c r="I22" i="4"/>
  <c r="J22" i="4"/>
  <c r="K22" i="4"/>
  <c r="AJ46" i="4"/>
  <c r="AP59" i="4"/>
  <c r="AP101" i="4"/>
  <c r="AJ73" i="4"/>
  <c r="I71" i="4"/>
  <c r="J71" i="4"/>
  <c r="K71" i="4"/>
  <c r="AP61" i="4"/>
  <c r="AJ81" i="4"/>
  <c r="AI92" i="4"/>
  <c r="AP60" i="4"/>
  <c r="I83" i="4"/>
  <c r="J83" i="4"/>
  <c r="K83" i="4"/>
  <c r="I85" i="4"/>
  <c r="J85" i="4"/>
  <c r="K85" i="4"/>
  <c r="AP9" i="4"/>
  <c r="I40" i="4"/>
  <c r="J40" i="4"/>
  <c r="K40" i="4"/>
  <c r="AP57" i="4"/>
  <c r="I82" i="4"/>
  <c r="J82" i="4"/>
  <c r="K82" i="4"/>
  <c r="AP19" i="4"/>
  <c r="AJ82" i="4"/>
  <c r="AJ23" i="4"/>
  <c r="I101" i="4"/>
  <c r="J101" i="4"/>
  <c r="K101" i="4"/>
  <c r="I38" i="4"/>
  <c r="J38" i="4"/>
  <c r="K38" i="4"/>
  <c r="I46" i="4"/>
  <c r="J46" i="4"/>
  <c r="K46" i="4"/>
  <c r="I73" i="4"/>
  <c r="J73" i="4"/>
  <c r="K73" i="4"/>
  <c r="AI75" i="4"/>
  <c r="I95" i="4"/>
  <c r="J95" i="4"/>
  <c r="K95" i="4"/>
  <c r="I59" i="4"/>
  <c r="J59" i="4"/>
  <c r="K59" i="4"/>
  <c r="I105" i="4"/>
  <c r="J105" i="4"/>
  <c r="K105" i="4"/>
  <c r="AI50" i="4"/>
  <c r="AI23" i="4"/>
  <c r="AI97" i="4"/>
  <c r="AI83" i="4"/>
  <c r="AP75" i="4"/>
  <c r="AI72" i="4"/>
  <c r="B217" i="2"/>
  <c r="AP50" i="4"/>
  <c r="I60" i="4"/>
  <c r="J60" i="4"/>
  <c r="K60" i="4"/>
  <c r="AI40" i="4"/>
  <c r="AJ92" i="4"/>
  <c r="AN82" i="4"/>
  <c r="AN74" i="4"/>
  <c r="AI78" i="4"/>
  <c r="AN96" i="4"/>
  <c r="AN42" i="4"/>
  <c r="AI71" i="4"/>
  <c r="AJ72" i="4"/>
  <c r="AI11" i="4"/>
  <c r="AN68" i="4"/>
  <c r="AN38" i="4"/>
  <c r="AN52" i="4"/>
  <c r="I79" i="4"/>
  <c r="J79" i="4"/>
  <c r="K79" i="4"/>
  <c r="AI79" i="4"/>
  <c r="AN89" i="4"/>
  <c r="AJ75" i="4"/>
  <c r="I11" i="4"/>
  <c r="J11" i="4"/>
  <c r="K11" i="4"/>
  <c r="AJ11" i="4"/>
  <c r="AN19" i="4"/>
  <c r="AP37" i="4"/>
  <c r="AP39" i="4"/>
  <c r="AJ103" i="4"/>
  <c r="B73" i="4"/>
  <c r="AJ21" i="4"/>
  <c r="I88" i="4"/>
  <c r="J88" i="4"/>
  <c r="K88" i="4"/>
  <c r="I56" i="4"/>
  <c r="J56" i="4"/>
  <c r="K56" i="4"/>
  <c r="AP26" i="4"/>
  <c r="AI66" i="4"/>
  <c r="I62" i="4"/>
  <c r="J62" i="4"/>
  <c r="K62" i="4"/>
  <c r="I44" i="4"/>
  <c r="J44" i="4"/>
  <c r="K44" i="4"/>
  <c r="I66" i="4"/>
  <c r="J66" i="4"/>
  <c r="K66" i="4"/>
  <c r="AJ34" i="4"/>
  <c r="AI76" i="4"/>
  <c r="AP41" i="4"/>
  <c r="B216" i="2"/>
  <c r="AP103" i="4"/>
  <c r="AJ66" i="4"/>
  <c r="I43" i="4"/>
  <c r="J43" i="4"/>
  <c r="K43" i="4"/>
  <c r="AI41" i="4"/>
  <c r="AI88" i="4"/>
  <c r="AJ62" i="4"/>
  <c r="AN107" i="4"/>
  <c r="AJ109" i="4"/>
  <c r="AJ107" i="4"/>
  <c r="AI107" i="4"/>
  <c r="AP107" i="4"/>
  <c r="AJ108" i="4"/>
  <c r="I108" i="4"/>
  <c r="J108" i="4"/>
  <c r="K108" i="4"/>
  <c r="J432" i="3"/>
  <c r="J118" i="3"/>
  <c r="J628" i="3"/>
  <c r="J682" i="3"/>
  <c r="J431" i="3"/>
  <c r="J76" i="3"/>
  <c r="J377" i="3"/>
  <c r="J315" i="3"/>
  <c r="J284" i="3"/>
  <c r="J320" i="3"/>
  <c r="J602" i="3"/>
  <c r="J170" i="3"/>
  <c r="J670" i="3"/>
  <c r="J378" i="3"/>
  <c r="J412" i="3"/>
  <c r="J285" i="3"/>
  <c r="J637" i="3"/>
  <c r="J129" i="3"/>
  <c r="J63" i="3"/>
  <c r="J488" i="3"/>
  <c r="J220" i="3"/>
  <c r="J635" i="3"/>
  <c r="J555" i="3"/>
  <c r="J60" i="3"/>
  <c r="J336" i="3"/>
  <c r="J443" i="3"/>
  <c r="J612" i="3"/>
  <c r="J548" i="3"/>
  <c r="J498" i="3"/>
  <c r="J410" i="3"/>
  <c r="J282" i="3"/>
  <c r="J196" i="3"/>
  <c r="J134" i="3"/>
  <c r="J348" i="3"/>
  <c r="J531" i="3"/>
  <c r="J65" i="3"/>
  <c r="J167" i="3"/>
  <c r="J634" i="3"/>
  <c r="J381" i="3"/>
  <c r="J653" i="3"/>
  <c r="J328" i="3"/>
  <c r="J517" i="3"/>
  <c r="J189" i="3"/>
  <c r="J68" i="3"/>
  <c r="J319" i="3"/>
  <c r="J213" i="3"/>
  <c r="J624" i="3"/>
  <c r="J538" i="3"/>
  <c r="J468" i="3"/>
  <c r="J306" i="3"/>
  <c r="J176" i="3"/>
  <c r="J270" i="3"/>
  <c r="J605" i="3"/>
  <c r="J293" i="3"/>
  <c r="J344" i="3"/>
  <c r="J543" i="3"/>
  <c r="J201" i="3"/>
  <c r="J359" i="3"/>
  <c r="J157" i="3"/>
  <c r="J451" i="3"/>
  <c r="J288" i="3"/>
  <c r="J33" i="3"/>
  <c r="J529" i="3"/>
  <c r="J114" i="3"/>
  <c r="J401" i="3"/>
  <c r="J313" i="3"/>
  <c r="J271" i="3"/>
  <c r="J187" i="3"/>
  <c r="J99" i="3"/>
  <c r="J625" i="3"/>
  <c r="J541" i="3"/>
  <c r="J471" i="3"/>
  <c r="J86" i="3"/>
  <c r="J52" i="3"/>
  <c r="J669" i="3"/>
  <c r="J165" i="3"/>
  <c r="J379" i="3"/>
  <c r="J51" i="3"/>
  <c r="J620" i="3"/>
  <c r="J588" i="3"/>
  <c r="J556" i="3"/>
  <c r="J647" i="3"/>
  <c r="J506" i="3"/>
  <c r="J474" i="3"/>
  <c r="J426" i="3"/>
  <c r="J362" i="3"/>
  <c r="J298" i="3"/>
  <c r="J276" i="3"/>
  <c r="J212" i="3"/>
  <c r="J148" i="3"/>
  <c r="J80" i="3"/>
  <c r="J230" i="3"/>
  <c r="J316" i="3"/>
  <c r="J444" i="3"/>
  <c r="J515" i="3"/>
  <c r="J565" i="3"/>
  <c r="J629" i="3"/>
  <c r="J87" i="3"/>
  <c r="J151" i="3"/>
  <c r="J215" i="3"/>
  <c r="J9" i="3"/>
  <c r="J301" i="3"/>
  <c r="J365" i="3"/>
  <c r="J429" i="3"/>
  <c r="J20" i="3"/>
  <c r="J539" i="3"/>
  <c r="J392" i="3"/>
  <c r="J178" i="3"/>
  <c r="J448" i="3"/>
  <c r="J78" i="3"/>
  <c r="J253" i="3"/>
  <c r="J672" i="3"/>
  <c r="J177" i="3"/>
  <c r="J70" i="3"/>
  <c r="J368" i="3"/>
  <c r="J461" i="3"/>
  <c r="J662" i="3"/>
  <c r="J367" i="3"/>
  <c r="J649" i="3"/>
  <c r="J592" i="3"/>
  <c r="J550" i="3"/>
  <c r="J520" i="3"/>
  <c r="J478" i="3"/>
  <c r="J414" i="3"/>
  <c r="J326" i="3"/>
  <c r="J21" i="3"/>
  <c r="J200" i="3"/>
  <c r="J100" i="3"/>
  <c r="J222" i="3"/>
  <c r="J356" i="3"/>
  <c r="J561" i="3"/>
  <c r="J123" i="3"/>
  <c r="J34" i="3"/>
  <c r="J421" i="3"/>
  <c r="J481" i="3"/>
  <c r="J469" i="3"/>
  <c r="J77" i="3"/>
  <c r="J169" i="3"/>
  <c r="J38" i="3"/>
  <c r="J343" i="3"/>
  <c r="J120" i="3"/>
  <c r="J181" i="3"/>
  <c r="J299" i="3"/>
  <c r="J94" i="3"/>
  <c r="J55" i="3"/>
  <c r="J633" i="3"/>
  <c r="J608" i="3"/>
  <c r="J586" i="3"/>
  <c r="J566" i="3"/>
  <c r="J544" i="3"/>
  <c r="J639" i="3"/>
  <c r="J516" i="3"/>
  <c r="J494" i="3"/>
  <c r="J472" i="3"/>
  <c r="J446" i="3"/>
  <c r="J402" i="3"/>
  <c r="J358" i="3"/>
  <c r="J318" i="3"/>
  <c r="J676" i="3"/>
  <c r="J272" i="3"/>
  <c r="J232" i="3"/>
  <c r="J188" i="3"/>
  <c r="J144" i="3"/>
  <c r="J84" i="3"/>
  <c r="J158" i="3"/>
  <c r="J246" i="3"/>
  <c r="J292" i="3"/>
  <c r="J372" i="3"/>
  <c r="J459" i="3"/>
  <c r="J503" i="3"/>
  <c r="J667" i="3"/>
  <c r="J573" i="3"/>
  <c r="J617" i="3"/>
  <c r="J41" i="3"/>
  <c r="J91" i="3"/>
  <c r="J131" i="3"/>
  <c r="J175" i="3"/>
  <c r="J219" i="3"/>
  <c r="J259" i="3"/>
  <c r="J650" i="3"/>
  <c r="J305" i="3"/>
  <c r="J345" i="3"/>
  <c r="J389" i="3"/>
  <c r="J433" i="3"/>
  <c r="J90" i="3"/>
  <c r="J619" i="3"/>
  <c r="J675" i="3"/>
  <c r="J465" i="3"/>
  <c r="J296" i="3"/>
  <c r="J162" i="3"/>
  <c r="J266" i="3"/>
  <c r="J501" i="3"/>
  <c r="J28" i="3"/>
  <c r="J323" i="3"/>
  <c r="J205" i="3"/>
  <c r="J40" i="3"/>
  <c r="J455" i="3"/>
  <c r="J145" i="3"/>
  <c r="J351" i="3"/>
  <c r="J249" i="3"/>
  <c r="J105" i="3"/>
  <c r="J383" i="3"/>
  <c r="J154" i="3"/>
  <c r="J193" i="3"/>
  <c r="J311" i="3"/>
  <c r="J58" i="3"/>
  <c r="J250" i="3"/>
  <c r="J54" i="3"/>
  <c r="J149" i="3"/>
  <c r="J245" i="3"/>
  <c r="J283" i="3"/>
  <c r="J363" i="3"/>
  <c r="J15" i="3"/>
  <c r="J303" i="3"/>
  <c r="J623" i="3"/>
  <c r="J47" i="3"/>
  <c r="J71" i="3"/>
  <c r="J641" i="3"/>
  <c r="J622" i="3"/>
  <c r="J610" i="3"/>
  <c r="J600" i="3"/>
  <c r="J590" i="3"/>
  <c r="J578" i="3"/>
  <c r="J568" i="3"/>
  <c r="J558" i="3"/>
  <c r="J546" i="3"/>
  <c r="J536" i="3"/>
  <c r="J655" i="3"/>
  <c r="J528" i="3"/>
  <c r="J518" i="3"/>
  <c r="J508" i="3"/>
  <c r="J496" i="3"/>
  <c r="J486" i="3"/>
  <c r="J476" i="3"/>
  <c r="J464" i="3"/>
  <c r="J450" i="3"/>
  <c r="J430" i="3"/>
  <c r="J406" i="3"/>
  <c r="J386" i="3"/>
  <c r="AJ47" i="4"/>
  <c r="AP47" i="4"/>
  <c r="AI47" i="4"/>
  <c r="I47" i="4"/>
  <c r="J47" i="4"/>
  <c r="K47" i="4"/>
  <c r="AP30" i="4"/>
  <c r="AI30" i="4"/>
  <c r="AJ30" i="4"/>
  <c r="J137" i="3"/>
  <c r="J415" i="3"/>
  <c r="J35" i="3"/>
  <c r="J209" i="3"/>
  <c r="J327" i="3"/>
  <c r="J102" i="3"/>
  <c r="J186" i="3"/>
  <c r="J56" i="3"/>
  <c r="J141" i="3"/>
  <c r="J221" i="3"/>
  <c r="J646" i="3"/>
  <c r="J355" i="3"/>
  <c r="J435" i="3"/>
  <c r="J61" i="3"/>
  <c r="J551" i="3"/>
  <c r="J485" i="3"/>
  <c r="J352" i="3"/>
  <c r="J202" i="3"/>
  <c r="J66" i="3"/>
  <c r="J194" i="3"/>
  <c r="J274" i="3"/>
  <c r="J312" i="3"/>
  <c r="J408" i="3"/>
  <c r="J473" i="3"/>
  <c r="J513" i="3"/>
  <c r="J547" i="3"/>
  <c r="J587" i="3"/>
  <c r="J627" i="3"/>
  <c r="J122" i="3"/>
  <c r="J82" i="3"/>
  <c r="J449" i="3"/>
  <c r="J425" i="3"/>
  <c r="J405" i="3"/>
  <c r="J385" i="3"/>
  <c r="J361" i="3"/>
  <c r="J341" i="3"/>
  <c r="J321" i="3"/>
  <c r="J297" i="3"/>
  <c r="J686" i="3"/>
  <c r="J642" i="3"/>
  <c r="J275" i="3"/>
  <c r="J255" i="3"/>
  <c r="J235" i="3"/>
  <c r="J211" i="3"/>
  <c r="J191" i="3"/>
  <c r="J171" i="3"/>
  <c r="J147" i="3"/>
  <c r="J127" i="3"/>
  <c r="J107" i="3"/>
  <c r="J83" i="3"/>
  <c r="J23" i="3"/>
  <c r="J49" i="3"/>
  <c r="J645" i="3"/>
  <c r="J609" i="3"/>
  <c r="J589" i="3"/>
  <c r="J569" i="3"/>
  <c r="J545" i="3"/>
  <c r="J651" i="3"/>
  <c r="J519" i="3"/>
  <c r="J495" i="3"/>
  <c r="J475" i="3"/>
  <c r="J452" i="3"/>
  <c r="J404" i="3"/>
  <c r="J364" i="3"/>
  <c r="J324" i="3"/>
  <c r="J684" i="3"/>
  <c r="J10" i="3"/>
  <c r="J238" i="3"/>
  <c r="J190" i="3"/>
  <c r="J150" i="3"/>
  <c r="J96" i="3"/>
  <c r="J92" i="3"/>
  <c r="J128" i="3"/>
  <c r="J152" i="3"/>
  <c r="J172" i="3"/>
  <c r="J192" i="3"/>
  <c r="J216" i="3"/>
  <c r="J236" i="3"/>
  <c r="J256" i="3"/>
  <c r="J12" i="3"/>
  <c r="J644" i="3"/>
  <c r="J278" i="3"/>
  <c r="J302" i="3"/>
  <c r="J322" i="3"/>
  <c r="J342" i="3"/>
  <c r="J366" i="3"/>
  <c r="J398" i="3"/>
  <c r="J438" i="3"/>
  <c r="J470" i="3"/>
  <c r="J492" i="3"/>
  <c r="J512" i="3"/>
  <c r="J631" i="3"/>
  <c r="J542" i="3"/>
  <c r="J562" i="3"/>
  <c r="J584" i="3"/>
  <c r="J606" i="3"/>
  <c r="J626" i="3"/>
  <c r="J59" i="3"/>
  <c r="J185" i="3"/>
  <c r="J411" i="3"/>
  <c r="J277" i="3"/>
  <c r="J117" i="3"/>
  <c r="J525" i="3"/>
  <c r="J257" i="3"/>
  <c r="J659" i="3"/>
  <c r="J559" i="3"/>
  <c r="J16" i="3"/>
  <c r="J400" i="3"/>
  <c r="J22" i="3"/>
  <c r="J583" i="3"/>
  <c r="J31" i="3"/>
  <c r="J376" i="3"/>
  <c r="J579" i="3"/>
  <c r="J453" i="3"/>
  <c r="J369" i="3"/>
  <c r="J281" i="3"/>
  <c r="J239" i="3"/>
  <c r="J155" i="3"/>
  <c r="J46" i="3"/>
  <c r="J593" i="3"/>
  <c r="J523" i="3"/>
  <c r="J420" i="3"/>
  <c r="J25" i="3"/>
  <c r="J112" i="3"/>
  <c r="J168" i="3"/>
  <c r="J252" i="3"/>
  <c r="J294" i="3"/>
  <c r="J382" i="3"/>
  <c r="J462" i="3"/>
  <c r="J504" i="3"/>
  <c r="J534" i="3"/>
  <c r="J576" i="3"/>
  <c r="J618" i="3"/>
  <c r="J44" i="3"/>
  <c r="J261" i="3"/>
  <c r="J575" i="3"/>
  <c r="J447" i="3"/>
  <c r="J371" i="3"/>
  <c r="J69" i="3"/>
  <c r="J207" i="3"/>
  <c r="J491" i="3"/>
  <c r="J142" i="3"/>
  <c r="J240" i="3"/>
  <c r="J370" i="3"/>
  <c r="J500" i="3"/>
  <c r="J570" i="3"/>
  <c r="J43" i="3"/>
  <c r="J133" i="3"/>
  <c r="J218" i="3"/>
  <c r="J121" i="3"/>
  <c r="J391" i="3"/>
  <c r="J339" i="3"/>
  <c r="J234" i="3"/>
  <c r="J489" i="3"/>
  <c r="J42" i="3"/>
  <c r="J333" i="3"/>
  <c r="J247" i="3"/>
  <c r="J119" i="3"/>
  <c r="J597" i="3"/>
  <c r="J483" i="3"/>
  <c r="J632" i="3"/>
  <c r="J108" i="3"/>
  <c r="J244" i="3"/>
  <c r="J330" i="3"/>
  <c r="J458" i="3"/>
  <c r="J522" i="3"/>
  <c r="J572" i="3"/>
  <c r="J657" i="3"/>
  <c r="J630" i="3"/>
  <c r="J30" i="3"/>
  <c r="J88" i="3"/>
  <c r="J396" i="3"/>
  <c r="J585" i="3"/>
  <c r="J143" i="3"/>
  <c r="J674" i="3"/>
  <c r="J441" i="3"/>
  <c r="J424" i="3"/>
  <c r="J535" i="3"/>
  <c r="AN54" i="4"/>
  <c r="AN32" i="4"/>
  <c r="AN43" i="4"/>
  <c r="AN97" i="4"/>
  <c r="AN51" i="4"/>
  <c r="AN28" i="4"/>
  <c r="J73" i="3"/>
  <c r="J436" i="3"/>
  <c r="J264" i="3"/>
  <c r="J510" i="3"/>
  <c r="J399" i="3"/>
  <c r="J607" i="3"/>
  <c r="J104" i="3"/>
  <c r="J445" i="3"/>
  <c r="J231" i="3"/>
  <c r="J581" i="3"/>
  <c r="J262" i="3"/>
  <c r="J260" i="3"/>
  <c r="J466" i="3"/>
  <c r="J580" i="3"/>
  <c r="J229" i="3"/>
  <c r="J251" i="3"/>
  <c r="J350" i="3"/>
  <c r="J347" i="3"/>
  <c r="J571" i="3"/>
  <c r="J164" i="3"/>
  <c r="J45" i="3"/>
  <c r="J217" i="3"/>
  <c r="J442" i="3"/>
  <c r="J456" i="3"/>
  <c r="J314" i="3"/>
  <c r="J532" i="3"/>
  <c r="AJ25" i="4"/>
  <c r="AN106" i="4"/>
  <c r="AN35" i="4"/>
  <c r="AN86" i="4"/>
  <c r="AN92" i="4"/>
  <c r="AN108" i="4"/>
  <c r="AN84" i="4"/>
  <c r="AN41" i="4"/>
  <c r="AN67" i="4"/>
  <c r="AI62" i="4"/>
  <c r="AN36" i="4"/>
  <c r="AI105" i="4"/>
  <c r="I109" i="4"/>
  <c r="J109" i="4"/>
  <c r="K109" i="4"/>
  <c r="I106" i="4"/>
  <c r="J106" i="4"/>
  <c r="K106" i="4"/>
  <c r="AJ105" i="4"/>
  <c r="AN101" i="4"/>
  <c r="AN87" i="4"/>
  <c r="AI109" i="4"/>
  <c r="AN77" i="4"/>
  <c r="AI106" i="4"/>
  <c r="AN90" i="4"/>
  <c r="AN98" i="4"/>
  <c r="J72" i="3"/>
  <c r="J242" i="3"/>
  <c r="J413" i="3"/>
  <c r="J199" i="3"/>
  <c r="J549" i="3"/>
  <c r="J198" i="3"/>
  <c r="J37" i="3"/>
  <c r="J482" i="3"/>
  <c r="J596" i="3"/>
  <c r="J101" i="3"/>
  <c r="J79" i="3"/>
  <c r="J434" i="3"/>
  <c r="J64" i="3"/>
  <c r="J654" i="3"/>
  <c r="J98" i="3"/>
  <c r="J613" i="3"/>
  <c r="J228" i="3"/>
  <c r="J564" i="3"/>
  <c r="J335" i="3"/>
  <c r="J652" i="3"/>
  <c r="J135" i="3"/>
  <c r="J514" i="3"/>
  <c r="J308" i="3"/>
  <c r="J349" i="3"/>
  <c r="J499" i="3"/>
  <c r="AN61" i="4"/>
  <c r="AN78" i="4"/>
  <c r="AN14" i="4"/>
  <c r="AN72" i="4"/>
  <c r="AN47" i="4"/>
  <c r="AN79" i="4"/>
  <c r="AP108" i="4"/>
  <c r="AI108" i="4"/>
  <c r="AP25" i="4"/>
  <c r="I25" i="4"/>
  <c r="J25" i="4"/>
  <c r="K25" i="4"/>
  <c r="AN48" i="4"/>
  <c r="AN59" i="4"/>
  <c r="AN30" i="4"/>
  <c r="AN44" i="4"/>
  <c r="AN95" i="4"/>
  <c r="AN65" i="4"/>
  <c r="AN31" i="4"/>
  <c r="AN76" i="4"/>
  <c r="AN29" i="4"/>
  <c r="AN27" i="4"/>
  <c r="AN81" i="4"/>
  <c r="AN12" i="4"/>
  <c r="AN94" i="4"/>
  <c r="AN33" i="4"/>
  <c r="AN9" i="4"/>
  <c r="B221" i="2"/>
  <c r="B222" i="2"/>
  <c r="AN103" i="4"/>
  <c r="AN40" i="4"/>
  <c r="AN56" i="4"/>
  <c r="AN100" i="4"/>
  <c r="AN80" i="4"/>
  <c r="AN17" i="4"/>
  <c r="B35" i="2"/>
  <c r="B159" i="2"/>
  <c r="B42" i="2"/>
  <c r="B51" i="2"/>
  <c r="AN11" i="4"/>
  <c r="AN88" i="4"/>
  <c r="AN53" i="4"/>
  <c r="AN75" i="4"/>
  <c r="AN62" i="4"/>
  <c r="AN99" i="4"/>
  <c r="AN83" i="4"/>
  <c r="AN18" i="4"/>
  <c r="AN66" i="4"/>
  <c r="AN73" i="4"/>
  <c r="AN69" i="4"/>
  <c r="AN102" i="4"/>
  <c r="AN37" i="4"/>
  <c r="AN16" i="4"/>
  <c r="AN104" i="4"/>
  <c r="AN50" i="4"/>
  <c r="AN55" i="4"/>
  <c r="C34" i="3"/>
  <c r="A683" i="3"/>
  <c r="AN22" i="4"/>
  <c r="AN58" i="4"/>
  <c r="D25" i="3"/>
  <c r="A682" i="3"/>
  <c r="D682" i="3"/>
  <c r="AP33" i="4"/>
  <c r="AJ33" i="4"/>
  <c r="AI33" i="4"/>
  <c r="D33" i="3"/>
  <c r="D24" i="3"/>
  <c r="E59" i="1"/>
  <c r="C12" i="3"/>
  <c r="D11" i="3"/>
  <c r="C32" i="3"/>
  <c r="D13" i="3"/>
  <c r="C29" i="3"/>
  <c r="C15" i="3"/>
  <c r="AN91" i="4"/>
  <c r="AM76" i="4"/>
  <c r="AM103" i="4"/>
  <c r="AM87" i="4"/>
  <c r="AM69" i="4"/>
  <c r="AM75" i="4"/>
  <c r="AM21" i="4"/>
  <c r="AM73" i="4"/>
  <c r="BG17" i="4"/>
  <c r="AM13" i="4"/>
  <c r="AM91" i="4"/>
  <c r="AM86" i="4"/>
  <c r="AM14" i="4"/>
  <c r="BG11" i="4"/>
  <c r="AM37" i="4"/>
  <c r="AM41" i="4"/>
  <c r="AM51" i="4"/>
  <c r="BG16" i="4"/>
  <c r="AM26" i="4"/>
  <c r="AM54" i="4"/>
  <c r="AM39" i="4"/>
  <c r="AM29" i="4"/>
  <c r="AM109" i="4"/>
  <c r="AM100" i="4"/>
  <c r="AM12" i="4"/>
  <c r="AM45" i="4"/>
  <c r="AM25" i="4"/>
  <c r="AM52" i="4"/>
  <c r="AM97" i="4"/>
  <c r="AM84" i="4"/>
  <c r="AM20" i="4"/>
  <c r="AM30" i="4"/>
  <c r="AM93" i="4"/>
  <c r="AM96" i="4"/>
  <c r="AM58" i="4"/>
  <c r="AM17" i="4"/>
  <c r="AM48" i="4"/>
  <c r="AM92" i="4"/>
  <c r="AM70" i="4"/>
  <c r="AM90" i="4"/>
  <c r="AM79" i="4"/>
  <c r="BG9" i="4"/>
  <c r="AM107" i="4"/>
  <c r="AM67" i="4"/>
  <c r="AM61" i="4"/>
  <c r="AM59" i="4"/>
  <c r="AM62" i="4"/>
  <c r="AM68" i="4"/>
  <c r="AM108" i="4"/>
  <c r="AM56" i="4"/>
  <c r="AM101" i="4"/>
  <c r="AM40" i="4"/>
  <c r="AM50" i="4"/>
  <c r="AM89" i="4"/>
  <c r="AM66" i="4"/>
  <c r="AM38" i="4"/>
  <c r="B72" i="4"/>
  <c r="AM74" i="4"/>
  <c r="AM11" i="4"/>
  <c r="AM15" i="4"/>
  <c r="AM85" i="4"/>
  <c r="AM71" i="4"/>
  <c r="BG15" i="4"/>
  <c r="AM19" i="4"/>
  <c r="AM72" i="4"/>
  <c r="AM88" i="4"/>
  <c r="AM47" i="4"/>
  <c r="BG13" i="4"/>
  <c r="AM16" i="4"/>
  <c r="AM18" i="4"/>
  <c r="BG14" i="4"/>
  <c r="AM44" i="4"/>
  <c r="AM78" i="4"/>
  <c r="AM102" i="4"/>
  <c r="AM46" i="4"/>
  <c r="BG12" i="4"/>
  <c r="AM9" i="4"/>
  <c r="AM77" i="4"/>
  <c r="AM57" i="4"/>
  <c r="AM43" i="4"/>
  <c r="AM34" i="4"/>
  <c r="AM95" i="4"/>
  <c r="AM49" i="4"/>
  <c r="AM55" i="4"/>
  <c r="AM94" i="4"/>
  <c r="AM83" i="4"/>
  <c r="AM23" i="4"/>
  <c r="AM32" i="4"/>
  <c r="AM99" i="4"/>
  <c r="AM24" i="4"/>
  <c r="AM80" i="4"/>
  <c r="AM104" i="4"/>
  <c r="AM31" i="4"/>
  <c r="AM105" i="4"/>
  <c r="AM22" i="4"/>
  <c r="AM81" i="4"/>
  <c r="AM64" i="4"/>
  <c r="AM28" i="4"/>
  <c r="AM42" i="4"/>
  <c r="AM82" i="4"/>
  <c r="AM98" i="4"/>
  <c r="AM65" i="4"/>
  <c r="AM36" i="4"/>
  <c r="AM63" i="4"/>
  <c r="AM27" i="4"/>
  <c r="AM53" i="4"/>
  <c r="AM33" i="4"/>
  <c r="AM60" i="4"/>
  <c r="AM106" i="4"/>
  <c r="AM35" i="4"/>
  <c r="D32" i="3"/>
  <c r="C31" i="3"/>
  <c r="D16" i="3"/>
  <c r="D26" i="3"/>
  <c r="C37" i="3"/>
  <c r="D30" i="3"/>
  <c r="C36" i="3"/>
  <c r="C11" i="3"/>
  <c r="D35" i="3"/>
  <c r="D34" i="3"/>
  <c r="D20" i="3"/>
  <c r="D10" i="3"/>
  <c r="D29" i="3"/>
  <c r="D27" i="3"/>
  <c r="C10" i="3"/>
  <c r="B147" i="2"/>
  <c r="G17" i="3"/>
  <c r="H17" i="3"/>
  <c r="E58" i="1"/>
  <c r="AI65" i="4"/>
  <c r="I65" i="4"/>
  <c r="AJ65" i="4"/>
  <c r="AP65" i="4"/>
  <c r="C24" i="3"/>
  <c r="B91" i="2"/>
  <c r="B276" i="2"/>
  <c r="C33" i="3"/>
  <c r="D23" i="3"/>
  <c r="D36" i="3"/>
  <c r="C9" i="3"/>
  <c r="C17" i="3"/>
  <c r="C16" i="3"/>
  <c r="D31" i="3"/>
  <c r="D18" i="3"/>
  <c r="C20" i="3"/>
  <c r="C18" i="3"/>
  <c r="D28" i="3"/>
  <c r="C28" i="3"/>
  <c r="C27" i="3"/>
  <c r="D15" i="3"/>
  <c r="D17" i="3"/>
  <c r="C22" i="3"/>
  <c r="C35" i="3"/>
  <c r="D19" i="3"/>
  <c r="C19" i="3"/>
  <c r="C23" i="3"/>
  <c r="D37" i="3"/>
  <c r="C14" i="3"/>
  <c r="D22" i="3"/>
  <c r="D9" i="3"/>
  <c r="C26" i="3"/>
  <c r="C30" i="3"/>
  <c r="D14" i="3"/>
  <c r="D12" i="3"/>
  <c r="C21" i="3"/>
  <c r="D21" i="3"/>
  <c r="C13" i="3"/>
  <c r="AQ38" i="3"/>
  <c r="A39" i="3"/>
  <c r="B38" i="3"/>
  <c r="AR38" i="3"/>
  <c r="C38" i="3"/>
  <c r="D38" i="3"/>
  <c r="AD132" i="4"/>
  <c r="AE132" i="4"/>
  <c r="L132" i="4"/>
  <c r="Z132" i="4"/>
  <c r="U132" i="4"/>
  <c r="V132" i="4"/>
  <c r="W132" i="4"/>
  <c r="N132" i="4"/>
  <c r="O132" i="4"/>
  <c r="Q132" i="4"/>
  <c r="X132" i="4"/>
  <c r="Y132" i="4"/>
  <c r="R132" i="4"/>
  <c r="S132" i="4"/>
  <c r="T132" i="4"/>
  <c r="R198" i="4"/>
  <c r="S198" i="4"/>
  <c r="T198" i="4"/>
  <c r="N184" i="4"/>
  <c r="O184" i="4"/>
  <c r="Q184" i="4"/>
  <c r="N192" i="4"/>
  <c r="O192" i="4"/>
  <c r="Q192" i="4"/>
  <c r="L201" i="4"/>
  <c r="AF201" i="4"/>
  <c r="X184" i="4"/>
  <c r="Y184" i="4"/>
  <c r="AD184" i="4"/>
  <c r="AE184" i="4"/>
  <c r="X201" i="4"/>
  <c r="Y201" i="4"/>
  <c r="AD192" i="4"/>
  <c r="AE192" i="4"/>
  <c r="X192" i="4"/>
  <c r="Y192" i="4"/>
  <c r="R201" i="4"/>
  <c r="S201" i="4"/>
  <c r="T201" i="4"/>
  <c r="R184" i="4"/>
  <c r="S184" i="4"/>
  <c r="T184" i="4"/>
  <c r="R192" i="4"/>
  <c r="S192" i="4"/>
  <c r="T192" i="4"/>
  <c r="U184" i="4"/>
  <c r="V184" i="4"/>
  <c r="W184" i="4"/>
  <c r="U201" i="4"/>
  <c r="V201" i="4"/>
  <c r="W201" i="4"/>
  <c r="N201" i="4"/>
  <c r="O201" i="4"/>
  <c r="Q201" i="4"/>
  <c r="L184" i="4"/>
  <c r="AB184" i="4"/>
  <c r="L192" i="4"/>
  <c r="AB192" i="4"/>
  <c r="U192" i="4"/>
  <c r="V192" i="4"/>
  <c r="W192" i="4"/>
  <c r="AD201" i="4"/>
  <c r="AE201" i="4"/>
  <c r="U198" i="4"/>
  <c r="V198" i="4"/>
  <c r="W198" i="4"/>
  <c r="AD121" i="4"/>
  <c r="AE121" i="4"/>
  <c r="N121" i="4"/>
  <c r="O121" i="4"/>
  <c r="Q121" i="4"/>
  <c r="AD166" i="4"/>
  <c r="AE166" i="4"/>
  <c r="N166" i="4"/>
  <c r="O166" i="4"/>
  <c r="Q166" i="4"/>
  <c r="U166" i="4"/>
  <c r="V166" i="4"/>
  <c r="W166" i="4"/>
  <c r="R166" i="4"/>
  <c r="S166" i="4"/>
  <c r="T166" i="4"/>
  <c r="X166" i="4"/>
  <c r="Y166" i="4"/>
  <c r="L166" i="4"/>
  <c r="AF166" i="4"/>
  <c r="AD198" i="4"/>
  <c r="AE198" i="4"/>
  <c r="R121" i="4"/>
  <c r="S121" i="4"/>
  <c r="T121" i="4"/>
  <c r="U121" i="4"/>
  <c r="V121" i="4"/>
  <c r="W121" i="4"/>
  <c r="X198" i="4"/>
  <c r="Y198" i="4"/>
  <c r="L198" i="4"/>
  <c r="Z198" i="4"/>
  <c r="X121" i="4"/>
  <c r="Y121" i="4"/>
  <c r="L121" i="4"/>
  <c r="M121" i="4"/>
  <c r="AA121" i="4"/>
  <c r="N198" i="4"/>
  <c r="O198" i="4"/>
  <c r="Q198" i="4"/>
  <c r="X170" i="4"/>
  <c r="Y170" i="4"/>
  <c r="X125" i="4"/>
  <c r="Y125" i="4"/>
  <c r="L125" i="4"/>
  <c r="AF125" i="4"/>
  <c r="R138" i="4"/>
  <c r="S138" i="4"/>
  <c r="T138" i="4"/>
  <c r="R200" i="4"/>
  <c r="S200" i="4"/>
  <c r="T200" i="4"/>
  <c r="AD200" i="4"/>
  <c r="AE200" i="4"/>
  <c r="L200" i="4"/>
  <c r="M200" i="4"/>
  <c r="AA200" i="4"/>
  <c r="X200" i="4"/>
  <c r="Y200" i="4"/>
  <c r="L186" i="4"/>
  <c r="M186" i="4"/>
  <c r="AA186" i="4"/>
  <c r="R183" i="4"/>
  <c r="S183" i="4"/>
  <c r="T183" i="4"/>
  <c r="N208" i="4"/>
  <c r="O208" i="4"/>
  <c r="Q208" i="4"/>
  <c r="U138" i="4"/>
  <c r="V138" i="4"/>
  <c r="W138" i="4"/>
  <c r="U208" i="4"/>
  <c r="V208" i="4"/>
  <c r="W208" i="4"/>
  <c r="X208" i="4"/>
  <c r="Y208" i="4"/>
  <c r="L208" i="4"/>
  <c r="AB208" i="4"/>
  <c r="AD208" i="4"/>
  <c r="AE208" i="4"/>
  <c r="R208" i="4"/>
  <c r="S208" i="4"/>
  <c r="T208" i="4"/>
  <c r="N170" i="4"/>
  <c r="O170" i="4"/>
  <c r="Q170" i="4"/>
  <c r="N125" i="4"/>
  <c r="O125" i="4"/>
  <c r="Q125" i="4"/>
  <c r="AD138" i="4"/>
  <c r="AE138" i="4"/>
  <c r="X138" i="4"/>
  <c r="Y138" i="4"/>
  <c r="N183" i="4"/>
  <c r="O183" i="4"/>
  <c r="Q183" i="4"/>
  <c r="N141" i="4"/>
  <c r="O141" i="4"/>
  <c r="Q141" i="4"/>
  <c r="X154" i="4"/>
  <c r="Y154" i="4"/>
  <c r="U186" i="4"/>
  <c r="V186" i="4"/>
  <c r="W186" i="4"/>
  <c r="R186" i="4"/>
  <c r="S186" i="4"/>
  <c r="T186" i="4"/>
  <c r="AD141" i="4"/>
  <c r="AE141" i="4"/>
  <c r="U127" i="4"/>
  <c r="V127" i="4"/>
  <c r="W127" i="4"/>
  <c r="U183" i="4"/>
  <c r="V183" i="4"/>
  <c r="W183" i="4"/>
  <c r="L138" i="4"/>
  <c r="M138" i="4"/>
  <c r="AA138" i="4"/>
  <c r="X183" i="4"/>
  <c r="Y183" i="4"/>
  <c r="R141" i="4"/>
  <c r="S141" i="4"/>
  <c r="T141" i="4"/>
  <c r="AD186" i="4"/>
  <c r="AE186" i="4"/>
  <c r="N186" i="4"/>
  <c r="O186" i="4"/>
  <c r="Q186" i="4"/>
  <c r="U141" i="4"/>
  <c r="V141" i="4"/>
  <c r="W141" i="4"/>
  <c r="X186" i="4"/>
  <c r="Y186" i="4"/>
  <c r="R154" i="4"/>
  <c r="S154" i="4"/>
  <c r="T154" i="4"/>
  <c r="X141" i="4"/>
  <c r="Y141" i="4"/>
  <c r="L127" i="4"/>
  <c r="AF127" i="4"/>
  <c r="AD183" i="4"/>
  <c r="AE183" i="4"/>
  <c r="N138" i="4"/>
  <c r="O138" i="4"/>
  <c r="Q138" i="4"/>
  <c r="L183" i="4"/>
  <c r="M183" i="4"/>
  <c r="AA183" i="4"/>
  <c r="L141" i="4"/>
  <c r="Z141" i="4"/>
  <c r="R170" i="4"/>
  <c r="S170" i="4"/>
  <c r="T170" i="4"/>
  <c r="U125" i="4"/>
  <c r="V125" i="4"/>
  <c r="W125" i="4"/>
  <c r="N154" i="4"/>
  <c r="O154" i="4"/>
  <c r="Q154" i="4"/>
  <c r="U170" i="4"/>
  <c r="V170" i="4"/>
  <c r="W170" i="4"/>
  <c r="AD125" i="4"/>
  <c r="AE125" i="4"/>
  <c r="R127" i="4"/>
  <c r="S127" i="4"/>
  <c r="T127" i="4"/>
  <c r="U200" i="4"/>
  <c r="V200" i="4"/>
  <c r="W200" i="4"/>
  <c r="N200" i="4"/>
  <c r="O200" i="4"/>
  <c r="Q200" i="4"/>
  <c r="AD170" i="4"/>
  <c r="AE170" i="4"/>
  <c r="U154" i="4"/>
  <c r="V154" i="4"/>
  <c r="W154" i="4"/>
  <c r="L154" i="4"/>
  <c r="AB154" i="4"/>
  <c r="AD127" i="4"/>
  <c r="AE127" i="4"/>
  <c r="N127" i="4"/>
  <c r="O127" i="4"/>
  <c r="Q127" i="4"/>
  <c r="AD154" i="4"/>
  <c r="AE154" i="4"/>
  <c r="R125" i="4"/>
  <c r="S125" i="4"/>
  <c r="T125" i="4"/>
  <c r="X127" i="4"/>
  <c r="Y127" i="4"/>
  <c r="L170" i="4"/>
  <c r="Z170" i="4"/>
  <c r="AD134" i="4"/>
  <c r="AE134" i="4"/>
  <c r="N147" i="4"/>
  <c r="O147" i="4"/>
  <c r="Q147" i="4"/>
  <c r="X134" i="4"/>
  <c r="Y134" i="4"/>
  <c r="AD188" i="4"/>
  <c r="AE188" i="4"/>
  <c r="N188" i="4"/>
  <c r="O188" i="4"/>
  <c r="Q188" i="4"/>
  <c r="R134" i="4"/>
  <c r="S134" i="4"/>
  <c r="T134" i="4"/>
  <c r="R188" i="4"/>
  <c r="S188" i="4"/>
  <c r="T188" i="4"/>
  <c r="L139" i="4"/>
  <c r="M139" i="4"/>
  <c r="AA139" i="4"/>
  <c r="AD150" i="4"/>
  <c r="AE150" i="4"/>
  <c r="R139" i="4"/>
  <c r="S139" i="4"/>
  <c r="T139" i="4"/>
  <c r="L150" i="4"/>
  <c r="AF150" i="4"/>
  <c r="U139" i="4"/>
  <c r="V139" i="4"/>
  <c r="W139" i="4"/>
  <c r="X150" i="4"/>
  <c r="Y150" i="4"/>
  <c r="AD139" i="4"/>
  <c r="AE139" i="4"/>
  <c r="U150" i="4"/>
  <c r="V150" i="4"/>
  <c r="W150" i="4"/>
  <c r="X139" i="4"/>
  <c r="Y139" i="4"/>
  <c r="U188" i="4"/>
  <c r="V188" i="4"/>
  <c r="W188" i="4"/>
  <c r="R150" i="4"/>
  <c r="S150" i="4"/>
  <c r="T150" i="4"/>
  <c r="N134" i="4"/>
  <c r="O134" i="4"/>
  <c r="Q134" i="4"/>
  <c r="U134" i="4"/>
  <c r="V134" i="4"/>
  <c r="W134" i="4"/>
  <c r="N139" i="4"/>
  <c r="O139" i="4"/>
  <c r="Q139" i="4"/>
  <c r="X188" i="4"/>
  <c r="Y188" i="4"/>
  <c r="N150" i="4"/>
  <c r="O150" i="4"/>
  <c r="Q150" i="4"/>
  <c r="L188" i="4"/>
  <c r="M188" i="4"/>
  <c r="AA188" i="4"/>
  <c r="L134" i="4"/>
  <c r="Z134" i="4"/>
  <c r="X118" i="4"/>
  <c r="Y118" i="4"/>
  <c r="N118" i="4"/>
  <c r="O118" i="4"/>
  <c r="Q118" i="4"/>
  <c r="AD205" i="4"/>
  <c r="AE205" i="4"/>
  <c r="N179" i="4"/>
  <c r="O179" i="4"/>
  <c r="Q179" i="4"/>
  <c r="L119" i="4"/>
  <c r="AF119" i="4"/>
  <c r="N171" i="4"/>
  <c r="O171" i="4"/>
  <c r="Q171" i="4"/>
  <c r="R119" i="4"/>
  <c r="S119" i="4"/>
  <c r="T119" i="4"/>
  <c r="L118" i="4"/>
  <c r="AB118" i="4"/>
  <c r="X171" i="4"/>
  <c r="Y171" i="4"/>
  <c r="L179" i="4"/>
  <c r="AF179" i="4"/>
  <c r="U119" i="4"/>
  <c r="V119" i="4"/>
  <c r="W119" i="4"/>
  <c r="U171" i="4"/>
  <c r="V171" i="4"/>
  <c r="W171" i="4"/>
  <c r="X179" i="4"/>
  <c r="Y179" i="4"/>
  <c r="X119" i="4"/>
  <c r="Y119" i="4"/>
  <c r="AD118" i="4"/>
  <c r="AE118" i="4"/>
  <c r="AD119" i="4"/>
  <c r="AE119" i="4"/>
  <c r="U118" i="4"/>
  <c r="V118" i="4"/>
  <c r="W118" i="4"/>
  <c r="R171" i="4"/>
  <c r="S171" i="4"/>
  <c r="T171" i="4"/>
  <c r="U179" i="4"/>
  <c r="V179" i="4"/>
  <c r="W179" i="4"/>
  <c r="AD179" i="4"/>
  <c r="AE179" i="4"/>
  <c r="N119" i="4"/>
  <c r="O119" i="4"/>
  <c r="Q119" i="4"/>
  <c r="AD171" i="4"/>
  <c r="AE171" i="4"/>
  <c r="R118" i="4"/>
  <c r="S118" i="4"/>
  <c r="T118" i="4"/>
  <c r="L171" i="4"/>
  <c r="AB171" i="4"/>
  <c r="R179" i="4"/>
  <c r="S179" i="4"/>
  <c r="T179" i="4"/>
  <c r="X204" i="4"/>
  <c r="Y204" i="4"/>
  <c r="U204" i="4"/>
  <c r="V204" i="4"/>
  <c r="W204" i="4"/>
  <c r="N204" i="4"/>
  <c r="O204" i="4"/>
  <c r="Q204" i="4"/>
  <c r="R205" i="4"/>
  <c r="S205" i="4"/>
  <c r="T205" i="4"/>
  <c r="U178" i="4"/>
  <c r="V178" i="4"/>
  <c r="W178" i="4"/>
  <c r="R178" i="4"/>
  <c r="S178" i="4"/>
  <c r="T178" i="4"/>
  <c r="AD204" i="4"/>
  <c r="AH204" i="4"/>
  <c r="X178" i="4"/>
  <c r="Y178" i="4"/>
  <c r="AH198" i="4"/>
  <c r="AH121" i="4"/>
  <c r="AH188" i="4"/>
  <c r="AH166" i="4"/>
  <c r="AH132" i="4"/>
  <c r="AH186" i="4"/>
  <c r="X189" i="4"/>
  <c r="Y189" i="4"/>
  <c r="U196" i="4"/>
  <c r="V196" i="4"/>
  <c r="W196" i="4"/>
  <c r="X147" i="4"/>
  <c r="Y147" i="4"/>
  <c r="N196" i="4"/>
  <c r="O196" i="4"/>
  <c r="Q196" i="4"/>
  <c r="AD178" i="4"/>
  <c r="L204" i="4"/>
  <c r="AF204" i="4"/>
  <c r="N205" i="4"/>
  <c r="O205" i="4"/>
  <c r="Q205" i="4"/>
  <c r="L178" i="4"/>
  <c r="AB178" i="4"/>
  <c r="X205" i="4"/>
  <c r="Y205" i="4"/>
  <c r="R204" i="4"/>
  <c r="S204" i="4"/>
  <c r="T204" i="4"/>
  <c r="L205" i="4"/>
  <c r="AF205" i="4"/>
  <c r="N178" i="4"/>
  <c r="O178" i="4"/>
  <c r="Q178" i="4"/>
  <c r="U205" i="4"/>
  <c r="V205" i="4"/>
  <c r="W205" i="4"/>
  <c r="X136" i="4"/>
  <c r="Y136" i="4"/>
  <c r="R189" i="4"/>
  <c r="S189" i="4"/>
  <c r="T189" i="4"/>
  <c r="AD147" i="4"/>
  <c r="L147" i="4"/>
  <c r="M147" i="4"/>
  <c r="AA147" i="4"/>
  <c r="U147" i="4"/>
  <c r="V147" i="4"/>
  <c r="W147" i="4"/>
  <c r="R147" i="4"/>
  <c r="S147" i="4"/>
  <c r="T147" i="4"/>
  <c r="L187" i="4"/>
  <c r="AF187" i="4"/>
  <c r="N187" i="4"/>
  <c r="O187" i="4"/>
  <c r="Q187" i="4"/>
  <c r="U187" i="4"/>
  <c r="V187" i="4"/>
  <c r="W187" i="4"/>
  <c r="U136" i="4"/>
  <c r="V136" i="4"/>
  <c r="W136" i="4"/>
  <c r="L136" i="4"/>
  <c r="AB136" i="4"/>
  <c r="L196" i="4"/>
  <c r="AB196" i="4"/>
  <c r="N189" i="4"/>
  <c r="O189" i="4"/>
  <c r="Q189" i="4"/>
  <c r="AD136" i="4"/>
  <c r="R187" i="4"/>
  <c r="S187" i="4"/>
  <c r="T187" i="4"/>
  <c r="U189" i="4"/>
  <c r="V189" i="4"/>
  <c r="W189" i="4"/>
  <c r="AD196" i="4"/>
  <c r="R136" i="4"/>
  <c r="S136" i="4"/>
  <c r="T136" i="4"/>
  <c r="AD187" i="4"/>
  <c r="X196" i="4"/>
  <c r="Y196" i="4"/>
  <c r="L189" i="4"/>
  <c r="Z189" i="4"/>
  <c r="X187" i="4"/>
  <c r="Y187" i="4"/>
  <c r="N136" i="4"/>
  <c r="O136" i="4"/>
  <c r="Q136" i="4"/>
  <c r="R196" i="4"/>
  <c r="S196" i="4"/>
  <c r="T196" i="4"/>
  <c r="AD189" i="4"/>
  <c r="AD193" i="4"/>
  <c r="X199" i="4"/>
  <c r="Y199" i="4"/>
  <c r="L193" i="4"/>
  <c r="AF193" i="4"/>
  <c r="N193" i="4"/>
  <c r="O193" i="4"/>
  <c r="Q193" i="4"/>
  <c r="X193" i="4"/>
  <c r="Y193" i="4"/>
  <c r="R193" i="4"/>
  <c r="S193" i="4"/>
  <c r="T193" i="4"/>
  <c r="U193" i="4"/>
  <c r="V193" i="4"/>
  <c r="W193" i="4"/>
  <c r="U129" i="4"/>
  <c r="V129" i="4"/>
  <c r="W129" i="4"/>
  <c r="N206" i="4"/>
  <c r="O206" i="4"/>
  <c r="Q206" i="4"/>
  <c r="L129" i="4"/>
  <c r="AB129" i="4"/>
  <c r="AD129" i="4"/>
  <c r="AD199" i="4"/>
  <c r="N199" i="4"/>
  <c r="O199" i="4"/>
  <c r="Q199" i="4"/>
  <c r="R206" i="4"/>
  <c r="S206" i="4"/>
  <c r="T206" i="4"/>
  <c r="R142" i="4"/>
  <c r="S142" i="4"/>
  <c r="T142" i="4"/>
  <c r="U206" i="4"/>
  <c r="V206" i="4"/>
  <c r="W206" i="4"/>
  <c r="L199" i="4"/>
  <c r="AF199" i="4"/>
  <c r="R129" i="4"/>
  <c r="S129" i="4"/>
  <c r="T129" i="4"/>
  <c r="AD206" i="4"/>
  <c r="N129" i="4"/>
  <c r="O129" i="4"/>
  <c r="Q129" i="4"/>
  <c r="X206" i="4"/>
  <c r="Y206" i="4"/>
  <c r="U199" i="4"/>
  <c r="V199" i="4"/>
  <c r="W199" i="4"/>
  <c r="R199" i="4"/>
  <c r="S199" i="4"/>
  <c r="T199" i="4"/>
  <c r="L206" i="4"/>
  <c r="Z206" i="4"/>
  <c r="X129" i="4"/>
  <c r="Y129" i="4"/>
  <c r="R197" i="4"/>
  <c r="S197" i="4"/>
  <c r="T197" i="4"/>
  <c r="E243" i="2"/>
  <c r="AD197" i="4"/>
  <c r="N197" i="4"/>
  <c r="O197" i="4"/>
  <c r="Q197" i="4"/>
  <c r="L155" i="4"/>
  <c r="AF155" i="4"/>
  <c r="L197" i="4"/>
  <c r="AB197" i="4"/>
  <c r="U197" i="4"/>
  <c r="V197" i="4"/>
  <c r="W197" i="4"/>
  <c r="X195" i="4"/>
  <c r="Y195" i="4"/>
  <c r="X197" i="4"/>
  <c r="Y197" i="4"/>
  <c r="N156" i="4"/>
  <c r="O156" i="4"/>
  <c r="Q156" i="4"/>
  <c r="X114" i="4"/>
  <c r="Y114" i="4"/>
  <c r="AD156" i="4"/>
  <c r="L174" i="4"/>
  <c r="M174" i="4"/>
  <c r="AA174" i="4"/>
  <c r="X181" i="4"/>
  <c r="Y181" i="4"/>
  <c r="AD145" i="4"/>
  <c r="K145" i="4"/>
  <c r="X130" i="4"/>
  <c r="Y130" i="4"/>
  <c r="K130" i="4"/>
  <c r="X167" i="4"/>
  <c r="Y167" i="4"/>
  <c r="K167" i="4"/>
  <c r="M111" i="4"/>
  <c r="AA111" i="4"/>
  <c r="AB111" i="4"/>
  <c r="X180" i="4"/>
  <c r="Y180" i="4"/>
  <c r="K180" i="4"/>
  <c r="U172" i="4"/>
  <c r="V172" i="4"/>
  <c r="W172" i="4"/>
  <c r="K172" i="4"/>
  <c r="U194" i="4"/>
  <c r="V194" i="4"/>
  <c r="W194" i="4"/>
  <c r="K194" i="4"/>
  <c r="L203" i="4"/>
  <c r="K203" i="4"/>
  <c r="L163" i="4"/>
  <c r="K163" i="4"/>
  <c r="R149" i="4"/>
  <c r="S149" i="4"/>
  <c r="T149" i="4"/>
  <c r="K149" i="4"/>
  <c r="L80" i="4"/>
  <c r="K80" i="4"/>
  <c r="U182" i="4"/>
  <c r="V182" i="4"/>
  <c r="W182" i="4"/>
  <c r="K182" i="4"/>
  <c r="U177" i="4"/>
  <c r="V177" i="4"/>
  <c r="W177" i="4"/>
  <c r="K177" i="4"/>
  <c r="X133" i="4"/>
  <c r="Y133" i="4"/>
  <c r="K133" i="4"/>
  <c r="N114" i="4"/>
  <c r="O114" i="4"/>
  <c r="Q114" i="4"/>
  <c r="K114" i="4"/>
  <c r="L48" i="4"/>
  <c r="K48" i="4"/>
  <c r="X157" i="4"/>
  <c r="Y157" i="4"/>
  <c r="K157" i="4"/>
  <c r="U152" i="4"/>
  <c r="V152" i="4"/>
  <c r="W152" i="4"/>
  <c r="K152" i="4"/>
  <c r="X202" i="4"/>
  <c r="Y202" i="4"/>
  <c r="K202" i="4"/>
  <c r="U162" i="4"/>
  <c r="V162" i="4"/>
  <c r="W162" i="4"/>
  <c r="AD140" i="4"/>
  <c r="K140" i="4"/>
  <c r="U142" i="4"/>
  <c r="V142" i="4"/>
  <c r="W142" i="4"/>
  <c r="AD163" i="4"/>
  <c r="AD151" i="4"/>
  <c r="K151" i="4"/>
  <c r="X168" i="4"/>
  <c r="Y168" i="4"/>
  <c r="K168" i="4"/>
  <c r="N163" i="4"/>
  <c r="O163" i="4"/>
  <c r="Q163" i="4"/>
  <c r="X112" i="4"/>
  <c r="Y112" i="4"/>
  <c r="K112" i="4"/>
  <c r="R195" i="4"/>
  <c r="S195" i="4"/>
  <c r="T195" i="4"/>
  <c r="K195" i="4"/>
  <c r="N158" i="4"/>
  <c r="O158" i="4"/>
  <c r="Q158" i="4"/>
  <c r="K158" i="4"/>
  <c r="R135" i="4"/>
  <c r="S135" i="4"/>
  <c r="T135" i="4"/>
  <c r="K135" i="4"/>
  <c r="N143" i="4"/>
  <c r="O143" i="4"/>
  <c r="Q143" i="4"/>
  <c r="K143" i="4"/>
  <c r="U169" i="4"/>
  <c r="V169" i="4"/>
  <c r="W169" i="4"/>
  <c r="K169" i="4"/>
  <c r="X113" i="4"/>
  <c r="Y113" i="4"/>
  <c r="K113" i="4"/>
  <c r="AD123" i="4"/>
  <c r="K123" i="4"/>
  <c r="N111" i="4"/>
  <c r="O111" i="4"/>
  <c r="Q111" i="4"/>
  <c r="K111" i="4"/>
  <c r="AF111" i="4"/>
  <c r="L162" i="4"/>
  <c r="K162" i="4"/>
  <c r="AD120" i="4"/>
  <c r="K120" i="4"/>
  <c r="U126" i="4"/>
  <c r="V126" i="4"/>
  <c r="W126" i="4"/>
  <c r="K126" i="4"/>
  <c r="N181" i="4"/>
  <c r="O181" i="4"/>
  <c r="Q181" i="4"/>
  <c r="K181" i="4"/>
  <c r="AD131" i="4"/>
  <c r="K131" i="4"/>
  <c r="X191" i="4"/>
  <c r="Y191" i="4"/>
  <c r="K191" i="4"/>
  <c r="AD207" i="4"/>
  <c r="K207" i="4"/>
  <c r="U190" i="4"/>
  <c r="V190" i="4"/>
  <c r="W190" i="4"/>
  <c r="K190" i="4"/>
  <c r="U122" i="4"/>
  <c r="V122" i="4"/>
  <c r="W122" i="4"/>
  <c r="K122" i="4"/>
  <c r="AD203" i="4"/>
  <c r="N203" i="4"/>
  <c r="O203" i="4"/>
  <c r="Q203" i="4"/>
  <c r="X124" i="4"/>
  <c r="Y124" i="4"/>
  <c r="K124" i="4"/>
  <c r="U185" i="4"/>
  <c r="V185" i="4"/>
  <c r="W185" i="4"/>
  <c r="K185" i="4"/>
  <c r="AD137" i="4"/>
  <c r="K137" i="4"/>
  <c r="X173" i="4"/>
  <c r="Y173" i="4"/>
  <c r="K173" i="4"/>
  <c r="R174" i="4"/>
  <c r="S174" i="4"/>
  <c r="T174" i="4"/>
  <c r="U111" i="4"/>
  <c r="V111" i="4"/>
  <c r="W111" i="4"/>
  <c r="X165" i="4"/>
  <c r="Y165" i="4"/>
  <c r="K165" i="4"/>
  <c r="AD174" i="4"/>
  <c r="U116" i="4"/>
  <c r="V116" i="4"/>
  <c r="W116" i="4"/>
  <c r="K116" i="4"/>
  <c r="R163" i="4"/>
  <c r="S163" i="4"/>
  <c r="T163" i="4"/>
  <c r="N146" i="4"/>
  <c r="O146" i="4"/>
  <c r="Q146" i="4"/>
  <c r="K146" i="4"/>
  <c r="X175" i="4"/>
  <c r="Y175" i="4"/>
  <c r="K175" i="4"/>
  <c r="AD209" i="4"/>
  <c r="K209" i="4"/>
  <c r="X160" i="4"/>
  <c r="Y160" i="4"/>
  <c r="K160" i="4"/>
  <c r="A44" i="16"/>
  <c r="L44" i="16"/>
  <c r="L65" i="16"/>
  <c r="N65" i="16"/>
  <c r="X156" i="4"/>
  <c r="Y156" i="4"/>
  <c r="L156" i="4"/>
  <c r="L114" i="4"/>
  <c r="X174" i="4"/>
  <c r="Y174" i="4"/>
  <c r="L181" i="4"/>
  <c r="N174" i="4"/>
  <c r="O174" i="4"/>
  <c r="Q174" i="4"/>
  <c r="L135" i="4"/>
  <c r="L158" i="4"/>
  <c r="L143" i="4"/>
  <c r="X135" i="4"/>
  <c r="Y135" i="4"/>
  <c r="AD148" i="4"/>
  <c r="U146" i="4"/>
  <c r="V146" i="4"/>
  <c r="W146" i="4"/>
  <c r="U175" i="4"/>
  <c r="V175" i="4"/>
  <c r="W175" i="4"/>
  <c r="AD158" i="4"/>
  <c r="N112" i="4"/>
  <c r="O112" i="4"/>
  <c r="Q112" i="4"/>
  <c r="N135" i="4"/>
  <c r="O135" i="4"/>
  <c r="Q135" i="4"/>
  <c r="AD112" i="4"/>
  <c r="X143" i="4"/>
  <c r="Y143" i="4"/>
  <c r="U135" i="4"/>
  <c r="V135" i="4"/>
  <c r="W135" i="4"/>
  <c r="X155" i="4"/>
  <c r="Y155" i="4"/>
  <c r="U155" i="4"/>
  <c r="V155" i="4"/>
  <c r="W155" i="4"/>
  <c r="X158" i="4"/>
  <c r="Y158" i="4"/>
  <c r="AD143" i="4"/>
  <c r="R175" i="4"/>
  <c r="S175" i="4"/>
  <c r="T175" i="4"/>
  <c r="AD195" i="4"/>
  <c r="AD135" i="4"/>
  <c r="N195" i="4"/>
  <c r="O195" i="4"/>
  <c r="Q195" i="4"/>
  <c r="U112" i="4"/>
  <c r="V112" i="4"/>
  <c r="W112" i="4"/>
  <c r="R143" i="4"/>
  <c r="S143" i="4"/>
  <c r="T143" i="4"/>
  <c r="R148" i="4"/>
  <c r="S148" i="4"/>
  <c r="T148" i="4"/>
  <c r="R155" i="4"/>
  <c r="S155" i="4"/>
  <c r="T155" i="4"/>
  <c r="AD155" i="4"/>
  <c r="R112" i="4"/>
  <c r="S112" i="4"/>
  <c r="T112" i="4"/>
  <c r="L195" i="4"/>
  <c r="N155" i="4"/>
  <c r="O155" i="4"/>
  <c r="Q155" i="4"/>
  <c r="L112" i="4"/>
  <c r="U143" i="4"/>
  <c r="V143" i="4"/>
  <c r="W143" i="4"/>
  <c r="U195" i="4"/>
  <c r="V195" i="4"/>
  <c r="W195" i="4"/>
  <c r="L209" i="4"/>
  <c r="U123" i="4"/>
  <c r="V123" i="4"/>
  <c r="W123" i="4"/>
  <c r="X126" i="4"/>
  <c r="Y126" i="4"/>
  <c r="X148" i="4"/>
  <c r="Y148" i="4"/>
  <c r="AD160" i="4"/>
  <c r="L160" i="4"/>
  <c r="R158" i="4"/>
  <c r="S158" i="4"/>
  <c r="T158" i="4"/>
  <c r="U117" i="4"/>
  <c r="V117" i="4"/>
  <c r="W117" i="4"/>
  <c r="R146" i="4"/>
  <c r="S146" i="4"/>
  <c r="T146" i="4"/>
  <c r="R117" i="4"/>
  <c r="S117" i="4"/>
  <c r="T117" i="4"/>
  <c r="X117" i="4"/>
  <c r="Y117" i="4"/>
  <c r="X152" i="4"/>
  <c r="Y152" i="4"/>
  <c r="R209" i="4"/>
  <c r="S209" i="4"/>
  <c r="T209" i="4"/>
  <c r="L148" i="4"/>
  <c r="N148" i="4"/>
  <c r="O148" i="4"/>
  <c r="Q148" i="4"/>
  <c r="U148" i="4"/>
  <c r="V148" i="4"/>
  <c r="W148" i="4"/>
  <c r="U209" i="4"/>
  <c r="V209" i="4"/>
  <c r="W209" i="4"/>
  <c r="X146" i="4"/>
  <c r="Y146" i="4"/>
  <c r="L146" i="4"/>
  <c r="AD146" i="4"/>
  <c r="N117" i="4"/>
  <c r="O117" i="4"/>
  <c r="Q117" i="4"/>
  <c r="N175" i="4"/>
  <c r="O175" i="4"/>
  <c r="Q175" i="4"/>
  <c r="N209" i="4"/>
  <c r="O209" i="4"/>
  <c r="Q209" i="4"/>
  <c r="AD175" i="4"/>
  <c r="U160" i="4"/>
  <c r="V160" i="4"/>
  <c r="W160" i="4"/>
  <c r="R160" i="4"/>
  <c r="S160" i="4"/>
  <c r="T160" i="4"/>
  <c r="AD191" i="4"/>
  <c r="X209" i="4"/>
  <c r="Y209" i="4"/>
  <c r="AD117" i="4"/>
  <c r="L117" i="4"/>
  <c r="L175" i="4"/>
  <c r="AD180" i="4"/>
  <c r="N160" i="4"/>
  <c r="O160" i="4"/>
  <c r="Q160" i="4"/>
  <c r="X176" i="4"/>
  <c r="Y176" i="4"/>
  <c r="U176" i="4"/>
  <c r="V176" i="4"/>
  <c r="W176" i="4"/>
  <c r="AD130" i="4"/>
  <c r="X149" i="4"/>
  <c r="Y149" i="4"/>
  <c r="R162" i="4"/>
  <c r="S162" i="4"/>
  <c r="T162" i="4"/>
  <c r="AD111" i="4"/>
  <c r="U151" i="4"/>
  <c r="V151" i="4"/>
  <c r="W151" i="4"/>
  <c r="U163" i="4"/>
  <c r="V163" i="4"/>
  <c r="W163" i="4"/>
  <c r="X145" i="4"/>
  <c r="Y145" i="4"/>
  <c r="U156" i="4"/>
  <c r="V156" i="4"/>
  <c r="W156" i="4"/>
  <c r="AD114" i="4"/>
  <c r="R156" i="4"/>
  <c r="S156" i="4"/>
  <c r="T156" i="4"/>
  <c r="X203" i="4"/>
  <c r="Y203" i="4"/>
  <c r="U149" i="4"/>
  <c r="V149" i="4"/>
  <c r="W149" i="4"/>
  <c r="R203" i="4"/>
  <c r="S203" i="4"/>
  <c r="T203" i="4"/>
  <c r="AD185" i="4"/>
  <c r="AD202" i="4"/>
  <c r="U173" i="4"/>
  <c r="V173" i="4"/>
  <c r="W173" i="4"/>
  <c r="U181" i="4"/>
  <c r="V181" i="4"/>
  <c r="W181" i="4"/>
  <c r="X142" i="4"/>
  <c r="Y142" i="4"/>
  <c r="U174" i="4"/>
  <c r="V174" i="4"/>
  <c r="W174" i="4"/>
  <c r="L149" i="4"/>
  <c r="R111" i="4"/>
  <c r="S111" i="4"/>
  <c r="T111" i="4"/>
  <c r="X111" i="4"/>
  <c r="Y111" i="4"/>
  <c r="L142" i="4"/>
  <c r="N142" i="4"/>
  <c r="O142" i="4"/>
  <c r="Q142" i="4"/>
  <c r="N149" i="4"/>
  <c r="O149" i="4"/>
  <c r="Q149" i="4"/>
  <c r="X169" i="4"/>
  <c r="Y169" i="4"/>
  <c r="U145" i="4"/>
  <c r="V145" i="4"/>
  <c r="W145" i="4"/>
  <c r="U114" i="4"/>
  <c r="V114" i="4"/>
  <c r="W114" i="4"/>
  <c r="U203" i="4"/>
  <c r="V203" i="4"/>
  <c r="W203" i="4"/>
  <c r="AD149" i="4"/>
  <c r="N162" i="4"/>
  <c r="O162" i="4"/>
  <c r="Q162" i="4"/>
  <c r="AD124" i="4"/>
  <c r="AD152" i="4"/>
  <c r="X185" i="4"/>
  <c r="Y185" i="4"/>
  <c r="AD162" i="4"/>
  <c r="U120" i="4"/>
  <c r="V120" i="4"/>
  <c r="W120" i="4"/>
  <c r="AD181" i="4"/>
  <c r="AD142" i="4"/>
  <c r="U165" i="4"/>
  <c r="V165" i="4"/>
  <c r="W165" i="4"/>
  <c r="X163" i="4"/>
  <c r="Y163" i="4"/>
  <c r="R181" i="4"/>
  <c r="S181" i="4"/>
  <c r="T181" i="4"/>
  <c r="U158" i="4"/>
  <c r="V158" i="4"/>
  <c r="W158" i="4"/>
  <c r="AD168" i="4"/>
  <c r="AD116" i="4"/>
  <c r="U191" i="4"/>
  <c r="V191" i="4"/>
  <c r="W191" i="4"/>
  <c r="AD169" i="4"/>
  <c r="AD190" i="4"/>
  <c r="U180" i="4"/>
  <c r="V180" i="4"/>
  <c r="W180" i="4"/>
  <c r="U157" i="4"/>
  <c r="V157" i="4"/>
  <c r="W157" i="4"/>
  <c r="AD173" i="4"/>
  <c r="AD176" i="4"/>
  <c r="X123" i="4"/>
  <c r="Y123" i="4"/>
  <c r="X131" i="4"/>
  <c r="Y131" i="4"/>
  <c r="AD194" i="4"/>
  <c r="U168" i="4"/>
  <c r="V168" i="4"/>
  <c r="W168" i="4"/>
  <c r="X116" i="4"/>
  <c r="Y116" i="4"/>
  <c r="U167" i="4"/>
  <c r="V167" i="4"/>
  <c r="W167" i="4"/>
  <c r="AD167" i="4"/>
  <c r="AD133" i="4"/>
  <c r="X190" i="4"/>
  <c r="Y190" i="4"/>
  <c r="L115" i="4"/>
  <c r="N115" i="4"/>
  <c r="O115" i="4"/>
  <c r="Q115" i="4"/>
  <c r="R115" i="4"/>
  <c r="S115" i="4"/>
  <c r="T115" i="4"/>
  <c r="U110" i="4"/>
  <c r="V110" i="4"/>
  <c r="W110" i="4"/>
  <c r="R110" i="4"/>
  <c r="S110" i="4"/>
  <c r="T110" i="4"/>
  <c r="L110" i="4"/>
  <c r="N110" i="4"/>
  <c r="O110" i="4"/>
  <c r="Q110" i="4"/>
  <c r="L144" i="4"/>
  <c r="R144" i="4"/>
  <c r="S144" i="4"/>
  <c r="T144" i="4"/>
  <c r="N144" i="4"/>
  <c r="O144" i="4"/>
  <c r="Q144" i="4"/>
  <c r="X110" i="4"/>
  <c r="Y110" i="4"/>
  <c r="R153" i="4"/>
  <c r="S153" i="4"/>
  <c r="T153" i="4"/>
  <c r="N153" i="4"/>
  <c r="O153" i="4"/>
  <c r="Q153" i="4"/>
  <c r="L153" i="4"/>
  <c r="L164" i="4"/>
  <c r="N164" i="4"/>
  <c r="O164" i="4"/>
  <c r="Q164" i="4"/>
  <c r="R164" i="4"/>
  <c r="S164" i="4"/>
  <c r="T164" i="4"/>
  <c r="L161" i="4"/>
  <c r="R161" i="4"/>
  <c r="S161" i="4"/>
  <c r="T161" i="4"/>
  <c r="N161" i="4"/>
  <c r="O161" i="4"/>
  <c r="Q161" i="4"/>
  <c r="AD115" i="4"/>
  <c r="N191" i="4"/>
  <c r="O191" i="4"/>
  <c r="Q191" i="4"/>
  <c r="L191" i="4"/>
  <c r="R191" i="4"/>
  <c r="S191" i="4"/>
  <c r="T191" i="4"/>
  <c r="L169" i="4"/>
  <c r="R169" i="4"/>
  <c r="S169" i="4"/>
  <c r="T169" i="4"/>
  <c r="N169" i="4"/>
  <c r="O169" i="4"/>
  <c r="Q169" i="4"/>
  <c r="U207" i="4"/>
  <c r="V207" i="4"/>
  <c r="W207" i="4"/>
  <c r="X128" i="4"/>
  <c r="Y128" i="4"/>
  <c r="R128" i="4"/>
  <c r="S128" i="4"/>
  <c r="T128" i="4"/>
  <c r="N128" i="4"/>
  <c r="O128" i="4"/>
  <c r="Q128" i="4"/>
  <c r="L128" i="4"/>
  <c r="N159" i="4"/>
  <c r="O159" i="4"/>
  <c r="Q159" i="4"/>
  <c r="R159" i="4"/>
  <c r="S159" i="4"/>
  <c r="T159" i="4"/>
  <c r="L159" i="4"/>
  <c r="R167" i="4"/>
  <c r="S167" i="4"/>
  <c r="T167" i="4"/>
  <c r="L167" i="4"/>
  <c r="N167" i="4"/>
  <c r="O167" i="4"/>
  <c r="Q167" i="4"/>
  <c r="AD144" i="4"/>
  <c r="U153" i="4"/>
  <c r="V153" i="4"/>
  <c r="W153" i="4"/>
  <c r="X164" i="4"/>
  <c r="Y164" i="4"/>
  <c r="AD172" i="4"/>
  <c r="AD182" i="4"/>
  <c r="N173" i="4"/>
  <c r="O173" i="4"/>
  <c r="Q173" i="4"/>
  <c r="R173" i="4"/>
  <c r="S173" i="4"/>
  <c r="T173" i="4"/>
  <c r="L173" i="4"/>
  <c r="AD128" i="4"/>
  <c r="L176" i="4"/>
  <c r="R176" i="4"/>
  <c r="S176" i="4"/>
  <c r="T176" i="4"/>
  <c r="N176" i="4"/>
  <c r="O176" i="4"/>
  <c r="Q176" i="4"/>
  <c r="R123" i="4"/>
  <c r="S123" i="4"/>
  <c r="T123" i="4"/>
  <c r="N123" i="4"/>
  <c r="O123" i="4"/>
  <c r="Q123" i="4"/>
  <c r="L123" i="4"/>
  <c r="U140" i="4"/>
  <c r="V140" i="4"/>
  <c r="W140" i="4"/>
  <c r="AD122" i="4"/>
  <c r="AD159" i="4"/>
  <c r="R168" i="4"/>
  <c r="S168" i="4"/>
  <c r="T168" i="4"/>
  <c r="L168" i="4"/>
  <c r="N168" i="4"/>
  <c r="O168" i="4"/>
  <c r="Q168" i="4"/>
  <c r="N116" i="4"/>
  <c r="O116" i="4"/>
  <c r="Q116" i="4"/>
  <c r="L116" i="4"/>
  <c r="R116" i="4"/>
  <c r="S116" i="4"/>
  <c r="T116" i="4"/>
  <c r="AD161" i="4"/>
  <c r="U115" i="4"/>
  <c r="V115" i="4"/>
  <c r="W115" i="4"/>
  <c r="N113" i="4"/>
  <c r="O113" i="4"/>
  <c r="Q113" i="4"/>
  <c r="L113" i="4"/>
  <c r="R113" i="4"/>
  <c r="S113" i="4"/>
  <c r="T113" i="4"/>
  <c r="L133" i="4"/>
  <c r="R133" i="4"/>
  <c r="S133" i="4"/>
  <c r="T133" i="4"/>
  <c r="N133" i="4"/>
  <c r="O133" i="4"/>
  <c r="Q133" i="4"/>
  <c r="U144" i="4"/>
  <c r="V144" i="4"/>
  <c r="W144" i="4"/>
  <c r="AD110" i="4"/>
  <c r="R124" i="4"/>
  <c r="S124" i="4"/>
  <c r="T124" i="4"/>
  <c r="N124" i="4"/>
  <c r="O124" i="4"/>
  <c r="Q124" i="4"/>
  <c r="L124" i="4"/>
  <c r="X153" i="4"/>
  <c r="Y153" i="4"/>
  <c r="U164" i="4"/>
  <c r="V164" i="4"/>
  <c r="W164" i="4"/>
  <c r="R202" i="4"/>
  <c r="S202" i="4"/>
  <c r="T202" i="4"/>
  <c r="N202" i="4"/>
  <c r="O202" i="4"/>
  <c r="Q202" i="4"/>
  <c r="L202" i="4"/>
  <c r="U137" i="4"/>
  <c r="V137" i="4"/>
  <c r="W137" i="4"/>
  <c r="R137" i="4"/>
  <c r="S137" i="4"/>
  <c r="T137" i="4"/>
  <c r="L137" i="4"/>
  <c r="N137" i="4"/>
  <c r="O137" i="4"/>
  <c r="Q137" i="4"/>
  <c r="U128" i="4"/>
  <c r="V128" i="4"/>
  <c r="W128" i="4"/>
  <c r="L120" i="4"/>
  <c r="N120" i="4"/>
  <c r="O120" i="4"/>
  <c r="Q120" i="4"/>
  <c r="R120" i="4"/>
  <c r="S120" i="4"/>
  <c r="T120" i="4"/>
  <c r="X137" i="4"/>
  <c r="Y137" i="4"/>
  <c r="U113" i="4"/>
  <c r="V113" i="4"/>
  <c r="W113" i="4"/>
  <c r="N126" i="4"/>
  <c r="O126" i="4"/>
  <c r="Q126" i="4"/>
  <c r="R126" i="4"/>
  <c r="S126" i="4"/>
  <c r="T126" i="4"/>
  <c r="L126" i="4"/>
  <c r="N165" i="4"/>
  <c r="O165" i="4"/>
  <c r="Q165" i="4"/>
  <c r="L165" i="4"/>
  <c r="R165" i="4"/>
  <c r="S165" i="4"/>
  <c r="T165" i="4"/>
  <c r="N194" i="4"/>
  <c r="O194" i="4"/>
  <c r="Q194" i="4"/>
  <c r="R194" i="4"/>
  <c r="S194" i="4"/>
  <c r="T194" i="4"/>
  <c r="L194" i="4"/>
  <c r="X159" i="4"/>
  <c r="Y159" i="4"/>
  <c r="U161" i="4"/>
  <c r="V161" i="4"/>
  <c r="W161" i="4"/>
  <c r="N207" i="4"/>
  <c r="O207" i="4"/>
  <c r="Q207" i="4"/>
  <c r="R207" i="4"/>
  <c r="S207" i="4"/>
  <c r="T207" i="4"/>
  <c r="L207" i="4"/>
  <c r="X182" i="4"/>
  <c r="Y182" i="4"/>
  <c r="N182" i="4"/>
  <c r="O182" i="4"/>
  <c r="Q182" i="4"/>
  <c r="L182" i="4"/>
  <c r="R182" i="4"/>
  <c r="S182" i="4"/>
  <c r="T182" i="4"/>
  <c r="AD177" i="4"/>
  <c r="L177" i="4"/>
  <c r="R177" i="4"/>
  <c r="S177" i="4"/>
  <c r="T177" i="4"/>
  <c r="N177" i="4"/>
  <c r="O177" i="4"/>
  <c r="Q177" i="4"/>
  <c r="L122" i="4"/>
  <c r="N122" i="4"/>
  <c r="O122" i="4"/>
  <c r="Q122" i="4"/>
  <c r="R122" i="4"/>
  <c r="S122" i="4"/>
  <c r="T122" i="4"/>
  <c r="R172" i="4"/>
  <c r="S172" i="4"/>
  <c r="T172" i="4"/>
  <c r="N172" i="4"/>
  <c r="O172" i="4"/>
  <c r="Q172" i="4"/>
  <c r="L172" i="4"/>
  <c r="X140" i="4"/>
  <c r="Y140" i="4"/>
  <c r="L140" i="4"/>
  <c r="R140" i="4"/>
  <c r="S140" i="4"/>
  <c r="T140" i="4"/>
  <c r="N140" i="4"/>
  <c r="O140" i="4"/>
  <c r="Q140" i="4"/>
  <c r="X115" i="4"/>
  <c r="Y115" i="4"/>
  <c r="X207" i="4"/>
  <c r="Y207" i="4"/>
  <c r="N190" i="4"/>
  <c r="O190" i="4"/>
  <c r="Q190" i="4"/>
  <c r="L190" i="4"/>
  <c r="R190" i="4"/>
  <c r="S190" i="4"/>
  <c r="T190" i="4"/>
  <c r="R145" i="4"/>
  <c r="S145" i="4"/>
  <c r="T145" i="4"/>
  <c r="L145" i="4"/>
  <c r="N145" i="4"/>
  <c r="O145" i="4"/>
  <c r="Q145" i="4"/>
  <c r="L157" i="4"/>
  <c r="R157" i="4"/>
  <c r="S157" i="4"/>
  <c r="T157" i="4"/>
  <c r="N157" i="4"/>
  <c r="O157" i="4"/>
  <c r="Q157" i="4"/>
  <c r="U130" i="4"/>
  <c r="V130" i="4"/>
  <c r="W130" i="4"/>
  <c r="R130" i="4"/>
  <c r="S130" i="4"/>
  <c r="T130" i="4"/>
  <c r="N130" i="4"/>
  <c r="O130" i="4"/>
  <c r="Q130" i="4"/>
  <c r="L130" i="4"/>
  <c r="X144" i="4"/>
  <c r="Y144" i="4"/>
  <c r="U124" i="4"/>
  <c r="V124" i="4"/>
  <c r="W124" i="4"/>
  <c r="L152" i="4"/>
  <c r="R152" i="4"/>
  <c r="S152" i="4"/>
  <c r="T152" i="4"/>
  <c r="N152" i="4"/>
  <c r="O152" i="4"/>
  <c r="Q152" i="4"/>
  <c r="N185" i="4"/>
  <c r="O185" i="4"/>
  <c r="Q185" i="4"/>
  <c r="R185" i="4"/>
  <c r="S185" i="4"/>
  <c r="T185" i="4"/>
  <c r="L185" i="4"/>
  <c r="R180" i="4"/>
  <c r="S180" i="4"/>
  <c r="T180" i="4"/>
  <c r="L180" i="4"/>
  <c r="N180" i="4"/>
  <c r="O180" i="4"/>
  <c r="Q180" i="4"/>
  <c r="AD153" i="4"/>
  <c r="AD164" i="4"/>
  <c r="X172" i="4"/>
  <c r="Y172" i="4"/>
  <c r="U202" i="4"/>
  <c r="V202" i="4"/>
  <c r="W202" i="4"/>
  <c r="AD157" i="4"/>
  <c r="X177" i="4"/>
  <c r="Y177" i="4"/>
  <c r="X120" i="4"/>
  <c r="Y120" i="4"/>
  <c r="U133" i="4"/>
  <c r="V133" i="4"/>
  <c r="W133" i="4"/>
  <c r="U131" i="4"/>
  <c r="V131" i="4"/>
  <c r="W131" i="4"/>
  <c r="R131" i="4"/>
  <c r="S131" i="4"/>
  <c r="T131" i="4"/>
  <c r="N131" i="4"/>
  <c r="O131" i="4"/>
  <c r="Q131" i="4"/>
  <c r="L131" i="4"/>
  <c r="AD113" i="4"/>
  <c r="AD126" i="4"/>
  <c r="X122" i="4"/>
  <c r="Y122" i="4"/>
  <c r="AD165" i="4"/>
  <c r="X194" i="4"/>
  <c r="Y194" i="4"/>
  <c r="U159" i="4"/>
  <c r="V159" i="4"/>
  <c r="W159" i="4"/>
  <c r="L151" i="4"/>
  <c r="N151" i="4"/>
  <c r="O151" i="4"/>
  <c r="Q151" i="4"/>
  <c r="R151" i="4"/>
  <c r="S151" i="4"/>
  <c r="T151" i="4"/>
  <c r="X161" i="4"/>
  <c r="Y161" i="4"/>
  <c r="X151" i="4"/>
  <c r="Y151" i="4"/>
  <c r="X47" i="4"/>
  <c r="Y47" i="4"/>
  <c r="L47" i="4"/>
  <c r="L66" i="4"/>
  <c r="U82" i="4"/>
  <c r="V82" i="4"/>
  <c r="W82" i="4"/>
  <c r="L82" i="4"/>
  <c r="U85" i="4"/>
  <c r="V85" i="4"/>
  <c r="W85" i="4"/>
  <c r="L85" i="4"/>
  <c r="N70" i="4"/>
  <c r="O70" i="4"/>
  <c r="Q70" i="4"/>
  <c r="L70" i="4"/>
  <c r="U100" i="4"/>
  <c r="V100" i="4"/>
  <c r="W100" i="4"/>
  <c r="L100" i="4"/>
  <c r="U26" i="4"/>
  <c r="V26" i="4"/>
  <c r="W26" i="4"/>
  <c r="L26" i="4"/>
  <c r="R84" i="4"/>
  <c r="S84" i="4"/>
  <c r="T84" i="4"/>
  <c r="L84" i="4"/>
  <c r="U23" i="4"/>
  <c r="V23" i="4"/>
  <c r="W23" i="4"/>
  <c r="L23" i="4"/>
  <c r="N49" i="4"/>
  <c r="O49" i="4"/>
  <c r="Q49" i="4"/>
  <c r="L49" i="4"/>
  <c r="X35" i="4"/>
  <c r="Y35" i="4"/>
  <c r="L35" i="4"/>
  <c r="R102" i="4"/>
  <c r="S102" i="4"/>
  <c r="T102" i="4"/>
  <c r="L102" i="4"/>
  <c r="X24" i="4"/>
  <c r="Y24" i="4"/>
  <c r="L24" i="4"/>
  <c r="N9" i="4"/>
  <c r="O9" i="4"/>
  <c r="Q9" i="4"/>
  <c r="L9" i="4"/>
  <c r="L64" i="4"/>
  <c r="AD32" i="4"/>
  <c r="AE32" i="4"/>
  <c r="L32" i="4"/>
  <c r="L104" i="4"/>
  <c r="R43" i="4"/>
  <c r="S43" i="4"/>
  <c r="T43" i="4"/>
  <c r="L43" i="4"/>
  <c r="AD56" i="4"/>
  <c r="AE56" i="4"/>
  <c r="L56" i="4"/>
  <c r="L73" i="4"/>
  <c r="U83" i="4"/>
  <c r="V83" i="4"/>
  <c r="W83" i="4"/>
  <c r="L83" i="4"/>
  <c r="U41" i="4"/>
  <c r="V41" i="4"/>
  <c r="W41" i="4"/>
  <c r="L41" i="4"/>
  <c r="L31" i="4"/>
  <c r="U97" i="4"/>
  <c r="V97" i="4"/>
  <c r="W97" i="4"/>
  <c r="L97" i="4"/>
  <c r="R14" i="4"/>
  <c r="S14" i="4"/>
  <c r="T14" i="4"/>
  <c r="L14" i="4"/>
  <c r="R94" i="4"/>
  <c r="S94" i="4"/>
  <c r="T94" i="4"/>
  <c r="L94" i="4"/>
  <c r="L12" i="4"/>
  <c r="L53" i="4"/>
  <c r="N36" i="4"/>
  <c r="O36" i="4"/>
  <c r="Q36" i="4"/>
  <c r="L36" i="4"/>
  <c r="R33" i="4"/>
  <c r="S33" i="4"/>
  <c r="T33" i="4"/>
  <c r="L33" i="4"/>
  <c r="L25" i="4"/>
  <c r="L109" i="4"/>
  <c r="L62" i="4"/>
  <c r="AD88" i="4"/>
  <c r="AE88" i="4"/>
  <c r="L88" i="4"/>
  <c r="U11" i="4"/>
  <c r="V11" i="4"/>
  <c r="W11" i="4"/>
  <c r="L11" i="4"/>
  <c r="N79" i="4"/>
  <c r="O79" i="4"/>
  <c r="Q79" i="4"/>
  <c r="L79" i="4"/>
  <c r="L59" i="4"/>
  <c r="L46" i="4"/>
  <c r="X40" i="4"/>
  <c r="Y40" i="4"/>
  <c r="L40" i="4"/>
  <c r="AD71" i="4"/>
  <c r="AE71" i="4"/>
  <c r="L71" i="4"/>
  <c r="U17" i="4"/>
  <c r="V17" i="4"/>
  <c r="W17" i="4"/>
  <c r="L17" i="4"/>
  <c r="L78" i="4"/>
  <c r="AD29" i="4"/>
  <c r="AE29" i="4"/>
  <c r="L29" i="4"/>
  <c r="R67" i="4"/>
  <c r="S67" i="4"/>
  <c r="T67" i="4"/>
  <c r="L67" i="4"/>
  <c r="L90" i="4"/>
  <c r="U19" i="4"/>
  <c r="V19" i="4"/>
  <c r="W19" i="4"/>
  <c r="L19" i="4"/>
  <c r="R54" i="4"/>
  <c r="S54" i="4"/>
  <c r="T54" i="4"/>
  <c r="L54" i="4"/>
  <c r="R77" i="4"/>
  <c r="S77" i="4"/>
  <c r="T77" i="4"/>
  <c r="L77" i="4"/>
  <c r="U58" i="4"/>
  <c r="V58" i="4"/>
  <c r="W58" i="4"/>
  <c r="L58" i="4"/>
  <c r="AD28" i="4"/>
  <c r="AE28" i="4"/>
  <c r="L28" i="4"/>
  <c r="AD10" i="4"/>
  <c r="AE10" i="4"/>
  <c r="L10" i="4"/>
  <c r="X74" i="4"/>
  <c r="Y74" i="4"/>
  <c r="L74" i="4"/>
  <c r="L27" i="4"/>
  <c r="L99" i="4"/>
  <c r="N16" i="4"/>
  <c r="O16" i="4"/>
  <c r="Q16" i="4"/>
  <c r="L16" i="4"/>
  <c r="AD51" i="4"/>
  <c r="AE51" i="4"/>
  <c r="L51" i="4"/>
  <c r="L60" i="4"/>
  <c r="AD101" i="4"/>
  <c r="AE101" i="4"/>
  <c r="L101" i="4"/>
  <c r="R13" i="4"/>
  <c r="S13" i="4"/>
  <c r="T13" i="4"/>
  <c r="L13" i="4"/>
  <c r="N61" i="4"/>
  <c r="O61" i="4"/>
  <c r="Q61" i="4"/>
  <c r="L61" i="4"/>
  <c r="L50" i="4"/>
  <c r="L18" i="4"/>
  <c r="AD42" i="4"/>
  <c r="AE42" i="4"/>
  <c r="L42" i="4"/>
  <c r="X45" i="4"/>
  <c r="Y45" i="4"/>
  <c r="L45" i="4"/>
  <c r="U106" i="4"/>
  <c r="V106" i="4"/>
  <c r="W106" i="4"/>
  <c r="L106" i="4"/>
  <c r="L44" i="4"/>
  <c r="N105" i="4"/>
  <c r="O105" i="4"/>
  <c r="Q105" i="4"/>
  <c r="L105" i="4"/>
  <c r="R98" i="4"/>
  <c r="S98" i="4"/>
  <c r="T98" i="4"/>
  <c r="L98" i="4"/>
  <c r="AD15" i="4"/>
  <c r="AE15" i="4"/>
  <c r="L15" i="4"/>
  <c r="N86" i="4"/>
  <c r="O86" i="4"/>
  <c r="Q86" i="4"/>
  <c r="L86" i="4"/>
  <c r="AD89" i="4"/>
  <c r="AE89" i="4"/>
  <c r="L89" i="4"/>
  <c r="AD81" i="4"/>
  <c r="AE81" i="4"/>
  <c r="L81" i="4"/>
  <c r="L63" i="4"/>
  <c r="AD52" i="4"/>
  <c r="AE52" i="4"/>
  <c r="L52" i="4"/>
  <c r="AD92" i="4"/>
  <c r="AE92" i="4"/>
  <c r="L92" i="4"/>
  <c r="X68" i="4"/>
  <c r="Y68" i="4"/>
  <c r="L68" i="4"/>
  <c r="U72" i="4"/>
  <c r="V72" i="4"/>
  <c r="W72" i="4"/>
  <c r="L72" i="4"/>
  <c r="U107" i="4"/>
  <c r="V107" i="4"/>
  <c r="W107" i="4"/>
  <c r="L107" i="4"/>
  <c r="AD108" i="4"/>
  <c r="AE108" i="4"/>
  <c r="L108" i="4"/>
  <c r="AD95" i="4"/>
  <c r="AE95" i="4"/>
  <c r="L95" i="4"/>
  <c r="X38" i="4"/>
  <c r="Y38" i="4"/>
  <c r="L38" i="4"/>
  <c r="AD22" i="4"/>
  <c r="AE22" i="4"/>
  <c r="L22" i="4"/>
  <c r="X34" i="4"/>
  <c r="Y34" i="4"/>
  <c r="L34" i="4"/>
  <c r="U103" i="4"/>
  <c r="V103" i="4"/>
  <c r="W103" i="4"/>
  <c r="L103" i="4"/>
  <c r="X69" i="4"/>
  <c r="Y69" i="4"/>
  <c r="L69" i="4"/>
  <c r="U57" i="4"/>
  <c r="V57" i="4"/>
  <c r="W57" i="4"/>
  <c r="L57" i="4"/>
  <c r="R39" i="4"/>
  <c r="S39" i="4"/>
  <c r="T39" i="4"/>
  <c r="L39" i="4"/>
  <c r="AD21" i="4"/>
  <c r="AE21" i="4"/>
  <c r="L21" i="4"/>
  <c r="U93" i="4"/>
  <c r="V93" i="4"/>
  <c r="W93" i="4"/>
  <c r="L93" i="4"/>
  <c r="L76" i="4"/>
  <c r="AD87" i="4"/>
  <c r="AE87" i="4"/>
  <c r="L87" i="4"/>
  <c r="U96" i="4"/>
  <c r="V96" i="4"/>
  <c r="W96" i="4"/>
  <c r="L96" i="4"/>
  <c r="X91" i="4"/>
  <c r="Y91" i="4"/>
  <c r="L91" i="4"/>
  <c r="X55" i="4"/>
  <c r="Y55" i="4"/>
  <c r="L55" i="4"/>
  <c r="R75" i="4"/>
  <c r="S75" i="4"/>
  <c r="T75" i="4"/>
  <c r="L75" i="4"/>
  <c r="U20" i="4"/>
  <c r="V20" i="4"/>
  <c r="W20" i="4"/>
  <c r="L20" i="4"/>
  <c r="X37" i="4"/>
  <c r="Y37" i="4"/>
  <c r="L37" i="4"/>
  <c r="L30" i="4"/>
  <c r="N27" i="4"/>
  <c r="O27" i="4"/>
  <c r="Q27" i="4"/>
  <c r="R27" i="4"/>
  <c r="S27" i="4"/>
  <c r="T27" i="4"/>
  <c r="AD27" i="4"/>
  <c r="AE27" i="4"/>
  <c r="AD99" i="4"/>
  <c r="AE99" i="4"/>
  <c r="U99" i="4"/>
  <c r="V99" i="4"/>
  <c r="W99" i="4"/>
  <c r="AD55" i="4"/>
  <c r="AE55" i="4"/>
  <c r="U27" i="4"/>
  <c r="V27" i="4"/>
  <c r="W27" i="4"/>
  <c r="AD16" i="4"/>
  <c r="AE16" i="4"/>
  <c r="N99" i="4"/>
  <c r="O99" i="4"/>
  <c r="Q99" i="4"/>
  <c r="X16" i="4"/>
  <c r="Y16" i="4"/>
  <c r="U16" i="4"/>
  <c r="V16" i="4"/>
  <c r="W16" i="4"/>
  <c r="R99" i="4"/>
  <c r="S99" i="4"/>
  <c r="T99" i="4"/>
  <c r="R16" i="4"/>
  <c r="S16" i="4"/>
  <c r="T16" i="4"/>
  <c r="X27" i="4"/>
  <c r="Y27" i="4"/>
  <c r="X99" i="4"/>
  <c r="Y99" i="4"/>
  <c r="N107" i="4"/>
  <c r="O107" i="4"/>
  <c r="Q107" i="4"/>
  <c r="AD107" i="4"/>
  <c r="AE107" i="4"/>
  <c r="X30" i="4"/>
  <c r="Y30" i="4"/>
  <c r="AD37" i="4"/>
  <c r="AE37" i="4"/>
  <c r="X72" i="4"/>
  <c r="Y72" i="4"/>
  <c r="R55" i="4"/>
  <c r="S55" i="4"/>
  <c r="T55" i="4"/>
  <c r="U30" i="4"/>
  <c r="V30" i="4"/>
  <c r="W30" i="4"/>
  <c r="R72" i="4"/>
  <c r="S72" i="4"/>
  <c r="T72" i="4"/>
  <c r="N75" i="4"/>
  <c r="O75" i="4"/>
  <c r="Q75" i="4"/>
  <c r="AD30" i="4"/>
  <c r="AE30" i="4"/>
  <c r="N72" i="4"/>
  <c r="O72" i="4"/>
  <c r="Q72" i="4"/>
  <c r="N37" i="4"/>
  <c r="O37" i="4"/>
  <c r="Q37" i="4"/>
  <c r="X33" i="4"/>
  <c r="Y33" i="4"/>
  <c r="N30" i="4"/>
  <c r="O30" i="4"/>
  <c r="Q30" i="4"/>
  <c r="X107" i="4"/>
  <c r="Y107" i="4"/>
  <c r="N55" i="4"/>
  <c r="O55" i="4"/>
  <c r="Q55" i="4"/>
  <c r="U55" i="4"/>
  <c r="V55" i="4"/>
  <c r="W55" i="4"/>
  <c r="U75" i="4"/>
  <c r="V75" i="4"/>
  <c r="W75" i="4"/>
  <c r="U37" i="4"/>
  <c r="V37" i="4"/>
  <c r="W37" i="4"/>
  <c r="R37" i="4"/>
  <c r="S37" i="4"/>
  <c r="T37" i="4"/>
  <c r="AD72" i="4"/>
  <c r="AE72" i="4"/>
  <c r="AD33" i="4"/>
  <c r="AE33" i="4"/>
  <c r="U33" i="4"/>
  <c r="V33" i="4"/>
  <c r="W33" i="4"/>
  <c r="R107" i="4"/>
  <c r="S107" i="4"/>
  <c r="T107" i="4"/>
  <c r="N33" i="4"/>
  <c r="O33" i="4"/>
  <c r="Q33" i="4"/>
  <c r="R30" i="4"/>
  <c r="S30" i="4"/>
  <c r="T30" i="4"/>
  <c r="AD75" i="4"/>
  <c r="AE75" i="4"/>
  <c r="X75" i="4"/>
  <c r="Y75" i="4"/>
  <c r="B259" i="2"/>
  <c r="B129" i="2"/>
  <c r="E64" i="1"/>
  <c r="E27" i="1"/>
  <c r="X10" i="4"/>
  <c r="Y10" i="4"/>
  <c r="N10" i="4"/>
  <c r="O10" i="4"/>
  <c r="Q10" i="4"/>
  <c r="U10" i="4"/>
  <c r="V10" i="4"/>
  <c r="W10" i="4"/>
  <c r="R10" i="4"/>
  <c r="S10" i="4"/>
  <c r="T10" i="4"/>
  <c r="E26" i="1"/>
  <c r="D48" i="16"/>
  <c r="B74" i="2"/>
  <c r="E35" i="1"/>
  <c r="B50" i="2"/>
  <c r="R45" i="4"/>
  <c r="S45" i="4"/>
  <c r="T45" i="4"/>
  <c r="AD45" i="4"/>
  <c r="E49" i="1"/>
  <c r="C45" i="16"/>
  <c r="D45" i="16"/>
  <c r="B133" i="2"/>
  <c r="B134" i="2"/>
  <c r="U45" i="4"/>
  <c r="V45" i="4"/>
  <c r="W45" i="4"/>
  <c r="N45" i="4"/>
  <c r="O45" i="4"/>
  <c r="Q45" i="4"/>
  <c r="R104" i="4"/>
  <c r="S104" i="4"/>
  <c r="T104" i="4"/>
  <c r="R58" i="4"/>
  <c r="S58" i="4"/>
  <c r="T58" i="4"/>
  <c r="AD104" i="4"/>
  <c r="N58" i="4"/>
  <c r="O58" i="4"/>
  <c r="Q58" i="4"/>
  <c r="N31" i="4"/>
  <c r="O31" i="4"/>
  <c r="Q31" i="4"/>
  <c r="X104" i="4"/>
  <c r="Y104" i="4"/>
  <c r="U104" i="4"/>
  <c r="V104" i="4"/>
  <c r="W104" i="4"/>
  <c r="N104" i="4"/>
  <c r="O104" i="4"/>
  <c r="Q104" i="4"/>
  <c r="X58" i="4"/>
  <c r="Y58" i="4"/>
  <c r="AD58" i="4"/>
  <c r="U36" i="4"/>
  <c r="V36" i="4"/>
  <c r="W36" i="4"/>
  <c r="X36" i="4"/>
  <c r="Y36" i="4"/>
  <c r="R36" i="4"/>
  <c r="S36" i="4"/>
  <c r="T36" i="4"/>
  <c r="X54" i="4"/>
  <c r="Y54" i="4"/>
  <c r="N12" i="4"/>
  <c r="O12" i="4"/>
  <c r="Q12" i="4"/>
  <c r="AD36" i="4"/>
  <c r="N77" i="4"/>
  <c r="O77" i="4"/>
  <c r="Q77" i="4"/>
  <c r="AD77" i="4"/>
  <c r="X77" i="4"/>
  <c r="Y77" i="4"/>
  <c r="U77" i="4"/>
  <c r="V77" i="4"/>
  <c r="W77" i="4"/>
  <c r="U53" i="4"/>
  <c r="V53" i="4"/>
  <c r="W53" i="4"/>
  <c r="AD64" i="4"/>
  <c r="X64" i="4"/>
  <c r="Y64" i="4"/>
  <c r="R64" i="4"/>
  <c r="S64" i="4"/>
  <c r="T64" i="4"/>
  <c r="U64" i="4"/>
  <c r="V64" i="4"/>
  <c r="W64" i="4"/>
  <c r="U54" i="4"/>
  <c r="V54" i="4"/>
  <c r="W54" i="4"/>
  <c r="U59" i="4"/>
  <c r="V59" i="4"/>
  <c r="W59" i="4"/>
  <c r="U68" i="4"/>
  <c r="V68" i="4"/>
  <c r="W68" i="4"/>
  <c r="N52" i="4"/>
  <c r="O52" i="4"/>
  <c r="Q52" i="4"/>
  <c r="R68" i="4"/>
  <c r="S68" i="4"/>
  <c r="T68" i="4"/>
  <c r="AD12" i="4"/>
  <c r="N24" i="4"/>
  <c r="O24" i="4"/>
  <c r="Q24" i="4"/>
  <c r="U87" i="4"/>
  <c r="V87" i="4"/>
  <c r="W87" i="4"/>
  <c r="R32" i="4"/>
  <c r="S32" i="4"/>
  <c r="T32" i="4"/>
  <c r="X32" i="4"/>
  <c r="Y32" i="4"/>
  <c r="N53" i="4"/>
  <c r="O53" i="4"/>
  <c r="Q53" i="4"/>
  <c r="AD94" i="4"/>
  <c r="AD14" i="4"/>
  <c r="N87" i="4"/>
  <c r="O87" i="4"/>
  <c r="Q87" i="4"/>
  <c r="R69" i="4"/>
  <c r="S69" i="4"/>
  <c r="T69" i="4"/>
  <c r="U32" i="4"/>
  <c r="V32" i="4"/>
  <c r="W32" i="4"/>
  <c r="R50" i="4"/>
  <c r="S50" i="4"/>
  <c r="T50" i="4"/>
  <c r="X57" i="4"/>
  <c r="Y57" i="4"/>
  <c r="X53" i="4"/>
  <c r="Y53" i="4"/>
  <c r="N39" i="4"/>
  <c r="O39" i="4"/>
  <c r="Q39" i="4"/>
  <c r="U14" i="4"/>
  <c r="V14" i="4"/>
  <c r="W14" i="4"/>
  <c r="X14" i="4"/>
  <c r="Y14" i="4"/>
  <c r="U39" i="4"/>
  <c r="V39" i="4"/>
  <c r="W39" i="4"/>
  <c r="X39" i="4"/>
  <c r="Y39" i="4"/>
  <c r="R70" i="4"/>
  <c r="S70" i="4"/>
  <c r="T70" i="4"/>
  <c r="AD82" i="4"/>
  <c r="X82" i="4"/>
  <c r="Y82" i="4"/>
  <c r="R82" i="4"/>
  <c r="S82" i="4"/>
  <c r="T82" i="4"/>
  <c r="AD54" i="4"/>
  <c r="N64" i="4"/>
  <c r="O64" i="4"/>
  <c r="Q64" i="4"/>
  <c r="U13" i="4"/>
  <c r="V13" i="4"/>
  <c r="W13" i="4"/>
  <c r="N46" i="4"/>
  <c r="O46" i="4"/>
  <c r="Q46" i="4"/>
  <c r="AD68" i="4"/>
  <c r="R42" i="4"/>
  <c r="S42" i="4"/>
  <c r="T42" i="4"/>
  <c r="U35" i="4"/>
  <c r="V35" i="4"/>
  <c r="W35" i="4"/>
  <c r="N68" i="4"/>
  <c r="O68" i="4"/>
  <c r="Q68" i="4"/>
  <c r="N54" i="4"/>
  <c r="O54" i="4"/>
  <c r="Q54" i="4"/>
  <c r="X87" i="4"/>
  <c r="Y87" i="4"/>
  <c r="R87" i="4"/>
  <c r="S87" i="4"/>
  <c r="T87" i="4"/>
  <c r="U69" i="4"/>
  <c r="V69" i="4"/>
  <c r="W69" i="4"/>
  <c r="N69" i="4"/>
  <c r="O69" i="4"/>
  <c r="Q69" i="4"/>
  <c r="N32" i="4"/>
  <c r="O32" i="4"/>
  <c r="Q32" i="4"/>
  <c r="N84" i="4"/>
  <c r="O84" i="4"/>
  <c r="Q84" i="4"/>
  <c r="X94" i="4"/>
  <c r="Y94" i="4"/>
  <c r="U94" i="4"/>
  <c r="V94" i="4"/>
  <c r="W94" i="4"/>
  <c r="AD53" i="4"/>
  <c r="N57" i="4"/>
  <c r="O57" i="4"/>
  <c r="Q57" i="4"/>
  <c r="R57" i="4"/>
  <c r="S57" i="4"/>
  <c r="T57" i="4"/>
  <c r="AD57" i="4"/>
  <c r="N94" i="4"/>
  <c r="O94" i="4"/>
  <c r="Q94" i="4"/>
  <c r="AD39" i="4"/>
  <c r="AD69" i="4"/>
  <c r="N14" i="4"/>
  <c r="O14" i="4"/>
  <c r="Q14" i="4"/>
  <c r="AD61" i="4"/>
  <c r="R53" i="4"/>
  <c r="S53" i="4"/>
  <c r="T53" i="4"/>
  <c r="X61" i="4"/>
  <c r="Y61" i="4"/>
  <c r="R9" i="4"/>
  <c r="S9" i="4"/>
  <c r="T9" i="4"/>
  <c r="X9" i="4"/>
  <c r="Y9" i="4"/>
  <c r="R19" i="4"/>
  <c r="S19" i="4"/>
  <c r="T19" i="4"/>
  <c r="X49" i="4"/>
  <c r="Y49" i="4"/>
  <c r="AD19" i="4"/>
  <c r="U49" i="4"/>
  <c r="V49" i="4"/>
  <c r="W49" i="4"/>
  <c r="R86" i="4"/>
  <c r="S86" i="4"/>
  <c r="T86" i="4"/>
  <c r="AD102" i="4"/>
  <c r="AD24" i="4"/>
  <c r="AD86" i="4"/>
  <c r="R24" i="4"/>
  <c r="S24" i="4"/>
  <c r="T24" i="4"/>
  <c r="AD35" i="4"/>
  <c r="N35" i="4"/>
  <c r="O35" i="4"/>
  <c r="Q35" i="4"/>
  <c r="N102" i="4"/>
  <c r="O102" i="4"/>
  <c r="Q102" i="4"/>
  <c r="X42" i="4"/>
  <c r="Y42" i="4"/>
  <c r="R35" i="4"/>
  <c r="S35" i="4"/>
  <c r="T35" i="4"/>
  <c r="X18" i="4"/>
  <c r="Y18" i="4"/>
  <c r="U52" i="4"/>
  <c r="V52" i="4"/>
  <c r="W52" i="4"/>
  <c r="U9" i="4"/>
  <c r="V9" i="4"/>
  <c r="W9" i="4"/>
  <c r="AD9" i="4"/>
  <c r="R34" i="4"/>
  <c r="S34" i="4"/>
  <c r="T34" i="4"/>
  <c r="R49" i="4"/>
  <c r="S49" i="4"/>
  <c r="T49" i="4"/>
  <c r="AD49" i="4"/>
  <c r="X19" i="4"/>
  <c r="Y19" i="4"/>
  <c r="U102" i="4"/>
  <c r="V102" i="4"/>
  <c r="W102" i="4"/>
  <c r="U24" i="4"/>
  <c r="V24" i="4"/>
  <c r="W24" i="4"/>
  <c r="X102" i="4"/>
  <c r="Y102" i="4"/>
  <c r="N42" i="4"/>
  <c r="O42" i="4"/>
  <c r="Q42" i="4"/>
  <c r="U18" i="4"/>
  <c r="V18" i="4"/>
  <c r="W18" i="4"/>
  <c r="N19" i="4"/>
  <c r="O19" i="4"/>
  <c r="Q19" i="4"/>
  <c r="U42" i="4"/>
  <c r="V42" i="4"/>
  <c r="W42" i="4"/>
  <c r="N18" i="4"/>
  <c r="O18" i="4"/>
  <c r="Q18" i="4"/>
  <c r="X52" i="4"/>
  <c r="Y52" i="4"/>
  <c r="R52" i="4"/>
  <c r="S52" i="4"/>
  <c r="T52" i="4"/>
  <c r="AD76" i="4"/>
  <c r="AD73" i="4"/>
  <c r="B682" i="3"/>
  <c r="AD105" i="4"/>
  <c r="U67" i="4"/>
  <c r="V67" i="4"/>
  <c r="W67" i="4"/>
  <c r="R18" i="4"/>
  <c r="S18" i="4"/>
  <c r="T18" i="4"/>
  <c r="AD67" i="4"/>
  <c r="AD18" i="4"/>
  <c r="X60" i="4"/>
  <c r="Y60" i="4"/>
  <c r="X70" i="4"/>
  <c r="Y70" i="4"/>
  <c r="R12" i="4"/>
  <c r="S12" i="4"/>
  <c r="T12" i="4"/>
  <c r="AD63" i="4"/>
  <c r="U76" i="4"/>
  <c r="V76" i="4"/>
  <c r="W76" i="4"/>
  <c r="X67" i="4"/>
  <c r="Y67" i="4"/>
  <c r="X90" i="4"/>
  <c r="Y90" i="4"/>
  <c r="R90" i="4"/>
  <c r="S90" i="4"/>
  <c r="T90" i="4"/>
  <c r="AD90" i="4"/>
  <c r="N67" i="4"/>
  <c r="O67" i="4"/>
  <c r="Q67" i="4"/>
  <c r="N90" i="4"/>
  <c r="O90" i="4"/>
  <c r="Q90" i="4"/>
  <c r="U90" i="4"/>
  <c r="V90" i="4"/>
  <c r="W90" i="4"/>
  <c r="N63" i="4"/>
  <c r="O63" i="4"/>
  <c r="Q63" i="4"/>
  <c r="X63" i="4"/>
  <c r="Y63" i="4"/>
  <c r="X12" i="4"/>
  <c r="Y12" i="4"/>
  <c r="U12" i="4"/>
  <c r="V12" i="4"/>
  <c r="W12" i="4"/>
  <c r="X76" i="4"/>
  <c r="Y76" i="4"/>
  <c r="R63" i="4"/>
  <c r="S63" i="4"/>
  <c r="T63" i="4"/>
  <c r="N76" i="4"/>
  <c r="O76" i="4"/>
  <c r="Q76" i="4"/>
  <c r="R76" i="4"/>
  <c r="S76" i="4"/>
  <c r="T76" i="4"/>
  <c r="U63" i="4"/>
  <c r="V63" i="4"/>
  <c r="W63" i="4"/>
  <c r="B70" i="2"/>
  <c r="E31" i="1"/>
  <c r="E20" i="1"/>
  <c r="X97" i="4"/>
  <c r="Y97" i="4"/>
  <c r="N95" i="4"/>
  <c r="O95" i="4"/>
  <c r="Q95" i="4"/>
  <c r="U73" i="4"/>
  <c r="V73" i="4"/>
  <c r="W73" i="4"/>
  <c r="U84" i="4"/>
  <c r="V84" i="4"/>
  <c r="W84" i="4"/>
  <c r="U50" i="4"/>
  <c r="V50" i="4"/>
  <c r="W50" i="4"/>
  <c r="R78" i="4"/>
  <c r="S78" i="4"/>
  <c r="T78" i="4"/>
  <c r="R61" i="4"/>
  <c r="S61" i="4"/>
  <c r="T61" i="4"/>
  <c r="U34" i="4"/>
  <c r="V34" i="4"/>
  <c r="W34" i="4"/>
  <c r="AD34" i="4"/>
  <c r="N34" i="4"/>
  <c r="O34" i="4"/>
  <c r="Q34" i="4"/>
  <c r="C682" i="3"/>
  <c r="X84" i="4"/>
  <c r="Y84" i="4"/>
  <c r="AD84" i="4"/>
  <c r="X50" i="4"/>
  <c r="Y50" i="4"/>
  <c r="N50" i="4"/>
  <c r="O50" i="4"/>
  <c r="Q50" i="4"/>
  <c r="AD78" i="4"/>
  <c r="X78" i="4"/>
  <c r="Y78" i="4"/>
  <c r="U78" i="4"/>
  <c r="V78" i="4"/>
  <c r="W78" i="4"/>
  <c r="R105" i="4"/>
  <c r="S105" i="4"/>
  <c r="T105" i="4"/>
  <c r="R73" i="4"/>
  <c r="S73" i="4"/>
  <c r="T73" i="4"/>
  <c r="N78" i="4"/>
  <c r="O78" i="4"/>
  <c r="Q78" i="4"/>
  <c r="U61" i="4"/>
  <c r="V61" i="4"/>
  <c r="W61" i="4"/>
  <c r="AD50" i="4"/>
  <c r="AD70" i="4"/>
  <c r="U70" i="4"/>
  <c r="V70" i="4"/>
  <c r="W70" i="4"/>
  <c r="B73" i="1"/>
  <c r="U46" i="4"/>
  <c r="V46" i="4"/>
  <c r="W46" i="4"/>
  <c r="AD46" i="4"/>
  <c r="AD41" i="4"/>
  <c r="AD98" i="4"/>
  <c r="R108" i="4"/>
  <c r="S108" i="4"/>
  <c r="T108" i="4"/>
  <c r="AD59" i="4"/>
  <c r="U98" i="4"/>
  <c r="V98" i="4"/>
  <c r="W98" i="4"/>
  <c r="N82" i="4"/>
  <c r="O82" i="4"/>
  <c r="Q82" i="4"/>
  <c r="N38" i="4"/>
  <c r="O38" i="4"/>
  <c r="Q38" i="4"/>
  <c r="U38" i="4"/>
  <c r="V38" i="4"/>
  <c r="W38" i="4"/>
  <c r="R38" i="4"/>
  <c r="S38" i="4"/>
  <c r="T38" i="4"/>
  <c r="N13" i="4"/>
  <c r="O13" i="4"/>
  <c r="Q13" i="4"/>
  <c r="R46" i="4"/>
  <c r="S46" i="4"/>
  <c r="T46" i="4"/>
  <c r="U86" i="4"/>
  <c r="V86" i="4"/>
  <c r="W86" i="4"/>
  <c r="R59" i="4"/>
  <c r="S59" i="4"/>
  <c r="T59" i="4"/>
  <c r="N59" i="4"/>
  <c r="O59" i="4"/>
  <c r="Q59" i="4"/>
  <c r="X59" i="4"/>
  <c r="Y59" i="4"/>
  <c r="U31" i="4"/>
  <c r="V31" i="4"/>
  <c r="W31" i="4"/>
  <c r="X86" i="4"/>
  <c r="Y86" i="4"/>
  <c r="AD38" i="4"/>
  <c r="R97" i="4"/>
  <c r="S97" i="4"/>
  <c r="T97" i="4"/>
  <c r="X46" i="4"/>
  <c r="Y46" i="4"/>
  <c r="X98" i="4"/>
  <c r="Y98" i="4"/>
  <c r="N98" i="4"/>
  <c r="O98" i="4"/>
  <c r="Q98" i="4"/>
  <c r="N41" i="4"/>
  <c r="O41" i="4"/>
  <c r="Q41" i="4"/>
  <c r="AD97" i="4"/>
  <c r="N97" i="4"/>
  <c r="O97" i="4"/>
  <c r="Q97" i="4"/>
  <c r="E61" i="1"/>
  <c r="N60" i="4"/>
  <c r="O60" i="4"/>
  <c r="Q60" i="4"/>
  <c r="B135" i="2"/>
  <c r="B136" i="2"/>
  <c r="N73" i="4"/>
  <c r="O73" i="4"/>
  <c r="Q73" i="4"/>
  <c r="U95" i="4"/>
  <c r="V95" i="4"/>
  <c r="W95" i="4"/>
  <c r="AD13" i="4"/>
  <c r="R31" i="4"/>
  <c r="S31" i="4"/>
  <c r="T31" i="4"/>
  <c r="X13" i="4"/>
  <c r="Y13" i="4"/>
  <c r="AD31" i="4"/>
  <c r="U105" i="4"/>
  <c r="V105" i="4"/>
  <c r="W105" i="4"/>
  <c r="X31" i="4"/>
  <c r="Y31" i="4"/>
  <c r="X41" i="4"/>
  <c r="Y41" i="4"/>
  <c r="R41" i="4"/>
  <c r="S41" i="4"/>
  <c r="T41" i="4"/>
  <c r="AD60" i="4"/>
  <c r="AD43" i="4"/>
  <c r="R95" i="4"/>
  <c r="S95" i="4"/>
  <c r="T95" i="4"/>
  <c r="X95" i="4"/>
  <c r="Y95" i="4"/>
  <c r="X11" i="4"/>
  <c r="Y11" i="4"/>
  <c r="X105" i="4"/>
  <c r="Y105" i="4"/>
  <c r="X73" i="4"/>
  <c r="Y73" i="4"/>
  <c r="R60" i="4"/>
  <c r="S60" i="4"/>
  <c r="T60" i="4"/>
  <c r="U60" i="4"/>
  <c r="V60" i="4"/>
  <c r="W60" i="4"/>
  <c r="R8" i="8"/>
  <c r="S8" i="8"/>
  <c r="S27" i="8"/>
  <c r="C73" i="1"/>
  <c r="D73" i="1"/>
  <c r="B82" i="2"/>
  <c r="E42" i="1"/>
  <c r="R62" i="4"/>
  <c r="S62" i="4"/>
  <c r="T62" i="4"/>
  <c r="AD62" i="4"/>
  <c r="R66" i="4"/>
  <c r="S66" i="4"/>
  <c r="T66" i="4"/>
  <c r="U66" i="4"/>
  <c r="V66" i="4"/>
  <c r="W66" i="4"/>
  <c r="B158" i="2"/>
  <c r="R109" i="4"/>
  <c r="S109" i="4"/>
  <c r="T109" i="4"/>
  <c r="X79" i="4"/>
  <c r="Y79" i="4"/>
  <c r="AD79" i="4"/>
  <c r="N11" i="4"/>
  <c r="O11" i="4"/>
  <c r="Q11" i="4"/>
  <c r="AD11" i="4"/>
  <c r="R11" i="4"/>
  <c r="S11" i="4"/>
  <c r="T11" i="4"/>
  <c r="B160" i="2"/>
  <c r="AD66" i="4"/>
  <c r="N62" i="4"/>
  <c r="O62" i="4"/>
  <c r="Q62" i="4"/>
  <c r="U62" i="4"/>
  <c r="V62" i="4"/>
  <c r="W62" i="4"/>
  <c r="X66" i="4"/>
  <c r="Y66" i="4"/>
  <c r="N66" i="4"/>
  <c r="O66" i="4"/>
  <c r="Q66" i="4"/>
  <c r="X109" i="4"/>
  <c r="Y109" i="4"/>
  <c r="AD109" i="4"/>
  <c r="X62" i="4"/>
  <c r="Y62" i="4"/>
  <c r="U79" i="4"/>
  <c r="V79" i="4"/>
  <c r="W79" i="4"/>
  <c r="R79" i="4"/>
  <c r="S79" i="4"/>
  <c r="T79" i="4"/>
  <c r="U108" i="4"/>
  <c r="V108" i="4"/>
  <c r="W108" i="4"/>
  <c r="R44" i="4"/>
  <c r="S44" i="4"/>
  <c r="T44" i="4"/>
  <c r="N108" i="4"/>
  <c r="O108" i="4"/>
  <c r="Q108" i="4"/>
  <c r="R106" i="4"/>
  <c r="S106" i="4"/>
  <c r="T106" i="4"/>
  <c r="X108" i="4"/>
  <c r="Y108" i="4"/>
  <c r="U43" i="4"/>
  <c r="V43" i="4"/>
  <c r="W43" i="4"/>
  <c r="N44" i="4"/>
  <c r="O44" i="4"/>
  <c r="Q44" i="4"/>
  <c r="AD44" i="4"/>
  <c r="X44" i="4"/>
  <c r="Y44" i="4"/>
  <c r="N106" i="4"/>
  <c r="O106" i="4"/>
  <c r="Q106" i="4"/>
  <c r="AD106" i="4"/>
  <c r="X106" i="4"/>
  <c r="Y106" i="4"/>
  <c r="U25" i="4"/>
  <c r="V25" i="4"/>
  <c r="W25" i="4"/>
  <c r="AD25" i="4"/>
  <c r="U44" i="4"/>
  <c r="V44" i="4"/>
  <c r="W44" i="4"/>
  <c r="X43" i="4"/>
  <c r="Y43" i="4"/>
  <c r="N43" i="4"/>
  <c r="O43" i="4"/>
  <c r="Q43" i="4"/>
  <c r="U109" i="4"/>
  <c r="V109" i="4"/>
  <c r="W109" i="4"/>
  <c r="B75" i="4"/>
  <c r="B76" i="4"/>
  <c r="B68" i="4"/>
  <c r="B69" i="4"/>
  <c r="N109" i="4"/>
  <c r="O109" i="4"/>
  <c r="Q109" i="4"/>
  <c r="AQ682" i="3"/>
  <c r="B79" i="2"/>
  <c r="E45" i="1"/>
  <c r="N25" i="4"/>
  <c r="O25" i="4"/>
  <c r="Q25" i="4"/>
  <c r="G36" i="3"/>
  <c r="H36" i="3"/>
  <c r="BN36" i="3"/>
  <c r="B15" i="6"/>
  <c r="G11" i="3"/>
  <c r="H11" i="3"/>
  <c r="BN11" i="3"/>
  <c r="F18" i="3"/>
  <c r="F25" i="3"/>
  <c r="BM25" i="3"/>
  <c r="B72" i="2"/>
  <c r="E33" i="1"/>
  <c r="B84" i="2"/>
  <c r="E44" i="1"/>
  <c r="F38" i="3"/>
  <c r="BM38" i="3"/>
  <c r="F24" i="3"/>
  <c r="BM24" i="3"/>
  <c r="G31" i="3"/>
  <c r="H31" i="3"/>
  <c r="BN31" i="3"/>
  <c r="G24" i="3"/>
  <c r="H24" i="3"/>
  <c r="BN24" i="3"/>
  <c r="G27" i="3"/>
  <c r="H27" i="3"/>
  <c r="BN27" i="3"/>
  <c r="X25" i="4"/>
  <c r="Y25" i="4"/>
  <c r="R25" i="4"/>
  <c r="S25" i="4"/>
  <c r="T25" i="4"/>
  <c r="G12" i="3"/>
  <c r="H12" i="3"/>
  <c r="BN12" i="3"/>
  <c r="G26" i="3"/>
  <c r="H26" i="3"/>
  <c r="BN26" i="3"/>
  <c r="F37" i="3"/>
  <c r="BM37" i="3"/>
  <c r="F35" i="3"/>
  <c r="BM35" i="3"/>
  <c r="B3" i="6"/>
  <c r="B69" i="2"/>
  <c r="E36" i="1"/>
  <c r="F32" i="3"/>
  <c r="BM32" i="3"/>
  <c r="E19" i="1"/>
  <c r="G16" i="3"/>
  <c r="H16" i="3"/>
  <c r="BN16" i="3"/>
  <c r="B16" i="6"/>
  <c r="G156" i="2"/>
  <c r="AR682" i="3"/>
  <c r="G683" i="3"/>
  <c r="H683" i="3"/>
  <c r="AR683" i="3"/>
  <c r="AQ683" i="3"/>
  <c r="B683" i="3"/>
  <c r="D683" i="3"/>
  <c r="C683" i="3"/>
  <c r="F683" i="3"/>
  <c r="F15" i="3"/>
  <c r="BM15" i="3"/>
  <c r="G14" i="3"/>
  <c r="H14" i="3"/>
  <c r="F11" i="3"/>
  <c r="BM11" i="3"/>
  <c r="F22" i="3"/>
  <c r="BM22" i="3"/>
  <c r="G33" i="3"/>
  <c r="H33" i="3"/>
  <c r="BN33" i="3"/>
  <c r="F16" i="3"/>
  <c r="BM16" i="3"/>
  <c r="G23" i="3"/>
  <c r="H23" i="3"/>
  <c r="BN23" i="3"/>
  <c r="G34" i="3"/>
  <c r="H34" i="3"/>
  <c r="BN34" i="3"/>
  <c r="F27" i="3"/>
  <c r="BM27" i="3"/>
  <c r="G18" i="3"/>
  <c r="H18" i="3"/>
  <c r="BN18" i="3"/>
  <c r="F30" i="3"/>
  <c r="G38" i="3"/>
  <c r="H38" i="3"/>
  <c r="BN38" i="3"/>
  <c r="F682" i="3"/>
  <c r="G682" i="3"/>
  <c r="H682" i="3"/>
  <c r="F26" i="3"/>
  <c r="G13" i="3"/>
  <c r="H13" i="3"/>
  <c r="BN13" i="3"/>
  <c r="G29" i="3"/>
  <c r="H29" i="3"/>
  <c r="BN29" i="3"/>
  <c r="G32" i="3"/>
  <c r="H32" i="3"/>
  <c r="BN32" i="3"/>
  <c r="F20" i="3"/>
  <c r="BM20" i="3"/>
  <c r="G22" i="3"/>
  <c r="H22" i="3"/>
  <c r="BN22" i="3"/>
  <c r="F13" i="3"/>
  <c r="BM13" i="3"/>
  <c r="G20" i="3"/>
  <c r="H20" i="3"/>
  <c r="BN20" i="3"/>
  <c r="F19" i="3"/>
  <c r="BM19" i="3"/>
  <c r="F21" i="3"/>
  <c r="BM21" i="3"/>
  <c r="G19" i="3"/>
  <c r="H19" i="3"/>
  <c r="BN19" i="3"/>
  <c r="G28" i="3"/>
  <c r="H28" i="3"/>
  <c r="BN28" i="3"/>
  <c r="F34" i="3"/>
  <c r="BM34" i="3"/>
  <c r="G10" i="3"/>
  <c r="H10" i="3"/>
  <c r="BN10" i="3"/>
  <c r="G21" i="3"/>
  <c r="H21" i="3"/>
  <c r="BN21" i="3"/>
  <c r="G25" i="3"/>
  <c r="H25" i="3"/>
  <c r="BN25" i="3"/>
  <c r="F12" i="3"/>
  <c r="BM12" i="3"/>
  <c r="F9" i="3"/>
  <c r="BM9" i="3"/>
  <c r="F17" i="3"/>
  <c r="BM17" i="3"/>
  <c r="F14" i="3"/>
  <c r="BM14" i="3"/>
  <c r="G15" i="3"/>
  <c r="H15" i="3"/>
  <c r="BN15" i="3"/>
  <c r="F10" i="3"/>
  <c r="BM10" i="3"/>
  <c r="G35" i="3"/>
  <c r="H35" i="3"/>
  <c r="BN35" i="3"/>
  <c r="F33" i="3"/>
  <c r="F31" i="3"/>
  <c r="BM31" i="3"/>
  <c r="F29" i="3"/>
  <c r="BN17" i="3"/>
  <c r="F28" i="3"/>
  <c r="BM28" i="3"/>
  <c r="F36" i="3"/>
  <c r="BM36" i="3"/>
  <c r="G9" i="3"/>
  <c r="H9" i="3"/>
  <c r="G37" i="3"/>
  <c r="H37" i="3"/>
  <c r="G30" i="3"/>
  <c r="H30" i="3"/>
  <c r="BN30" i="3"/>
  <c r="F23" i="3"/>
  <c r="E63" i="1"/>
  <c r="BN14" i="4"/>
  <c r="BQ14" i="4"/>
  <c r="BK14" i="4"/>
  <c r="BJ14" i="4"/>
  <c r="BI14" i="4"/>
  <c r="BH14" i="4"/>
  <c r="BP14" i="4"/>
  <c r="BL14" i="4"/>
  <c r="BM14" i="4"/>
  <c r="BO14" i="4"/>
  <c r="BI15" i="4"/>
  <c r="BM15" i="4"/>
  <c r="BP15" i="4"/>
  <c r="BQ15" i="4"/>
  <c r="BJ15" i="4"/>
  <c r="BO15" i="4"/>
  <c r="BN15" i="4"/>
  <c r="BK15" i="4"/>
  <c r="BL15" i="4"/>
  <c r="BH15" i="4"/>
  <c r="BM9" i="4"/>
  <c r="BJ9" i="4"/>
  <c r="BL9" i="4"/>
  <c r="BH9" i="4"/>
  <c r="BO9" i="4"/>
  <c r="BQ9" i="4"/>
  <c r="BK9" i="4"/>
  <c r="BP9" i="4"/>
  <c r="BN9" i="4"/>
  <c r="BI9" i="4"/>
  <c r="BK16" i="4"/>
  <c r="BQ16" i="4"/>
  <c r="BI16" i="4"/>
  <c r="BO16" i="4"/>
  <c r="BP16" i="4"/>
  <c r="BM16" i="4"/>
  <c r="BL16" i="4"/>
  <c r="BJ16" i="4"/>
  <c r="BH16" i="4"/>
  <c r="BN16" i="4"/>
  <c r="BJ11" i="4"/>
  <c r="BN11" i="4"/>
  <c r="BQ11" i="4"/>
  <c r="BO11" i="4"/>
  <c r="BL11" i="4"/>
  <c r="BM11" i="4"/>
  <c r="BI11" i="4"/>
  <c r="BK11" i="4"/>
  <c r="BP11" i="4"/>
  <c r="BH11" i="4"/>
  <c r="BL12" i="4"/>
  <c r="BJ12" i="4"/>
  <c r="BI12" i="4"/>
  <c r="BN12" i="4"/>
  <c r="BH12" i="4"/>
  <c r="BM12" i="4"/>
  <c r="BQ12" i="4"/>
  <c r="BO12" i="4"/>
  <c r="BP12" i="4"/>
  <c r="BK12" i="4"/>
  <c r="BO13" i="4"/>
  <c r="BI13" i="4"/>
  <c r="BH13" i="4"/>
  <c r="BJ13" i="4"/>
  <c r="BQ13" i="4"/>
  <c r="BK13" i="4"/>
  <c r="BN13" i="4"/>
  <c r="BP13" i="4"/>
  <c r="BL13" i="4"/>
  <c r="BM13" i="4"/>
  <c r="BK17" i="4"/>
  <c r="BP17" i="4"/>
  <c r="BM17" i="4"/>
  <c r="BO17" i="4"/>
  <c r="BN17" i="4"/>
  <c r="BL17" i="4"/>
  <c r="BH17" i="4"/>
  <c r="BQ17" i="4"/>
  <c r="BI17" i="4"/>
  <c r="BJ17" i="4"/>
  <c r="N17" i="4"/>
  <c r="O17" i="4"/>
  <c r="Q17" i="4"/>
  <c r="R17" i="4"/>
  <c r="S17" i="4"/>
  <c r="T17" i="4"/>
  <c r="X17" i="4"/>
  <c r="Y17" i="4"/>
  <c r="AD17" i="4"/>
  <c r="J65" i="4"/>
  <c r="K65" i="4"/>
  <c r="AD47" i="4"/>
  <c r="R47" i="4"/>
  <c r="S47" i="4"/>
  <c r="T47" i="4"/>
  <c r="U47" i="4"/>
  <c r="V47" i="4"/>
  <c r="W47" i="4"/>
  <c r="N47" i="4"/>
  <c r="O47" i="4"/>
  <c r="Q47" i="4"/>
  <c r="R101" i="4"/>
  <c r="S101" i="4"/>
  <c r="T101" i="4"/>
  <c r="N101" i="4"/>
  <c r="O101" i="4"/>
  <c r="Q101" i="4"/>
  <c r="U101" i="4"/>
  <c r="V101" i="4"/>
  <c r="W101" i="4"/>
  <c r="X101" i="4"/>
  <c r="Y101" i="4"/>
  <c r="N100" i="4"/>
  <c r="O100" i="4"/>
  <c r="Q100" i="4"/>
  <c r="AD100" i="4"/>
  <c r="R100" i="4"/>
  <c r="S100" i="4"/>
  <c r="T100" i="4"/>
  <c r="X100" i="4"/>
  <c r="Y100" i="4"/>
  <c r="AD80" i="4"/>
  <c r="X80" i="4"/>
  <c r="Y80" i="4"/>
  <c r="N80" i="4"/>
  <c r="O80" i="4"/>
  <c r="Q80" i="4"/>
  <c r="R80" i="4"/>
  <c r="S80" i="4"/>
  <c r="T80" i="4"/>
  <c r="X15" i="4"/>
  <c r="Y15" i="4"/>
  <c r="N15" i="4"/>
  <c r="O15" i="4"/>
  <c r="Q15" i="4"/>
  <c r="R15" i="4"/>
  <c r="S15" i="4"/>
  <c r="T15" i="4"/>
  <c r="U15" i="4"/>
  <c r="V15" i="4"/>
  <c r="W15" i="4"/>
  <c r="U80" i="4"/>
  <c r="V80" i="4"/>
  <c r="W80" i="4"/>
  <c r="U29" i="4"/>
  <c r="V29" i="4"/>
  <c r="W29" i="4"/>
  <c r="U89" i="4"/>
  <c r="V89" i="4"/>
  <c r="W89" i="4"/>
  <c r="AD40" i="4"/>
  <c r="X88" i="4"/>
  <c r="Y88" i="4"/>
  <c r="X71" i="4"/>
  <c r="Y71" i="4"/>
  <c r="U28" i="4"/>
  <c r="V28" i="4"/>
  <c r="W28" i="4"/>
  <c r="AD74" i="4"/>
  <c r="AD26" i="4"/>
  <c r="X56" i="4"/>
  <c r="Y56" i="4"/>
  <c r="U92" i="4"/>
  <c r="V92" i="4"/>
  <c r="W92" i="4"/>
  <c r="X103" i="4"/>
  <c r="Y103" i="4"/>
  <c r="X89" i="4"/>
  <c r="Y89" i="4"/>
  <c r="U81" i="4"/>
  <c r="V81" i="4"/>
  <c r="W81" i="4"/>
  <c r="AD103" i="4"/>
  <c r="U91" i="4"/>
  <c r="V91" i="4"/>
  <c r="W91" i="4"/>
  <c r="U21" i="4"/>
  <c r="V21" i="4"/>
  <c r="W21" i="4"/>
  <c r="U71" i="4"/>
  <c r="V71" i="4"/>
  <c r="W71" i="4"/>
  <c r="X28" i="4"/>
  <c r="Y28" i="4"/>
  <c r="U74" i="4"/>
  <c r="V74" i="4"/>
  <c r="W74" i="4"/>
  <c r="X26" i="4"/>
  <c r="Y26" i="4"/>
  <c r="U56" i="4"/>
  <c r="V56" i="4"/>
  <c r="W56" i="4"/>
  <c r="X83" i="4"/>
  <c r="Y83" i="4"/>
  <c r="U51" i="4"/>
  <c r="V51" i="4"/>
  <c r="W51" i="4"/>
  <c r="N71" i="4"/>
  <c r="O71" i="4"/>
  <c r="Q71" i="4"/>
  <c r="R71" i="4"/>
  <c r="S71" i="4"/>
  <c r="T71" i="4"/>
  <c r="N28" i="4"/>
  <c r="O28" i="4"/>
  <c r="Q28" i="4"/>
  <c r="R28" i="4"/>
  <c r="S28" i="4"/>
  <c r="T28" i="4"/>
  <c r="R74" i="4"/>
  <c r="S74" i="4"/>
  <c r="T74" i="4"/>
  <c r="N74" i="4"/>
  <c r="O74" i="4"/>
  <c r="Q74" i="4"/>
  <c r="R26" i="4"/>
  <c r="S26" i="4"/>
  <c r="T26" i="4"/>
  <c r="N26" i="4"/>
  <c r="O26" i="4"/>
  <c r="Q26" i="4"/>
  <c r="R56" i="4"/>
  <c r="S56" i="4"/>
  <c r="T56" i="4"/>
  <c r="N56" i="4"/>
  <c r="O56" i="4"/>
  <c r="Q56" i="4"/>
  <c r="R92" i="4"/>
  <c r="S92" i="4"/>
  <c r="T92" i="4"/>
  <c r="N92" i="4"/>
  <c r="O92" i="4"/>
  <c r="Q92" i="4"/>
  <c r="X92" i="4"/>
  <c r="Y92" i="4"/>
  <c r="N103" i="4"/>
  <c r="O103" i="4"/>
  <c r="Q103" i="4"/>
  <c r="R103" i="4"/>
  <c r="S103" i="4"/>
  <c r="T103" i="4"/>
  <c r="X29" i="4"/>
  <c r="Y29" i="4"/>
  <c r="U40" i="4"/>
  <c r="V40" i="4"/>
  <c r="W40" i="4"/>
  <c r="U88" i="4"/>
  <c r="V88" i="4"/>
  <c r="W88" i="4"/>
  <c r="X21" i="4"/>
  <c r="Y21" i="4"/>
  <c r="AD91" i="4"/>
  <c r="AD83" i="4"/>
  <c r="X51" i="4"/>
  <c r="Y51" i="4"/>
  <c r="R40" i="4"/>
  <c r="S40" i="4"/>
  <c r="T40" i="4"/>
  <c r="N40" i="4"/>
  <c r="O40" i="4"/>
  <c r="Q40" i="4"/>
  <c r="R88" i="4"/>
  <c r="S88" i="4"/>
  <c r="T88" i="4"/>
  <c r="N88" i="4"/>
  <c r="O88" i="4"/>
  <c r="Q88" i="4"/>
  <c r="R21" i="4"/>
  <c r="S21" i="4"/>
  <c r="T21" i="4"/>
  <c r="N21" i="4"/>
  <c r="O21" i="4"/>
  <c r="Q21" i="4"/>
  <c r="R20" i="4"/>
  <c r="S20" i="4"/>
  <c r="T20" i="4"/>
  <c r="N20" i="4"/>
  <c r="O20" i="4"/>
  <c r="Q20" i="4"/>
  <c r="X20" i="4"/>
  <c r="Y20" i="4"/>
  <c r="R91" i="4"/>
  <c r="S91" i="4"/>
  <c r="T91" i="4"/>
  <c r="N91" i="4"/>
  <c r="O91" i="4"/>
  <c r="Q91" i="4"/>
  <c r="AQ39" i="3"/>
  <c r="AR39" i="3"/>
  <c r="B39" i="3"/>
  <c r="A40" i="3"/>
  <c r="D39" i="3"/>
  <c r="C39" i="3"/>
  <c r="G39" i="3"/>
  <c r="H39" i="3"/>
  <c r="F39" i="3"/>
  <c r="X85" i="4"/>
  <c r="Y85" i="4"/>
  <c r="R85" i="4"/>
  <c r="S85" i="4"/>
  <c r="T85" i="4"/>
  <c r="N85" i="4"/>
  <c r="O85" i="4"/>
  <c r="Q85" i="4"/>
  <c r="AD85" i="4"/>
  <c r="N83" i="4"/>
  <c r="O83" i="4"/>
  <c r="Q83" i="4"/>
  <c r="R83" i="4"/>
  <c r="S83" i="4"/>
  <c r="T83" i="4"/>
  <c r="N51" i="4"/>
  <c r="O51" i="4"/>
  <c r="Q51" i="4"/>
  <c r="R51" i="4"/>
  <c r="S51" i="4"/>
  <c r="T51" i="4"/>
  <c r="AD20" i="4"/>
  <c r="N96" i="4"/>
  <c r="O96" i="4"/>
  <c r="Q96" i="4"/>
  <c r="R96" i="4"/>
  <c r="S96" i="4"/>
  <c r="T96" i="4"/>
  <c r="N48" i="4"/>
  <c r="O48" i="4"/>
  <c r="Q48" i="4"/>
  <c r="R48" i="4"/>
  <c r="S48" i="4"/>
  <c r="T48" i="4"/>
  <c r="N29" i="4"/>
  <c r="O29" i="4"/>
  <c r="Q29" i="4"/>
  <c r="R29" i="4"/>
  <c r="S29" i="4"/>
  <c r="T29" i="4"/>
  <c r="N89" i="4"/>
  <c r="O89" i="4"/>
  <c r="Q89" i="4"/>
  <c r="R89" i="4"/>
  <c r="S89" i="4"/>
  <c r="T89" i="4"/>
  <c r="AD23" i="4"/>
  <c r="U22" i="4"/>
  <c r="V22" i="4"/>
  <c r="W22" i="4"/>
  <c r="AD93" i="4"/>
  <c r="AD96" i="4"/>
  <c r="X96" i="4"/>
  <c r="Y96" i="4"/>
  <c r="X23" i="4"/>
  <c r="Y23" i="4"/>
  <c r="X22" i="4"/>
  <c r="Y22" i="4"/>
  <c r="X48" i="4"/>
  <c r="Y48" i="4"/>
  <c r="AD48" i="4"/>
  <c r="X93" i="4"/>
  <c r="Y93" i="4"/>
  <c r="X81" i="4"/>
  <c r="Y81" i="4"/>
  <c r="R23" i="4"/>
  <c r="S23" i="4"/>
  <c r="T23" i="4"/>
  <c r="N23" i="4"/>
  <c r="O23" i="4"/>
  <c r="Q23" i="4"/>
  <c r="N22" i="4"/>
  <c r="O22" i="4"/>
  <c r="Q22" i="4"/>
  <c r="R22" i="4"/>
  <c r="S22" i="4"/>
  <c r="T22" i="4"/>
  <c r="R93" i="4"/>
  <c r="S93" i="4"/>
  <c r="T93" i="4"/>
  <c r="N93" i="4"/>
  <c r="O93" i="4"/>
  <c r="Q93" i="4"/>
  <c r="R81" i="4"/>
  <c r="S81" i="4"/>
  <c r="T81" i="4"/>
  <c r="N81" i="4"/>
  <c r="O81" i="4"/>
  <c r="Q81" i="4"/>
  <c r="U48" i="4"/>
  <c r="V48" i="4"/>
  <c r="W48" i="4"/>
  <c r="AH184" i="4"/>
  <c r="AH139" i="4"/>
  <c r="AH141" i="4"/>
  <c r="AH154" i="4"/>
  <c r="AH201" i="4"/>
  <c r="AH127" i="4"/>
  <c r="AH183" i="4"/>
  <c r="AH205" i="4"/>
  <c r="AH125" i="4"/>
  <c r="AH208" i="4"/>
  <c r="AH32" i="4"/>
  <c r="AH179" i="4"/>
  <c r="AH171" i="4"/>
  <c r="AH134" i="4"/>
  <c r="AH150" i="4"/>
  <c r="AH119" i="4"/>
  <c r="AH138" i="4"/>
  <c r="AH200" i="4"/>
  <c r="AH29" i="4"/>
  <c r="AH170" i="4"/>
  <c r="AH192" i="4"/>
  <c r="AH118" i="4"/>
  <c r="AF132" i="4"/>
  <c r="AG132" i="4"/>
  <c r="AS132" i="4"/>
  <c r="M132" i="4"/>
  <c r="AA132" i="4"/>
  <c r="AB132" i="4"/>
  <c r="M201" i="4"/>
  <c r="AA201" i="4"/>
  <c r="Z201" i="4"/>
  <c r="AB201" i="4"/>
  <c r="Z184" i="4"/>
  <c r="AB166" i="4"/>
  <c r="M184" i="4"/>
  <c r="AA184" i="4"/>
  <c r="M192" i="4"/>
  <c r="AA192" i="4"/>
  <c r="Z192" i="4"/>
  <c r="AF184" i="4"/>
  <c r="AG184" i="4"/>
  <c r="AS184" i="4"/>
  <c r="AF192" i="4"/>
  <c r="AG192" i="4"/>
  <c r="AS192" i="4"/>
  <c r="M166" i="4"/>
  <c r="AA166" i="4"/>
  <c r="Z166" i="4"/>
  <c r="AB170" i="4"/>
  <c r="AB121" i="4"/>
  <c r="Z121" i="4"/>
  <c r="AF121" i="4"/>
  <c r="AG121" i="4"/>
  <c r="AS121" i="4"/>
  <c r="AB198" i="4"/>
  <c r="AB125" i="4"/>
  <c r="AF198" i="4"/>
  <c r="AG198" i="4"/>
  <c r="AS198" i="4"/>
  <c r="M198" i="4"/>
  <c r="AA198" i="4"/>
  <c r="M125" i="4"/>
  <c r="AA125" i="4"/>
  <c r="Z125" i="4"/>
  <c r="AF186" i="4"/>
  <c r="AG186" i="4"/>
  <c r="AS186" i="4"/>
  <c r="AB186" i="4"/>
  <c r="M154" i="4"/>
  <c r="AA154" i="4"/>
  <c r="Z186" i="4"/>
  <c r="Z138" i="4"/>
  <c r="AB183" i="4"/>
  <c r="Z183" i="4"/>
  <c r="AF154" i="4"/>
  <c r="AG154" i="4"/>
  <c r="AS154" i="4"/>
  <c r="AB138" i="4"/>
  <c r="Z200" i="4"/>
  <c r="AF200" i="4"/>
  <c r="AG200" i="4"/>
  <c r="AS200" i="4"/>
  <c r="M208" i="4"/>
  <c r="AA208" i="4"/>
  <c r="AF170" i="4"/>
  <c r="AG170" i="4"/>
  <c r="AS170" i="4"/>
  <c r="AB200" i="4"/>
  <c r="AB139" i="4"/>
  <c r="AF208" i="4"/>
  <c r="AG208" i="4"/>
  <c r="AS208" i="4"/>
  <c r="M127" i="4"/>
  <c r="AA127" i="4"/>
  <c r="Z208" i="4"/>
  <c r="AF141" i="4"/>
  <c r="AG141" i="4"/>
  <c r="AS141" i="4"/>
  <c r="M170" i="4"/>
  <c r="AA170" i="4"/>
  <c r="AB127" i="4"/>
  <c r="AF183" i="4"/>
  <c r="AG183" i="4"/>
  <c r="AS183" i="4"/>
  <c r="Z154" i="4"/>
  <c r="M141" i="4"/>
  <c r="AA141" i="4"/>
  <c r="AF138" i="4"/>
  <c r="AG138" i="4"/>
  <c r="AS138" i="4"/>
  <c r="Z127" i="4"/>
  <c r="AB141" i="4"/>
  <c r="M150" i="4"/>
  <c r="AA150" i="4"/>
  <c r="AB188" i="4"/>
  <c r="Z188" i="4"/>
  <c r="Z139" i="4"/>
  <c r="AB134" i="4"/>
  <c r="AF139" i="4"/>
  <c r="AG139" i="4"/>
  <c r="AS139" i="4"/>
  <c r="AG150" i="4"/>
  <c r="AS150" i="4"/>
  <c r="Z179" i="4"/>
  <c r="M179" i="4"/>
  <c r="AA179" i="4"/>
  <c r="AB150" i="4"/>
  <c r="Z150" i="4"/>
  <c r="M134" i="4"/>
  <c r="AA134" i="4"/>
  <c r="M118" i="4"/>
  <c r="AA118" i="4"/>
  <c r="AF188" i="4"/>
  <c r="AG188" i="4"/>
  <c r="AS188" i="4"/>
  <c r="AF134" i="4"/>
  <c r="AG134" i="4"/>
  <c r="AS134" i="4"/>
  <c r="Z118" i="4"/>
  <c r="AF171" i="4"/>
  <c r="AG171" i="4"/>
  <c r="AS171" i="4"/>
  <c r="Z119" i="4"/>
  <c r="AB119" i="4"/>
  <c r="M119" i="4"/>
  <c r="AA119" i="4"/>
  <c r="AG205" i="4"/>
  <c r="AS205" i="4"/>
  <c r="AG179" i="4"/>
  <c r="AS179" i="4"/>
  <c r="AF118" i="4"/>
  <c r="AG118" i="4"/>
  <c r="AS118" i="4"/>
  <c r="AB179" i="4"/>
  <c r="Z171" i="4"/>
  <c r="M171" i="4"/>
  <c r="AA171" i="4"/>
  <c r="AG127" i="4"/>
  <c r="AS127" i="4"/>
  <c r="AE204" i="4"/>
  <c r="AG204" i="4"/>
  <c r="AS204" i="4"/>
  <c r="AH71" i="4"/>
  <c r="AG119" i="4"/>
  <c r="AS119" i="4"/>
  <c r="AH89" i="4"/>
  <c r="AH81" i="4"/>
  <c r="AH51" i="4"/>
  <c r="AH108" i="4"/>
  <c r="AH92" i="4"/>
  <c r="AH56" i="4"/>
  <c r="AH88" i="4"/>
  <c r="M204" i="4"/>
  <c r="AA204" i="4"/>
  <c r="Z147" i="4"/>
  <c r="AH22" i="4"/>
  <c r="Z204" i="4"/>
  <c r="AH37" i="4"/>
  <c r="AH27" i="4"/>
  <c r="AF196" i="4"/>
  <c r="AH99" i="4"/>
  <c r="AH15" i="4"/>
  <c r="AH28" i="4"/>
  <c r="AH16" i="4"/>
  <c r="Z193" i="4"/>
  <c r="AB147" i="4"/>
  <c r="AH72" i="4"/>
  <c r="AG166" i="4"/>
  <c r="AS166" i="4"/>
  <c r="AE177" i="4"/>
  <c r="AH177" i="4"/>
  <c r="AE160" i="4"/>
  <c r="AH160" i="4"/>
  <c r="AE155" i="4"/>
  <c r="AG155" i="4"/>
  <c r="AS155" i="4"/>
  <c r="AH155" i="4"/>
  <c r="AE187" i="4"/>
  <c r="AG187" i="4"/>
  <c r="AS187" i="4"/>
  <c r="AH187" i="4"/>
  <c r="AH33" i="4"/>
  <c r="AH95" i="4"/>
  <c r="AH55" i="4"/>
  <c r="AH21" i="4"/>
  <c r="AE161" i="4"/>
  <c r="AH161" i="4"/>
  <c r="AE122" i="4"/>
  <c r="AH122" i="4"/>
  <c r="AE128" i="4"/>
  <c r="AH128" i="4"/>
  <c r="AE182" i="4"/>
  <c r="AH182" i="4"/>
  <c r="AE144" i="4"/>
  <c r="AH144" i="4"/>
  <c r="AE133" i="4"/>
  <c r="AH133" i="4"/>
  <c r="AE176" i="4"/>
  <c r="AH176" i="4"/>
  <c r="AE190" i="4"/>
  <c r="AH190" i="4"/>
  <c r="AE168" i="4"/>
  <c r="AH168" i="4"/>
  <c r="AE162" i="4"/>
  <c r="AH162" i="4"/>
  <c r="AE202" i="4"/>
  <c r="AH202" i="4"/>
  <c r="AE111" i="4"/>
  <c r="AG111" i="4"/>
  <c r="AS111" i="4"/>
  <c r="AH111" i="4"/>
  <c r="AE191" i="4"/>
  <c r="AH191" i="4"/>
  <c r="AE135" i="4"/>
  <c r="AH135" i="4"/>
  <c r="AE158" i="4"/>
  <c r="AH158" i="4"/>
  <c r="AE203" i="4"/>
  <c r="AH203" i="4"/>
  <c r="AE120" i="4"/>
  <c r="AH120" i="4"/>
  <c r="Z196" i="4"/>
  <c r="AE123" i="4"/>
  <c r="AH123" i="4"/>
  <c r="AG201" i="4"/>
  <c r="AS201" i="4"/>
  <c r="AE163" i="4"/>
  <c r="AH163" i="4"/>
  <c r="AG125" i="4"/>
  <c r="AS125" i="4"/>
  <c r="AE145" i="4"/>
  <c r="AH145" i="4"/>
  <c r="AE197" i="4"/>
  <c r="AH197" i="4"/>
  <c r="AE199" i="4"/>
  <c r="AG199" i="4"/>
  <c r="AS199" i="4"/>
  <c r="AH199" i="4"/>
  <c r="AE189" i="4"/>
  <c r="AH189" i="4"/>
  <c r="AE196" i="4"/>
  <c r="AH196" i="4"/>
  <c r="AE113" i="4"/>
  <c r="AH113" i="4"/>
  <c r="AE157" i="4"/>
  <c r="AH157" i="4"/>
  <c r="AE209" i="4"/>
  <c r="AH209" i="4"/>
  <c r="AE137" i="4"/>
  <c r="AH137" i="4"/>
  <c r="AE207" i="4"/>
  <c r="AH207" i="4"/>
  <c r="AH52" i="4"/>
  <c r="AH101" i="4"/>
  <c r="AH42" i="4"/>
  <c r="AH30" i="4"/>
  <c r="AE126" i="4"/>
  <c r="AH126" i="4"/>
  <c r="AE164" i="4"/>
  <c r="AH164" i="4"/>
  <c r="AE172" i="4"/>
  <c r="AH172" i="4"/>
  <c r="AE167" i="4"/>
  <c r="AH167" i="4"/>
  <c r="AE194" i="4"/>
  <c r="AH194" i="4"/>
  <c r="AE173" i="4"/>
  <c r="AH173" i="4"/>
  <c r="AE169" i="4"/>
  <c r="AH169" i="4"/>
  <c r="AE142" i="4"/>
  <c r="AH142" i="4"/>
  <c r="AE149" i="4"/>
  <c r="AH149" i="4"/>
  <c r="AE185" i="4"/>
  <c r="AH185" i="4"/>
  <c r="AE195" i="4"/>
  <c r="AH195" i="4"/>
  <c r="AE112" i="4"/>
  <c r="AH112" i="4"/>
  <c r="AF178" i="4"/>
  <c r="AE206" i="4"/>
  <c r="AH206" i="4"/>
  <c r="AE129" i="4"/>
  <c r="AH129" i="4"/>
  <c r="AE178" i="4"/>
  <c r="AH178" i="4"/>
  <c r="AE153" i="4"/>
  <c r="AH153" i="4"/>
  <c r="AE115" i="4"/>
  <c r="AH115" i="4"/>
  <c r="AE181" i="4"/>
  <c r="AH181" i="4"/>
  <c r="AE152" i="4"/>
  <c r="AH152" i="4"/>
  <c r="AE117" i="4"/>
  <c r="AH117" i="4"/>
  <c r="AE174" i="4"/>
  <c r="AH174" i="4"/>
  <c r="AE131" i="4"/>
  <c r="AH131" i="4"/>
  <c r="AE147" i="4"/>
  <c r="AH147" i="4"/>
  <c r="AH10" i="4"/>
  <c r="AH107" i="4"/>
  <c r="AH75" i="4"/>
  <c r="AH87" i="4"/>
  <c r="AE165" i="4"/>
  <c r="AH165" i="4"/>
  <c r="AE110" i="4"/>
  <c r="AH110" i="4"/>
  <c r="AE159" i="4"/>
  <c r="AH159" i="4"/>
  <c r="AE116" i="4"/>
  <c r="AH116" i="4"/>
  <c r="AE124" i="4"/>
  <c r="AH124" i="4"/>
  <c r="AE114" i="4"/>
  <c r="AH114" i="4"/>
  <c r="AE130" i="4"/>
  <c r="AH130" i="4"/>
  <c r="AE180" i="4"/>
  <c r="AH180" i="4"/>
  <c r="AE175" i="4"/>
  <c r="AH175" i="4"/>
  <c r="AE146" i="4"/>
  <c r="AH146" i="4"/>
  <c r="AE143" i="4"/>
  <c r="AH143" i="4"/>
  <c r="AE148" i="4"/>
  <c r="AH148" i="4"/>
  <c r="AE151" i="4"/>
  <c r="AH151" i="4"/>
  <c r="AE140" i="4"/>
  <c r="AH140" i="4"/>
  <c r="AE156" i="4"/>
  <c r="AH156" i="4"/>
  <c r="AE193" i="4"/>
  <c r="AG193" i="4"/>
  <c r="AS193" i="4"/>
  <c r="AH193" i="4"/>
  <c r="AE136" i="4"/>
  <c r="AH136" i="4"/>
  <c r="M178" i="4"/>
  <c r="AA178" i="4"/>
  <c r="Z178" i="4"/>
  <c r="Z187" i="4"/>
  <c r="M205" i="4"/>
  <c r="AA205" i="4"/>
  <c r="AB205" i="4"/>
  <c r="AB189" i="4"/>
  <c r="Z205" i="4"/>
  <c r="AB204" i="4"/>
  <c r="AB187" i="4"/>
  <c r="M187" i="4"/>
  <c r="AA187" i="4"/>
  <c r="Z136" i="4"/>
  <c r="M136" i="4"/>
  <c r="AA136" i="4"/>
  <c r="M196" i="4"/>
  <c r="AA196" i="4"/>
  <c r="AF147" i="4"/>
  <c r="M193" i="4"/>
  <c r="AA193" i="4"/>
  <c r="AF136" i="4"/>
  <c r="AF189" i="4"/>
  <c r="M189" i="4"/>
  <c r="AA189" i="4"/>
  <c r="AF206" i="4"/>
  <c r="M206" i="4"/>
  <c r="AA206" i="4"/>
  <c r="AB193" i="4"/>
  <c r="Z199" i="4"/>
  <c r="Z129" i="4"/>
  <c r="M129" i="4"/>
  <c r="AA129" i="4"/>
  <c r="AF129" i="4"/>
  <c r="AF197" i="4"/>
  <c r="M197" i="4"/>
  <c r="AA197" i="4"/>
  <c r="AB199" i="4"/>
  <c r="AB206" i="4"/>
  <c r="M199" i="4"/>
  <c r="AA199" i="4"/>
  <c r="Z155" i="4"/>
  <c r="AB174" i="4"/>
  <c r="AF174" i="4"/>
  <c r="AB155" i="4"/>
  <c r="Z174" i="4"/>
  <c r="M155" i="4"/>
  <c r="AA155" i="4"/>
  <c r="Z197" i="4"/>
  <c r="M21" i="4"/>
  <c r="AA21" i="4"/>
  <c r="AB21" i="4"/>
  <c r="AF21" i="4"/>
  <c r="AG21" i="4"/>
  <c r="AS21" i="4"/>
  <c r="Z21" i="4"/>
  <c r="M103" i="4"/>
  <c r="AA103" i="4"/>
  <c r="AB103" i="4"/>
  <c r="AF103" i="4"/>
  <c r="Z103" i="4"/>
  <c r="M95" i="4"/>
  <c r="AA95" i="4"/>
  <c r="AB95" i="4"/>
  <c r="Z95" i="4"/>
  <c r="AF95" i="4"/>
  <c r="AG95" i="4"/>
  <c r="AS95" i="4"/>
  <c r="M68" i="4"/>
  <c r="AA68" i="4"/>
  <c r="AB68" i="4"/>
  <c r="AF68" i="4"/>
  <c r="Z68" i="4"/>
  <c r="M27" i="4"/>
  <c r="AA27" i="4"/>
  <c r="AF27" i="4"/>
  <c r="AG27" i="4"/>
  <c r="AS27" i="4"/>
  <c r="AB27" i="4"/>
  <c r="Z27" i="4"/>
  <c r="M109" i="4"/>
  <c r="AA109" i="4"/>
  <c r="AB109" i="4"/>
  <c r="AF109" i="4"/>
  <c r="Z109" i="4"/>
  <c r="M36" i="4"/>
  <c r="AA36" i="4"/>
  <c r="AB36" i="4"/>
  <c r="AF36" i="4"/>
  <c r="Z36" i="4"/>
  <c r="M94" i="4"/>
  <c r="AA94" i="4"/>
  <c r="AF94" i="4"/>
  <c r="AB94" i="4"/>
  <c r="Z94" i="4"/>
  <c r="M97" i="4"/>
  <c r="AA97" i="4"/>
  <c r="AB97" i="4"/>
  <c r="AF97" i="4"/>
  <c r="Z97" i="4"/>
  <c r="M56" i="4"/>
  <c r="AA56" i="4"/>
  <c r="AB56" i="4"/>
  <c r="AF56" i="4"/>
  <c r="AG56" i="4"/>
  <c r="AS56" i="4"/>
  <c r="Z56" i="4"/>
  <c r="M104" i="4"/>
  <c r="AA104" i="4"/>
  <c r="AB104" i="4"/>
  <c r="AF104" i="4"/>
  <c r="Z104" i="4"/>
  <c r="M9" i="4"/>
  <c r="AA9" i="4"/>
  <c r="AF9" i="4"/>
  <c r="AB9" i="4"/>
  <c r="Z9" i="4"/>
  <c r="M102" i="4"/>
  <c r="AA102" i="4"/>
  <c r="AF102" i="4"/>
  <c r="AB102" i="4"/>
  <c r="Z102" i="4"/>
  <c r="M49" i="4"/>
  <c r="AA49" i="4"/>
  <c r="AB49" i="4"/>
  <c r="AF49" i="4"/>
  <c r="Z49" i="4"/>
  <c r="M84" i="4"/>
  <c r="AA84" i="4"/>
  <c r="AF84" i="4"/>
  <c r="AB84" i="4"/>
  <c r="Z84" i="4"/>
  <c r="M100" i="4"/>
  <c r="AA100" i="4"/>
  <c r="AB100" i="4"/>
  <c r="AF100" i="4"/>
  <c r="Z100" i="4"/>
  <c r="M85" i="4"/>
  <c r="AA85" i="4"/>
  <c r="AB85" i="4"/>
  <c r="AF85" i="4"/>
  <c r="Z85" i="4"/>
  <c r="M66" i="4"/>
  <c r="AA66" i="4"/>
  <c r="AF66" i="4"/>
  <c r="AB66" i="4"/>
  <c r="Z66" i="4"/>
  <c r="M157" i="4"/>
  <c r="AA157" i="4"/>
  <c r="Z157" i="4"/>
  <c r="AB157" i="4"/>
  <c r="AF157" i="4"/>
  <c r="M145" i="4"/>
  <c r="AA145" i="4"/>
  <c r="AB145" i="4"/>
  <c r="AF145" i="4"/>
  <c r="Z145" i="4"/>
  <c r="M177" i="4"/>
  <c r="AA177" i="4"/>
  <c r="AF177" i="4"/>
  <c r="AB177" i="4"/>
  <c r="Z177" i="4"/>
  <c r="M116" i="4"/>
  <c r="AA116" i="4"/>
  <c r="AB116" i="4"/>
  <c r="Z116" i="4"/>
  <c r="AF116" i="4"/>
  <c r="M173" i="4"/>
  <c r="AA173" i="4"/>
  <c r="AF173" i="4"/>
  <c r="Z173" i="4"/>
  <c r="AB173" i="4"/>
  <c r="M169" i="4"/>
  <c r="AA169" i="4"/>
  <c r="AB169" i="4"/>
  <c r="Z169" i="4"/>
  <c r="AF169" i="4"/>
  <c r="M161" i="4"/>
  <c r="AA161" i="4"/>
  <c r="AF161" i="4"/>
  <c r="AB161" i="4"/>
  <c r="Z161" i="4"/>
  <c r="M164" i="4"/>
  <c r="AA164" i="4"/>
  <c r="AF164" i="4"/>
  <c r="AB164" i="4"/>
  <c r="Z164" i="4"/>
  <c r="M148" i="4"/>
  <c r="AA148" i="4"/>
  <c r="AF148" i="4"/>
  <c r="Z148" i="4"/>
  <c r="AB148" i="4"/>
  <c r="M114" i="4"/>
  <c r="AA114" i="4"/>
  <c r="AF114" i="4"/>
  <c r="AB114" i="4"/>
  <c r="Z114" i="4"/>
  <c r="M28" i="4"/>
  <c r="AA28" i="4"/>
  <c r="AB28" i="4"/>
  <c r="AF28" i="4"/>
  <c r="AG28" i="4"/>
  <c r="AS28" i="4"/>
  <c r="Z28" i="4"/>
  <c r="M32" i="4"/>
  <c r="AA32" i="4"/>
  <c r="AF32" i="4"/>
  <c r="AG32" i="4"/>
  <c r="AS32" i="4"/>
  <c r="AB32" i="4"/>
  <c r="Z32" i="4"/>
  <c r="M122" i="4"/>
  <c r="AA122" i="4"/>
  <c r="AF122" i="4"/>
  <c r="AB122" i="4"/>
  <c r="Z122" i="4"/>
  <c r="M137" i="4"/>
  <c r="AA137" i="4"/>
  <c r="AB137" i="4"/>
  <c r="Z137" i="4"/>
  <c r="AF137" i="4"/>
  <c r="M113" i="4"/>
  <c r="AA113" i="4"/>
  <c r="AB113" i="4"/>
  <c r="AF113" i="4"/>
  <c r="Z113" i="4"/>
  <c r="M128" i="4"/>
  <c r="AA128" i="4"/>
  <c r="AF128" i="4"/>
  <c r="AB128" i="4"/>
  <c r="Z128" i="4"/>
  <c r="M142" i="4"/>
  <c r="AA142" i="4"/>
  <c r="AF142" i="4"/>
  <c r="AB142" i="4"/>
  <c r="Z142" i="4"/>
  <c r="M149" i="4"/>
  <c r="AA149" i="4"/>
  <c r="AF149" i="4"/>
  <c r="AB149" i="4"/>
  <c r="Z149" i="4"/>
  <c r="M156" i="4"/>
  <c r="AA156" i="4"/>
  <c r="AF156" i="4"/>
  <c r="AB156" i="4"/>
  <c r="Z156" i="4"/>
  <c r="M80" i="4"/>
  <c r="AA80" i="4"/>
  <c r="AF80" i="4"/>
  <c r="AB80" i="4"/>
  <c r="Z80" i="4"/>
  <c r="M163" i="4"/>
  <c r="AA163" i="4"/>
  <c r="AB163" i="4"/>
  <c r="AF163" i="4"/>
  <c r="Z163" i="4"/>
  <c r="M30" i="4"/>
  <c r="AA30" i="4"/>
  <c r="AF30" i="4"/>
  <c r="AG30" i="4"/>
  <c r="AS30" i="4"/>
  <c r="AB30" i="4"/>
  <c r="Z30" i="4"/>
  <c r="M93" i="4"/>
  <c r="AA93" i="4"/>
  <c r="AB93" i="4"/>
  <c r="Z93" i="4"/>
  <c r="AF93" i="4"/>
  <c r="M39" i="4"/>
  <c r="AA39" i="4"/>
  <c r="AB39" i="4"/>
  <c r="AF39" i="4"/>
  <c r="Z39" i="4"/>
  <c r="M69" i="4"/>
  <c r="AA69" i="4"/>
  <c r="AB69" i="4"/>
  <c r="AF69" i="4"/>
  <c r="Z69" i="4"/>
  <c r="M34" i="4"/>
  <c r="AA34" i="4"/>
  <c r="AF34" i="4"/>
  <c r="AB34" i="4"/>
  <c r="Z34" i="4"/>
  <c r="M38" i="4"/>
  <c r="AA38" i="4"/>
  <c r="AF38" i="4"/>
  <c r="AB38" i="4"/>
  <c r="Z38" i="4"/>
  <c r="M108" i="4"/>
  <c r="AA108" i="4"/>
  <c r="AB108" i="4"/>
  <c r="AF108" i="4"/>
  <c r="AG108" i="4"/>
  <c r="AS108" i="4"/>
  <c r="Z108" i="4"/>
  <c r="M72" i="4"/>
  <c r="AA72" i="4"/>
  <c r="AB72" i="4"/>
  <c r="Z72" i="4"/>
  <c r="AF72" i="4"/>
  <c r="AG72" i="4"/>
  <c r="AS72" i="4"/>
  <c r="M92" i="4"/>
  <c r="AA92" i="4"/>
  <c r="AB92" i="4"/>
  <c r="AF92" i="4"/>
  <c r="AG92" i="4"/>
  <c r="AS92" i="4"/>
  <c r="Z92" i="4"/>
  <c r="M63" i="4"/>
  <c r="AA63" i="4"/>
  <c r="Z63" i="4"/>
  <c r="AF63" i="4"/>
  <c r="AB63" i="4"/>
  <c r="M45" i="4"/>
  <c r="AA45" i="4"/>
  <c r="AB45" i="4"/>
  <c r="AF45" i="4"/>
  <c r="Z45" i="4"/>
  <c r="M18" i="4"/>
  <c r="AA18" i="4"/>
  <c r="AF18" i="4"/>
  <c r="AB18" i="4"/>
  <c r="Z18" i="4"/>
  <c r="M13" i="4"/>
  <c r="AA13" i="4"/>
  <c r="AB13" i="4"/>
  <c r="AF13" i="4"/>
  <c r="Z13" i="4"/>
  <c r="M60" i="4"/>
  <c r="AA60" i="4"/>
  <c r="AB60" i="4"/>
  <c r="AF60" i="4"/>
  <c r="Z60" i="4"/>
  <c r="M29" i="4"/>
  <c r="AA29" i="4"/>
  <c r="AB29" i="4"/>
  <c r="Z29" i="4"/>
  <c r="AF29" i="4"/>
  <c r="AG29" i="4"/>
  <c r="AS29" i="4"/>
  <c r="M33" i="4"/>
  <c r="AA33" i="4"/>
  <c r="AB33" i="4"/>
  <c r="AF33" i="4"/>
  <c r="AG33" i="4"/>
  <c r="AS33" i="4"/>
  <c r="Z33" i="4"/>
  <c r="M53" i="4"/>
  <c r="AA53" i="4"/>
  <c r="AB53" i="4"/>
  <c r="AF53" i="4"/>
  <c r="Z53" i="4"/>
  <c r="M14" i="4"/>
  <c r="AA14" i="4"/>
  <c r="AF14" i="4"/>
  <c r="AB14" i="4"/>
  <c r="Z14" i="4"/>
  <c r="M31" i="4"/>
  <c r="AA31" i="4"/>
  <c r="AB31" i="4"/>
  <c r="Z31" i="4"/>
  <c r="AF31" i="4"/>
  <c r="M43" i="4"/>
  <c r="AA43" i="4"/>
  <c r="AF43" i="4"/>
  <c r="Z43" i="4"/>
  <c r="AB43" i="4"/>
  <c r="M24" i="4"/>
  <c r="AA24" i="4"/>
  <c r="AB24" i="4"/>
  <c r="AF24" i="4"/>
  <c r="Z24" i="4"/>
  <c r="M35" i="4"/>
  <c r="AA35" i="4"/>
  <c r="AB35" i="4"/>
  <c r="AF35" i="4"/>
  <c r="Z35" i="4"/>
  <c r="M23" i="4"/>
  <c r="AA23" i="4"/>
  <c r="AB23" i="4"/>
  <c r="AF23" i="4"/>
  <c r="Z23" i="4"/>
  <c r="M26" i="4"/>
  <c r="AA26" i="4"/>
  <c r="AF26" i="4"/>
  <c r="AB26" i="4"/>
  <c r="Z26" i="4"/>
  <c r="M70" i="4"/>
  <c r="AA70" i="4"/>
  <c r="AF70" i="4"/>
  <c r="AB70" i="4"/>
  <c r="Z70" i="4"/>
  <c r="M82" i="4"/>
  <c r="AA82" i="4"/>
  <c r="AF82" i="4"/>
  <c r="AB82" i="4"/>
  <c r="Z82" i="4"/>
  <c r="M131" i="4"/>
  <c r="AA131" i="4"/>
  <c r="AB131" i="4"/>
  <c r="AF131" i="4"/>
  <c r="Z131" i="4"/>
  <c r="M185" i="4"/>
  <c r="AA185" i="4"/>
  <c r="AF185" i="4"/>
  <c r="AB185" i="4"/>
  <c r="Z185" i="4"/>
  <c r="M130" i="4"/>
  <c r="AA130" i="4"/>
  <c r="AF130" i="4"/>
  <c r="AB130" i="4"/>
  <c r="Z130" i="4"/>
  <c r="M207" i="4"/>
  <c r="AA207" i="4"/>
  <c r="AB207" i="4"/>
  <c r="AF207" i="4"/>
  <c r="Z207" i="4"/>
  <c r="M194" i="4"/>
  <c r="AA194" i="4"/>
  <c r="AF194" i="4"/>
  <c r="AB194" i="4"/>
  <c r="Z194" i="4"/>
  <c r="M165" i="4"/>
  <c r="AA165" i="4"/>
  <c r="AF165" i="4"/>
  <c r="Z165" i="4"/>
  <c r="AB165" i="4"/>
  <c r="M176" i="4"/>
  <c r="AA176" i="4"/>
  <c r="AF176" i="4"/>
  <c r="AB176" i="4"/>
  <c r="Z176" i="4"/>
  <c r="M117" i="4"/>
  <c r="AA117" i="4"/>
  <c r="AB117" i="4"/>
  <c r="AF117" i="4"/>
  <c r="Z117" i="4"/>
  <c r="M209" i="4"/>
  <c r="AA209" i="4"/>
  <c r="AF209" i="4"/>
  <c r="AB209" i="4"/>
  <c r="Z209" i="4"/>
  <c r="M143" i="4"/>
  <c r="AA143" i="4"/>
  <c r="AB143" i="4"/>
  <c r="AF143" i="4"/>
  <c r="Z143" i="4"/>
  <c r="M181" i="4"/>
  <c r="AA181" i="4"/>
  <c r="AF181" i="4"/>
  <c r="Z181" i="4"/>
  <c r="AB181" i="4"/>
  <c r="Z111" i="4"/>
  <c r="AC111" i="4"/>
  <c r="M57" i="4"/>
  <c r="AA57" i="4"/>
  <c r="AB57" i="4"/>
  <c r="Z57" i="4"/>
  <c r="AF57" i="4"/>
  <c r="M22" i="4"/>
  <c r="AA22" i="4"/>
  <c r="AF22" i="4"/>
  <c r="AG22" i="4"/>
  <c r="AS22" i="4"/>
  <c r="Z22" i="4"/>
  <c r="AB22" i="4"/>
  <c r="M107" i="4"/>
  <c r="AA107" i="4"/>
  <c r="AF107" i="4"/>
  <c r="AG107" i="4"/>
  <c r="AS107" i="4"/>
  <c r="Z107" i="4"/>
  <c r="AB107" i="4"/>
  <c r="M52" i="4"/>
  <c r="AA52" i="4"/>
  <c r="AB52" i="4"/>
  <c r="AF52" i="4"/>
  <c r="AG52" i="4"/>
  <c r="AS52" i="4"/>
  <c r="Z52" i="4"/>
  <c r="M106" i="4"/>
  <c r="AA106" i="4"/>
  <c r="AF106" i="4"/>
  <c r="Z106" i="4"/>
  <c r="AB106" i="4"/>
  <c r="M42" i="4"/>
  <c r="AA42" i="4"/>
  <c r="AF42" i="4"/>
  <c r="AG42" i="4"/>
  <c r="AS42" i="4"/>
  <c r="Z42" i="4"/>
  <c r="AB42" i="4"/>
  <c r="M61" i="4"/>
  <c r="AA61" i="4"/>
  <c r="AB61" i="4"/>
  <c r="Z61" i="4"/>
  <c r="AF61" i="4"/>
  <c r="M101" i="4"/>
  <c r="AA101" i="4"/>
  <c r="AB101" i="4"/>
  <c r="AF101" i="4"/>
  <c r="AG101" i="4"/>
  <c r="AS101" i="4"/>
  <c r="Z101" i="4"/>
  <c r="M67" i="4"/>
  <c r="AA67" i="4"/>
  <c r="AB67" i="4"/>
  <c r="AF67" i="4"/>
  <c r="Z67" i="4"/>
  <c r="M78" i="4"/>
  <c r="AA78" i="4"/>
  <c r="AF78" i="4"/>
  <c r="AB78" i="4"/>
  <c r="Z78" i="4"/>
  <c r="M59" i="4"/>
  <c r="AA59" i="4"/>
  <c r="AF59" i="4"/>
  <c r="AB59" i="4"/>
  <c r="Z59" i="4"/>
  <c r="M180" i="4"/>
  <c r="AA180" i="4"/>
  <c r="Z180" i="4"/>
  <c r="AF180" i="4"/>
  <c r="AB180" i="4"/>
  <c r="M172" i="4"/>
  <c r="AA172" i="4"/>
  <c r="AF172" i="4"/>
  <c r="AB172" i="4"/>
  <c r="Z172" i="4"/>
  <c r="M126" i="4"/>
  <c r="AA126" i="4"/>
  <c r="AF126" i="4"/>
  <c r="AB126" i="4"/>
  <c r="Z126" i="4"/>
  <c r="M123" i="4"/>
  <c r="AA123" i="4"/>
  <c r="AF123" i="4"/>
  <c r="AB123" i="4"/>
  <c r="Z123" i="4"/>
  <c r="M160" i="4"/>
  <c r="AA160" i="4"/>
  <c r="AF160" i="4"/>
  <c r="AB160" i="4"/>
  <c r="Z160" i="4"/>
  <c r="M135" i="4"/>
  <c r="AA135" i="4"/>
  <c r="AB135" i="4"/>
  <c r="AF135" i="4"/>
  <c r="Z135" i="4"/>
  <c r="M20" i="4"/>
  <c r="AA20" i="4"/>
  <c r="AF20" i="4"/>
  <c r="Z20" i="4"/>
  <c r="AB20" i="4"/>
  <c r="M55" i="4"/>
  <c r="AA55" i="4"/>
  <c r="AB55" i="4"/>
  <c r="AF55" i="4"/>
  <c r="AG55" i="4"/>
  <c r="AS55" i="4"/>
  <c r="Z55" i="4"/>
  <c r="M96" i="4"/>
  <c r="AA96" i="4"/>
  <c r="AF96" i="4"/>
  <c r="AB96" i="4"/>
  <c r="Z96" i="4"/>
  <c r="M76" i="4"/>
  <c r="AA76" i="4"/>
  <c r="AB76" i="4"/>
  <c r="AF76" i="4"/>
  <c r="Z76" i="4"/>
  <c r="M89" i="4"/>
  <c r="AA89" i="4"/>
  <c r="AB89" i="4"/>
  <c r="Z89" i="4"/>
  <c r="AF89" i="4"/>
  <c r="AG89" i="4"/>
  <c r="AS89" i="4"/>
  <c r="M15" i="4"/>
  <c r="AA15" i="4"/>
  <c r="AB15" i="4"/>
  <c r="AF15" i="4"/>
  <c r="AG15" i="4"/>
  <c r="AS15" i="4"/>
  <c r="Z15" i="4"/>
  <c r="M105" i="4"/>
  <c r="AA105" i="4"/>
  <c r="AB105" i="4"/>
  <c r="AF105" i="4"/>
  <c r="Z105" i="4"/>
  <c r="M16" i="4"/>
  <c r="AA16" i="4"/>
  <c r="AF16" i="4"/>
  <c r="AG16" i="4"/>
  <c r="AS16" i="4"/>
  <c r="AB16" i="4"/>
  <c r="Z16" i="4"/>
  <c r="M74" i="4"/>
  <c r="AA74" i="4"/>
  <c r="AF74" i="4"/>
  <c r="Z74" i="4"/>
  <c r="AB74" i="4"/>
  <c r="M77" i="4"/>
  <c r="AA77" i="4"/>
  <c r="AB77" i="4"/>
  <c r="AF77" i="4"/>
  <c r="Z77" i="4"/>
  <c r="M19" i="4"/>
  <c r="AA19" i="4"/>
  <c r="AB19" i="4"/>
  <c r="AF19" i="4"/>
  <c r="Z19" i="4"/>
  <c r="M17" i="4"/>
  <c r="AA17" i="4"/>
  <c r="AB17" i="4"/>
  <c r="AF17" i="4"/>
  <c r="Z17" i="4"/>
  <c r="M40" i="4"/>
  <c r="AA40" i="4"/>
  <c r="AB40" i="4"/>
  <c r="AF40" i="4"/>
  <c r="Z40" i="4"/>
  <c r="M79" i="4"/>
  <c r="AA79" i="4"/>
  <c r="AB79" i="4"/>
  <c r="AF79" i="4"/>
  <c r="Z79" i="4"/>
  <c r="M88" i="4"/>
  <c r="AA88" i="4"/>
  <c r="AB88" i="4"/>
  <c r="AF88" i="4"/>
  <c r="AG88" i="4"/>
  <c r="AS88" i="4"/>
  <c r="Z88" i="4"/>
  <c r="M25" i="4"/>
  <c r="AA25" i="4"/>
  <c r="AB25" i="4"/>
  <c r="Z25" i="4"/>
  <c r="AF25" i="4"/>
  <c r="M83" i="4"/>
  <c r="AA83" i="4"/>
  <c r="AB83" i="4"/>
  <c r="AF83" i="4"/>
  <c r="Z83" i="4"/>
  <c r="M47" i="4"/>
  <c r="AA47" i="4"/>
  <c r="AB47" i="4"/>
  <c r="AF47" i="4"/>
  <c r="Z47" i="4"/>
  <c r="M140" i="4"/>
  <c r="AA140" i="4"/>
  <c r="AB140" i="4"/>
  <c r="AF140" i="4"/>
  <c r="Z140" i="4"/>
  <c r="M120" i="4"/>
  <c r="AA120" i="4"/>
  <c r="AB120" i="4"/>
  <c r="AF120" i="4"/>
  <c r="Z120" i="4"/>
  <c r="M202" i="4"/>
  <c r="AA202" i="4"/>
  <c r="AF202" i="4"/>
  <c r="AB202" i="4"/>
  <c r="Z202" i="4"/>
  <c r="M159" i="4"/>
  <c r="AA159" i="4"/>
  <c r="AB159" i="4"/>
  <c r="AF159" i="4"/>
  <c r="Z159" i="4"/>
  <c r="M153" i="4"/>
  <c r="AA153" i="4"/>
  <c r="AF153" i="4"/>
  <c r="AB153" i="4"/>
  <c r="Z153" i="4"/>
  <c r="M110" i="4"/>
  <c r="AA110" i="4"/>
  <c r="AF110" i="4"/>
  <c r="AB110" i="4"/>
  <c r="Z110" i="4"/>
  <c r="M175" i="4"/>
  <c r="AA175" i="4"/>
  <c r="AB175" i="4"/>
  <c r="AF175" i="4"/>
  <c r="Z175" i="4"/>
  <c r="M146" i="4"/>
  <c r="AA146" i="4"/>
  <c r="AF146" i="4"/>
  <c r="AB146" i="4"/>
  <c r="Z146" i="4"/>
  <c r="M112" i="4"/>
  <c r="AA112" i="4"/>
  <c r="AF112" i="4"/>
  <c r="AB112" i="4"/>
  <c r="Z112" i="4"/>
  <c r="M37" i="4"/>
  <c r="AA37" i="4"/>
  <c r="AB37" i="4"/>
  <c r="AF37" i="4"/>
  <c r="AG37" i="4"/>
  <c r="AS37" i="4"/>
  <c r="Z37" i="4"/>
  <c r="M75" i="4"/>
  <c r="AA75" i="4"/>
  <c r="AF75" i="4"/>
  <c r="AG75" i="4"/>
  <c r="AS75" i="4"/>
  <c r="AB75" i="4"/>
  <c r="Z75" i="4"/>
  <c r="M91" i="4"/>
  <c r="AA91" i="4"/>
  <c r="AF91" i="4"/>
  <c r="AB91" i="4"/>
  <c r="Z91" i="4"/>
  <c r="M87" i="4"/>
  <c r="AA87" i="4"/>
  <c r="AB87" i="4"/>
  <c r="AF87" i="4"/>
  <c r="AG87" i="4"/>
  <c r="AS87" i="4"/>
  <c r="Z87" i="4"/>
  <c r="M81" i="4"/>
  <c r="AA81" i="4"/>
  <c r="AB81" i="4"/>
  <c r="AF81" i="4"/>
  <c r="AG81" i="4"/>
  <c r="AS81" i="4"/>
  <c r="Z81" i="4"/>
  <c r="M86" i="4"/>
  <c r="AA86" i="4"/>
  <c r="AF86" i="4"/>
  <c r="Z86" i="4"/>
  <c r="AB86" i="4"/>
  <c r="M98" i="4"/>
  <c r="AA98" i="4"/>
  <c r="AF98" i="4"/>
  <c r="AB98" i="4"/>
  <c r="Z98" i="4"/>
  <c r="M44" i="4"/>
  <c r="AA44" i="4"/>
  <c r="AB44" i="4"/>
  <c r="AF44" i="4"/>
  <c r="Z44" i="4"/>
  <c r="M50" i="4"/>
  <c r="AA50" i="4"/>
  <c r="AF50" i="4"/>
  <c r="AB50" i="4"/>
  <c r="Z50" i="4"/>
  <c r="M51" i="4"/>
  <c r="AA51" i="4"/>
  <c r="AB51" i="4"/>
  <c r="Z51" i="4"/>
  <c r="AF51" i="4"/>
  <c r="AG51" i="4"/>
  <c r="AS51" i="4"/>
  <c r="M99" i="4"/>
  <c r="AA99" i="4"/>
  <c r="AB99" i="4"/>
  <c r="AF99" i="4"/>
  <c r="AG99" i="4"/>
  <c r="AS99" i="4"/>
  <c r="Z99" i="4"/>
  <c r="M10" i="4"/>
  <c r="AA10" i="4"/>
  <c r="AF10" i="4"/>
  <c r="AG10" i="4"/>
  <c r="AS10" i="4"/>
  <c r="Z10" i="4"/>
  <c r="AB10" i="4"/>
  <c r="M58" i="4"/>
  <c r="AA58" i="4"/>
  <c r="AF58" i="4"/>
  <c r="AB58" i="4"/>
  <c r="Z58" i="4"/>
  <c r="M54" i="4"/>
  <c r="AA54" i="4"/>
  <c r="AF54" i="4"/>
  <c r="Z54" i="4"/>
  <c r="AB54" i="4"/>
  <c r="M90" i="4"/>
  <c r="AA90" i="4"/>
  <c r="AF90" i="4"/>
  <c r="AB90" i="4"/>
  <c r="Z90" i="4"/>
  <c r="M71" i="4"/>
  <c r="AA71" i="4"/>
  <c r="AB71" i="4"/>
  <c r="AF71" i="4"/>
  <c r="AG71" i="4"/>
  <c r="AS71" i="4"/>
  <c r="Z71" i="4"/>
  <c r="M46" i="4"/>
  <c r="AA46" i="4"/>
  <c r="AF46" i="4"/>
  <c r="AB46" i="4"/>
  <c r="Z46" i="4"/>
  <c r="M11" i="4"/>
  <c r="AA11" i="4"/>
  <c r="AF11" i="4"/>
  <c r="AB11" i="4"/>
  <c r="Z11" i="4"/>
  <c r="M62" i="4"/>
  <c r="AA62" i="4"/>
  <c r="AF62" i="4"/>
  <c r="AB62" i="4"/>
  <c r="Z62" i="4"/>
  <c r="M12" i="4"/>
  <c r="AA12" i="4"/>
  <c r="AB12" i="4"/>
  <c r="AF12" i="4"/>
  <c r="Z12" i="4"/>
  <c r="M41" i="4"/>
  <c r="AA41" i="4"/>
  <c r="AB41" i="4"/>
  <c r="Z41" i="4"/>
  <c r="AF41" i="4"/>
  <c r="M73" i="4"/>
  <c r="AA73" i="4"/>
  <c r="AB73" i="4"/>
  <c r="Z73" i="4"/>
  <c r="AF73" i="4"/>
  <c r="M64" i="4"/>
  <c r="AA64" i="4"/>
  <c r="AF64" i="4"/>
  <c r="Z64" i="4"/>
  <c r="AB64" i="4"/>
  <c r="M151" i="4"/>
  <c r="AA151" i="4"/>
  <c r="AF151" i="4"/>
  <c r="AB151" i="4"/>
  <c r="Z151" i="4"/>
  <c r="M152" i="4"/>
  <c r="AA152" i="4"/>
  <c r="AF152" i="4"/>
  <c r="AB152" i="4"/>
  <c r="Z152" i="4"/>
  <c r="M190" i="4"/>
  <c r="AA190" i="4"/>
  <c r="AF190" i="4"/>
  <c r="AB190" i="4"/>
  <c r="Z190" i="4"/>
  <c r="M182" i="4"/>
  <c r="AA182" i="4"/>
  <c r="AF182" i="4"/>
  <c r="AB182" i="4"/>
  <c r="Z182" i="4"/>
  <c r="M124" i="4"/>
  <c r="AA124" i="4"/>
  <c r="AB124" i="4"/>
  <c r="AF124" i="4"/>
  <c r="Z124" i="4"/>
  <c r="M133" i="4"/>
  <c r="AA133" i="4"/>
  <c r="AB133" i="4"/>
  <c r="AF133" i="4"/>
  <c r="Z133" i="4"/>
  <c r="M168" i="4"/>
  <c r="AA168" i="4"/>
  <c r="AB168" i="4"/>
  <c r="AF168" i="4"/>
  <c r="Z168" i="4"/>
  <c r="M167" i="4"/>
  <c r="AA167" i="4"/>
  <c r="AF167" i="4"/>
  <c r="AB167" i="4"/>
  <c r="Z167" i="4"/>
  <c r="M191" i="4"/>
  <c r="AA191" i="4"/>
  <c r="AB191" i="4"/>
  <c r="AF191" i="4"/>
  <c r="Z191" i="4"/>
  <c r="M144" i="4"/>
  <c r="AA144" i="4"/>
  <c r="AF144" i="4"/>
  <c r="AB144" i="4"/>
  <c r="Z144" i="4"/>
  <c r="M115" i="4"/>
  <c r="AA115" i="4"/>
  <c r="AB115" i="4"/>
  <c r="Z115" i="4"/>
  <c r="AF115" i="4"/>
  <c r="M195" i="4"/>
  <c r="AA195" i="4"/>
  <c r="AB195" i="4"/>
  <c r="AF195" i="4"/>
  <c r="Z195" i="4"/>
  <c r="M158" i="4"/>
  <c r="AA158" i="4"/>
  <c r="AF158" i="4"/>
  <c r="AB158" i="4"/>
  <c r="Z158" i="4"/>
  <c r="M162" i="4"/>
  <c r="AA162" i="4"/>
  <c r="AF162" i="4"/>
  <c r="AB162" i="4"/>
  <c r="Z162" i="4"/>
  <c r="M48" i="4"/>
  <c r="AA48" i="4"/>
  <c r="AF48" i="4"/>
  <c r="AB48" i="4"/>
  <c r="Z48" i="4"/>
  <c r="M203" i="4"/>
  <c r="AA203" i="4"/>
  <c r="AF203" i="4"/>
  <c r="AB203" i="4"/>
  <c r="Z203" i="4"/>
  <c r="X65" i="4"/>
  <c r="Y65" i="4"/>
  <c r="L65" i="4"/>
  <c r="AE23" i="4"/>
  <c r="AH23" i="4"/>
  <c r="AE60" i="4"/>
  <c r="AH60" i="4"/>
  <c r="AE31" i="4"/>
  <c r="AH31" i="4"/>
  <c r="AE9" i="4"/>
  <c r="AH9" i="4"/>
  <c r="AE26" i="4"/>
  <c r="AH26" i="4"/>
  <c r="AE80" i="4"/>
  <c r="AH80" i="4"/>
  <c r="AE100" i="4"/>
  <c r="AH100" i="4"/>
  <c r="AE41" i="4"/>
  <c r="AH41" i="4"/>
  <c r="AE18" i="4"/>
  <c r="AH18" i="4"/>
  <c r="AE105" i="4"/>
  <c r="AH105" i="4"/>
  <c r="AE35" i="4"/>
  <c r="AH35" i="4"/>
  <c r="AE24" i="4"/>
  <c r="AH24" i="4"/>
  <c r="AE69" i="4"/>
  <c r="AH69" i="4"/>
  <c r="AE57" i="4"/>
  <c r="AH57" i="4"/>
  <c r="AE54" i="4"/>
  <c r="AH54" i="4"/>
  <c r="AE82" i="4"/>
  <c r="AH82" i="4"/>
  <c r="AE104" i="4"/>
  <c r="AH104" i="4"/>
  <c r="AE48" i="4"/>
  <c r="AH48" i="4"/>
  <c r="AE47" i="4"/>
  <c r="AH47" i="4"/>
  <c r="AE25" i="4"/>
  <c r="AH25" i="4"/>
  <c r="AE109" i="4"/>
  <c r="AH109" i="4"/>
  <c r="AE62" i="4"/>
  <c r="AH62" i="4"/>
  <c r="AE59" i="4"/>
  <c r="AH59" i="4"/>
  <c r="AE50" i="4"/>
  <c r="AH50" i="4"/>
  <c r="AE76" i="4"/>
  <c r="AH76" i="4"/>
  <c r="AE36" i="4"/>
  <c r="AH36" i="4"/>
  <c r="AE93" i="4"/>
  <c r="AH93" i="4"/>
  <c r="AE40" i="4"/>
  <c r="AH40" i="4"/>
  <c r="AE17" i="4"/>
  <c r="AH17" i="4"/>
  <c r="AE106" i="4"/>
  <c r="AH106" i="4"/>
  <c r="AE44" i="4"/>
  <c r="AH44" i="4"/>
  <c r="AE11" i="4"/>
  <c r="AH11" i="4"/>
  <c r="AE43" i="4"/>
  <c r="AH43" i="4"/>
  <c r="AE97" i="4"/>
  <c r="AH97" i="4"/>
  <c r="AE98" i="4"/>
  <c r="AH98" i="4"/>
  <c r="AE84" i="4"/>
  <c r="AH84" i="4"/>
  <c r="AE67" i="4"/>
  <c r="AH67" i="4"/>
  <c r="AE49" i="4"/>
  <c r="AH49" i="4"/>
  <c r="AE102" i="4"/>
  <c r="AH102" i="4"/>
  <c r="AE61" i="4"/>
  <c r="AH61" i="4"/>
  <c r="AE39" i="4"/>
  <c r="AH39" i="4"/>
  <c r="AE14" i="4"/>
  <c r="AH14" i="4"/>
  <c r="AE64" i="4"/>
  <c r="AH64" i="4"/>
  <c r="AE77" i="4"/>
  <c r="AH77" i="4"/>
  <c r="AE85" i="4"/>
  <c r="AH85" i="4"/>
  <c r="AE79" i="4"/>
  <c r="AH79" i="4"/>
  <c r="AE38" i="4"/>
  <c r="AH38" i="4"/>
  <c r="AE86" i="4"/>
  <c r="AH86" i="4"/>
  <c r="AE53" i="4"/>
  <c r="AH53" i="4"/>
  <c r="AE94" i="4"/>
  <c r="AH94" i="4"/>
  <c r="AE58" i="4"/>
  <c r="AH58" i="4"/>
  <c r="AE96" i="4"/>
  <c r="AH96" i="4"/>
  <c r="AE20" i="4"/>
  <c r="AH20" i="4"/>
  <c r="AE83" i="4"/>
  <c r="AH83" i="4"/>
  <c r="AE74" i="4"/>
  <c r="AH74" i="4"/>
  <c r="AE91" i="4"/>
  <c r="AH91" i="4"/>
  <c r="AE103" i="4"/>
  <c r="AH103" i="4"/>
  <c r="AE66" i="4"/>
  <c r="AH66" i="4"/>
  <c r="AE13" i="4"/>
  <c r="AH13" i="4"/>
  <c r="AE46" i="4"/>
  <c r="AH46" i="4"/>
  <c r="AE70" i="4"/>
  <c r="AH70" i="4"/>
  <c r="AE78" i="4"/>
  <c r="AH78" i="4"/>
  <c r="AE34" i="4"/>
  <c r="AH34" i="4"/>
  <c r="AE90" i="4"/>
  <c r="AH90" i="4"/>
  <c r="AE63" i="4"/>
  <c r="AH63" i="4"/>
  <c r="AE73" i="4"/>
  <c r="AH73" i="4"/>
  <c r="AE19" i="4"/>
  <c r="AH19" i="4"/>
  <c r="AE68" i="4"/>
  <c r="AH68" i="4"/>
  <c r="AE12" i="4"/>
  <c r="AH12" i="4"/>
  <c r="AE45" i="4"/>
  <c r="AH45" i="4"/>
  <c r="B55" i="2"/>
  <c r="B64" i="2"/>
  <c r="B59" i="2"/>
  <c r="R22" i="8"/>
  <c r="S22" i="8"/>
  <c r="B60" i="2"/>
  <c r="C52" i="16"/>
  <c r="D52" i="16"/>
  <c r="A259" i="2"/>
  <c r="C57" i="16"/>
  <c r="D57" i="16"/>
  <c r="BM39" i="3"/>
  <c r="R9" i="8"/>
  <c r="S9" i="8"/>
  <c r="S30" i="8"/>
  <c r="C76" i="1"/>
  <c r="D76" i="1"/>
  <c r="BN14" i="3"/>
  <c r="B74" i="1"/>
  <c r="BM30" i="3"/>
  <c r="BM18" i="3"/>
  <c r="C225" i="2"/>
  <c r="B225" i="2"/>
  <c r="B226" i="2"/>
  <c r="C79" i="4"/>
  <c r="B79" i="4"/>
  <c r="B80" i="4"/>
  <c r="B70" i="4"/>
  <c r="BM29" i="3"/>
  <c r="B76" i="1"/>
  <c r="C3" i="8"/>
  <c r="C159" i="8"/>
  <c r="C158" i="8"/>
  <c r="C157" i="8"/>
  <c r="C156" i="8"/>
  <c r="C155" i="8"/>
  <c r="C154" i="8"/>
  <c r="C153" i="8"/>
  <c r="C152" i="8"/>
  <c r="C151" i="8"/>
  <c r="C150" i="8"/>
  <c r="C149" i="8"/>
  <c r="C148" i="8"/>
  <c r="C147" i="8"/>
  <c r="C146" i="8"/>
  <c r="C145" i="8"/>
  <c r="C144" i="8"/>
  <c r="C143" i="8"/>
  <c r="C142" i="8"/>
  <c r="C141" i="8"/>
  <c r="C140" i="8"/>
  <c r="C139" i="8"/>
  <c r="C138" i="8"/>
  <c r="C137" i="8"/>
  <c r="C136" i="8"/>
  <c r="C135" i="8"/>
  <c r="C134" i="8"/>
  <c r="C133" i="8"/>
  <c r="C132" i="8"/>
  <c r="C131" i="8"/>
  <c r="C130" i="8"/>
  <c r="C129" i="8"/>
  <c r="C128" i="8"/>
  <c r="C127" i="8"/>
  <c r="C126" i="8"/>
  <c r="C125" i="8"/>
  <c r="C124" i="8"/>
  <c r="C123" i="8"/>
  <c r="C122" i="8"/>
  <c r="C121" i="8"/>
  <c r="C120" i="8"/>
  <c r="C119" i="8"/>
  <c r="C118" i="8"/>
  <c r="C117" i="8"/>
  <c r="C116" i="8"/>
  <c r="C115" i="8"/>
  <c r="C114" i="8"/>
  <c r="C113" i="8"/>
  <c r="C112" i="8"/>
  <c r="C111" i="8"/>
  <c r="C110" i="8"/>
  <c r="C109" i="8"/>
  <c r="C108" i="8"/>
  <c r="C107" i="8"/>
  <c r="C106" i="8"/>
  <c r="C105" i="8"/>
  <c r="C104" i="8"/>
  <c r="C103" i="8"/>
  <c r="C102" i="8"/>
  <c r="C101" i="8"/>
  <c r="C100" i="8"/>
  <c r="C99" i="8"/>
  <c r="C98" i="8"/>
  <c r="C97" i="8"/>
  <c r="C96" i="8"/>
  <c r="C95" i="8"/>
  <c r="C94" i="8"/>
  <c r="C93" i="8"/>
  <c r="C92" i="8"/>
  <c r="C91" i="8"/>
  <c r="C90" i="8"/>
  <c r="C89" i="8"/>
  <c r="C88" i="8"/>
  <c r="C87" i="8"/>
  <c r="C86" i="8"/>
  <c r="C85" i="8"/>
  <c r="C84" i="8"/>
  <c r="C83" i="8"/>
  <c r="C82" i="8"/>
  <c r="C81" i="8"/>
  <c r="C80" i="8"/>
  <c r="C79" i="8"/>
  <c r="C78" i="8"/>
  <c r="C77" i="8"/>
  <c r="C76" i="8"/>
  <c r="C75" i="8"/>
  <c r="C74" i="8"/>
  <c r="C73" i="8"/>
  <c r="C72" i="8"/>
  <c r="C71" i="8"/>
  <c r="C70" i="8"/>
  <c r="C69" i="8"/>
  <c r="C68" i="8"/>
  <c r="C67" i="8"/>
  <c r="C66" i="8"/>
  <c r="C65" i="8"/>
  <c r="C64" i="8"/>
  <c r="C63" i="8"/>
  <c r="C62" i="8"/>
  <c r="C61" i="8"/>
  <c r="C60" i="8"/>
  <c r="C59" i="8"/>
  <c r="C58" i="8"/>
  <c r="C57" i="8"/>
  <c r="C56" i="8"/>
  <c r="C55" i="8"/>
  <c r="C54" i="8"/>
  <c r="C53" i="8"/>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4" i="8"/>
  <c r="S28" i="8"/>
  <c r="C74" i="1"/>
  <c r="D74" i="1"/>
  <c r="R27" i="8"/>
  <c r="BM33" i="3"/>
  <c r="BN37" i="3"/>
  <c r="BM23" i="3"/>
  <c r="BM26" i="3"/>
  <c r="BN9" i="3"/>
  <c r="AD65" i="4"/>
  <c r="U65" i="4"/>
  <c r="V65" i="4"/>
  <c r="W65" i="4"/>
  <c r="N65" i="4"/>
  <c r="O65" i="4"/>
  <c r="Q65" i="4"/>
  <c r="R65" i="4"/>
  <c r="S65" i="4"/>
  <c r="T65" i="4"/>
  <c r="AR40" i="3"/>
  <c r="B40" i="3"/>
  <c r="AQ40" i="3"/>
  <c r="A41" i="3"/>
  <c r="D40" i="3"/>
  <c r="C40" i="3"/>
  <c r="G40" i="3"/>
  <c r="H40" i="3"/>
  <c r="F40" i="3"/>
  <c r="BN39" i="3"/>
  <c r="AC139" i="4"/>
  <c r="AR139" i="4"/>
  <c r="AC132" i="4"/>
  <c r="AO132" i="4"/>
  <c r="AQ132" i="4"/>
  <c r="AU132" i="4"/>
  <c r="AC201" i="4"/>
  <c r="AO201" i="4"/>
  <c r="AQ201" i="4"/>
  <c r="AU201" i="4"/>
  <c r="AC184" i="4"/>
  <c r="AR184" i="4"/>
  <c r="AC192" i="4"/>
  <c r="AR192" i="4"/>
  <c r="AC166" i="4"/>
  <c r="AR166" i="4"/>
  <c r="AC170" i="4"/>
  <c r="AR170" i="4"/>
  <c r="AC121" i="4"/>
  <c r="AO121" i="4"/>
  <c r="AQ121" i="4"/>
  <c r="AU121" i="4"/>
  <c r="AC198" i="4"/>
  <c r="AO198" i="4"/>
  <c r="AQ198" i="4"/>
  <c r="AU198" i="4"/>
  <c r="AC125" i="4"/>
  <c r="AR125" i="4"/>
  <c r="AC154" i="4"/>
  <c r="AR154" i="4"/>
  <c r="AC138" i="4"/>
  <c r="AR138" i="4"/>
  <c r="AC186" i="4"/>
  <c r="AR186" i="4"/>
  <c r="AC183" i="4"/>
  <c r="AR183" i="4"/>
  <c r="AC200" i="4"/>
  <c r="AO200" i="4"/>
  <c r="AQ200" i="4"/>
  <c r="AU200" i="4"/>
  <c r="AC188" i="4"/>
  <c r="AR188" i="4"/>
  <c r="AC127" i="4"/>
  <c r="AO127" i="4"/>
  <c r="AQ127" i="4"/>
  <c r="AU127" i="4"/>
  <c r="AC208" i="4"/>
  <c r="AR208" i="4"/>
  <c r="AC141" i="4"/>
  <c r="AR141" i="4"/>
  <c r="AC118" i="4"/>
  <c r="AR118" i="4"/>
  <c r="AC134" i="4"/>
  <c r="AR134" i="4"/>
  <c r="AC150" i="4"/>
  <c r="AR150" i="4"/>
  <c r="AC179" i="4"/>
  <c r="AO179" i="4"/>
  <c r="AQ179" i="4"/>
  <c r="AU179" i="4"/>
  <c r="AC119" i="4"/>
  <c r="AR119" i="4"/>
  <c r="AG124" i="4"/>
  <c r="AS124" i="4"/>
  <c r="AG175" i="4"/>
  <c r="AS175" i="4"/>
  <c r="AG159" i="4"/>
  <c r="AS159" i="4"/>
  <c r="AG129" i="4"/>
  <c r="AS129" i="4"/>
  <c r="AC171" i="4"/>
  <c r="AO171" i="4"/>
  <c r="AQ171" i="4"/>
  <c r="AU171" i="4"/>
  <c r="AG195" i="4"/>
  <c r="AS195" i="4"/>
  <c r="AG117" i="4"/>
  <c r="AS117" i="4"/>
  <c r="AG153" i="4"/>
  <c r="AS153" i="4"/>
  <c r="AG143" i="4"/>
  <c r="AS143" i="4"/>
  <c r="AG196" i="4"/>
  <c r="AS196" i="4"/>
  <c r="AG131" i="4"/>
  <c r="AS131" i="4"/>
  <c r="AG181" i="4"/>
  <c r="AS181" i="4"/>
  <c r="AG209" i="4"/>
  <c r="AS209" i="4"/>
  <c r="AG165" i="4"/>
  <c r="AS165" i="4"/>
  <c r="AG130" i="4"/>
  <c r="AS130" i="4"/>
  <c r="AG185" i="4"/>
  <c r="AS185" i="4"/>
  <c r="AG142" i="4"/>
  <c r="AS142" i="4"/>
  <c r="AG122" i="4"/>
  <c r="AS122" i="4"/>
  <c r="AG164" i="4"/>
  <c r="AS164" i="4"/>
  <c r="AG173" i="4"/>
  <c r="AS173" i="4"/>
  <c r="AG174" i="4"/>
  <c r="AS174" i="4"/>
  <c r="AG152" i="4"/>
  <c r="AS152" i="4"/>
  <c r="AG146" i="4"/>
  <c r="AS146" i="4"/>
  <c r="AG110" i="4"/>
  <c r="AS110" i="4"/>
  <c r="AG123" i="4"/>
  <c r="AS123" i="4"/>
  <c r="AG163" i="4"/>
  <c r="AS163" i="4"/>
  <c r="AG162" i="4"/>
  <c r="AS162" i="4"/>
  <c r="AG197" i="4"/>
  <c r="AS197" i="4"/>
  <c r="AC147" i="4"/>
  <c r="AR147" i="4"/>
  <c r="AG133" i="4"/>
  <c r="AS133" i="4"/>
  <c r="AG120" i="4"/>
  <c r="AS120" i="4"/>
  <c r="AC196" i="4"/>
  <c r="AR196" i="4"/>
  <c r="AG140" i="4"/>
  <c r="AS140" i="4"/>
  <c r="AG135" i="4"/>
  <c r="AS135" i="4"/>
  <c r="AG167" i="4"/>
  <c r="AS167" i="4"/>
  <c r="AG182" i="4"/>
  <c r="AS182" i="4"/>
  <c r="AG190" i="4"/>
  <c r="AS190" i="4"/>
  <c r="AG112" i="4"/>
  <c r="AS112" i="4"/>
  <c r="AG160" i="4"/>
  <c r="AS160" i="4"/>
  <c r="AG207" i="4"/>
  <c r="AS207" i="4"/>
  <c r="AG113" i="4"/>
  <c r="AS113" i="4"/>
  <c r="AG189" i="4"/>
  <c r="AS189" i="4"/>
  <c r="AG203" i="4"/>
  <c r="AS203" i="4"/>
  <c r="AG158" i="4"/>
  <c r="AS158" i="4"/>
  <c r="AG156" i="4"/>
  <c r="AS156" i="4"/>
  <c r="AG114" i="4"/>
  <c r="AS114" i="4"/>
  <c r="AG148" i="4"/>
  <c r="AS148" i="4"/>
  <c r="AG147" i="4"/>
  <c r="AS147" i="4"/>
  <c r="AG115" i="4"/>
  <c r="AS115" i="4"/>
  <c r="AG191" i="4"/>
  <c r="AS191" i="4"/>
  <c r="AG168" i="4"/>
  <c r="AS168" i="4"/>
  <c r="AG180" i="4"/>
  <c r="AS180" i="4"/>
  <c r="AG137" i="4"/>
  <c r="AS137" i="4"/>
  <c r="AG169" i="4"/>
  <c r="AS169" i="4"/>
  <c r="AG116" i="4"/>
  <c r="AS116" i="4"/>
  <c r="AG157" i="4"/>
  <c r="AS157" i="4"/>
  <c r="AG206" i="4"/>
  <c r="AS206" i="4"/>
  <c r="AG136" i="4"/>
  <c r="AS136" i="4"/>
  <c r="AC204" i="4"/>
  <c r="AR204" i="4"/>
  <c r="AC178" i="4"/>
  <c r="AR178" i="4"/>
  <c r="AG178" i="4"/>
  <c r="AS178" i="4"/>
  <c r="AG144" i="4"/>
  <c r="AS144" i="4"/>
  <c r="AG151" i="4"/>
  <c r="AS151" i="4"/>
  <c r="AG202" i="4"/>
  <c r="AS202" i="4"/>
  <c r="AG126" i="4"/>
  <c r="AS126" i="4"/>
  <c r="AG172" i="4"/>
  <c r="AS172" i="4"/>
  <c r="AG145" i="4"/>
  <c r="AS145" i="4"/>
  <c r="AG176" i="4"/>
  <c r="AS176" i="4"/>
  <c r="AG194" i="4"/>
  <c r="AS194" i="4"/>
  <c r="AG149" i="4"/>
  <c r="AS149" i="4"/>
  <c r="AG128" i="4"/>
  <c r="AS128" i="4"/>
  <c r="AG161" i="4"/>
  <c r="AS161" i="4"/>
  <c r="AG177" i="4"/>
  <c r="AS177" i="4"/>
  <c r="AC205" i="4"/>
  <c r="AR205" i="4"/>
  <c r="AC189" i="4"/>
  <c r="AR189" i="4"/>
  <c r="AC187" i="4"/>
  <c r="AR187" i="4"/>
  <c r="AC193" i="4"/>
  <c r="AO193" i="4"/>
  <c r="AQ193" i="4"/>
  <c r="AU193" i="4"/>
  <c r="AC136" i="4"/>
  <c r="AC206" i="4"/>
  <c r="AR206" i="4"/>
  <c r="AC129" i="4"/>
  <c r="AC199" i="4"/>
  <c r="AR199" i="4"/>
  <c r="AC197" i="4"/>
  <c r="AR197" i="4"/>
  <c r="AG20" i="4"/>
  <c r="AS20" i="4"/>
  <c r="AG58" i="4"/>
  <c r="AS58" i="4"/>
  <c r="AG64" i="4"/>
  <c r="AS64" i="4"/>
  <c r="AG98" i="4"/>
  <c r="AS98" i="4"/>
  <c r="AG54" i="4"/>
  <c r="AS54" i="4"/>
  <c r="AG74" i="4"/>
  <c r="AS74" i="4"/>
  <c r="AG59" i="4"/>
  <c r="AS59" i="4"/>
  <c r="AC155" i="4"/>
  <c r="AR155" i="4"/>
  <c r="AG66" i="4"/>
  <c r="AS66" i="4"/>
  <c r="AG94" i="4"/>
  <c r="AS94" i="4"/>
  <c r="AG14" i="4"/>
  <c r="AS14" i="4"/>
  <c r="AG84" i="4"/>
  <c r="AS84" i="4"/>
  <c r="AG48" i="4"/>
  <c r="AS48" i="4"/>
  <c r="AG82" i="4"/>
  <c r="AS82" i="4"/>
  <c r="AG80" i="4"/>
  <c r="AS80" i="4"/>
  <c r="AG9" i="4"/>
  <c r="AS9" i="4"/>
  <c r="AC190" i="4"/>
  <c r="AR190" i="4"/>
  <c r="AC53" i="4"/>
  <c r="AR53" i="4"/>
  <c r="AC174" i="4"/>
  <c r="AR174" i="4"/>
  <c r="AG31" i="4"/>
  <c r="AS31" i="4"/>
  <c r="AG45" i="4"/>
  <c r="AS45" i="4"/>
  <c r="AG68" i="4"/>
  <c r="AS68" i="4"/>
  <c r="AG78" i="4"/>
  <c r="AS78" i="4"/>
  <c r="AG96" i="4"/>
  <c r="AS96" i="4"/>
  <c r="AG49" i="4"/>
  <c r="AS49" i="4"/>
  <c r="AG97" i="4"/>
  <c r="AS97" i="4"/>
  <c r="AG106" i="4"/>
  <c r="AS106" i="4"/>
  <c r="AG36" i="4"/>
  <c r="AS36" i="4"/>
  <c r="AG24" i="4"/>
  <c r="AS24" i="4"/>
  <c r="AG60" i="4"/>
  <c r="AS60" i="4"/>
  <c r="AC83" i="4"/>
  <c r="AR83" i="4"/>
  <c r="AC143" i="4"/>
  <c r="AC209" i="4"/>
  <c r="AR209" i="4"/>
  <c r="AC70" i="4"/>
  <c r="AR70" i="4"/>
  <c r="AC24" i="4"/>
  <c r="AR24" i="4"/>
  <c r="AC72" i="4"/>
  <c r="AR72" i="4"/>
  <c r="AC108" i="4"/>
  <c r="AR108" i="4"/>
  <c r="AC30" i="4"/>
  <c r="AR30" i="4"/>
  <c r="AC163" i="4"/>
  <c r="AR163" i="4"/>
  <c r="AC142" i="4"/>
  <c r="AR142" i="4"/>
  <c r="AC114" i="4"/>
  <c r="AR114" i="4"/>
  <c r="AC85" i="4"/>
  <c r="AR85" i="4"/>
  <c r="AC102" i="4"/>
  <c r="AR102" i="4"/>
  <c r="AC94" i="4"/>
  <c r="AR94" i="4"/>
  <c r="AC27" i="4"/>
  <c r="AR27" i="4"/>
  <c r="AC103" i="4"/>
  <c r="AR103" i="4"/>
  <c r="AG93" i="4"/>
  <c r="AS93" i="4"/>
  <c r="AC162" i="4"/>
  <c r="AR162" i="4"/>
  <c r="AC48" i="4"/>
  <c r="AR48" i="4"/>
  <c r="AC158" i="4"/>
  <c r="AC46" i="4"/>
  <c r="AR46" i="4"/>
  <c r="AC43" i="4"/>
  <c r="AR43" i="4"/>
  <c r="AG19" i="4"/>
  <c r="AS19" i="4"/>
  <c r="AG67" i="4"/>
  <c r="AS67" i="4"/>
  <c r="AG17" i="4"/>
  <c r="AG76" i="4"/>
  <c r="AS76" i="4"/>
  <c r="AG47" i="4"/>
  <c r="AS47" i="4"/>
  <c r="AC148" i="4"/>
  <c r="AR148" i="4"/>
  <c r="AG90" i="4"/>
  <c r="AS90" i="4"/>
  <c r="AG46" i="4"/>
  <c r="AS46" i="4"/>
  <c r="AG91" i="4"/>
  <c r="AS91" i="4"/>
  <c r="AC181" i="4"/>
  <c r="AR181" i="4"/>
  <c r="AC51" i="4"/>
  <c r="AR51" i="4"/>
  <c r="AG83" i="4"/>
  <c r="AS83" i="4"/>
  <c r="AG86" i="4"/>
  <c r="AS86" i="4"/>
  <c r="AG79" i="4"/>
  <c r="AS79" i="4"/>
  <c r="AG61" i="4"/>
  <c r="AS61" i="4"/>
  <c r="AG11" i="4"/>
  <c r="AS11" i="4"/>
  <c r="AG62" i="4"/>
  <c r="AS62" i="4"/>
  <c r="AG57" i="4"/>
  <c r="AS57" i="4"/>
  <c r="AG105" i="4"/>
  <c r="AS105" i="4"/>
  <c r="AC64" i="4"/>
  <c r="AR64" i="4"/>
  <c r="AC12" i="4"/>
  <c r="AR12" i="4"/>
  <c r="AC71" i="4"/>
  <c r="AR71" i="4"/>
  <c r="AC90" i="4"/>
  <c r="AR90" i="4"/>
  <c r="AC54" i="4"/>
  <c r="AR54" i="4"/>
  <c r="AC10" i="4"/>
  <c r="AR10" i="4"/>
  <c r="AC99" i="4"/>
  <c r="AR99" i="4"/>
  <c r="AC50" i="4"/>
  <c r="AR50" i="4"/>
  <c r="AC44" i="4"/>
  <c r="AR44" i="4"/>
  <c r="AC86" i="4"/>
  <c r="AR86" i="4"/>
  <c r="AC81" i="4"/>
  <c r="AR81" i="4"/>
  <c r="AC87" i="4"/>
  <c r="AR87" i="4"/>
  <c r="AC91" i="4"/>
  <c r="AR91" i="4"/>
  <c r="AC75" i="4"/>
  <c r="AR75" i="4"/>
  <c r="AC37" i="4"/>
  <c r="AR37" i="4"/>
  <c r="AC146" i="4"/>
  <c r="AR146" i="4"/>
  <c r="AC47" i="4"/>
  <c r="AR47" i="4"/>
  <c r="AC25" i="4"/>
  <c r="AR25" i="4"/>
  <c r="AC88" i="4"/>
  <c r="AR88" i="4"/>
  <c r="AC79" i="4"/>
  <c r="AC40" i="4"/>
  <c r="AR40" i="4"/>
  <c r="AC17" i="4"/>
  <c r="AR17" i="4"/>
  <c r="AC19" i="4"/>
  <c r="AR19" i="4"/>
  <c r="AC77" i="4"/>
  <c r="AR77" i="4"/>
  <c r="AC16" i="4"/>
  <c r="AR16" i="4"/>
  <c r="AC105" i="4"/>
  <c r="AR105" i="4"/>
  <c r="AC89" i="4"/>
  <c r="AR89" i="4"/>
  <c r="AC76" i="4"/>
  <c r="AR76" i="4"/>
  <c r="AC96" i="4"/>
  <c r="AR96" i="4"/>
  <c r="AC55" i="4"/>
  <c r="AR55" i="4"/>
  <c r="AC135" i="4"/>
  <c r="AR135" i="4"/>
  <c r="AC160" i="4"/>
  <c r="AR160" i="4"/>
  <c r="AC59" i="4"/>
  <c r="AR59" i="4"/>
  <c r="AC78" i="4"/>
  <c r="AR78" i="4"/>
  <c r="AC67" i="4"/>
  <c r="AR67" i="4"/>
  <c r="AC101" i="4"/>
  <c r="AR101" i="4"/>
  <c r="AC61" i="4"/>
  <c r="AR61" i="4"/>
  <c r="AC42" i="4"/>
  <c r="AO42" i="4"/>
  <c r="AQ42" i="4"/>
  <c r="AU42" i="4"/>
  <c r="AC52" i="4"/>
  <c r="AR52" i="4"/>
  <c r="AC107" i="4"/>
  <c r="AR107" i="4"/>
  <c r="AC22" i="4"/>
  <c r="AR22" i="4"/>
  <c r="AC57" i="4"/>
  <c r="AR57" i="4"/>
  <c r="AC117" i="4"/>
  <c r="AR117" i="4"/>
  <c r="AC23" i="4"/>
  <c r="AR23" i="4"/>
  <c r="AC35" i="4"/>
  <c r="AR35" i="4"/>
  <c r="AC33" i="4"/>
  <c r="AR33" i="4"/>
  <c r="AC29" i="4"/>
  <c r="AR29" i="4"/>
  <c r="AC60" i="4"/>
  <c r="AR60" i="4"/>
  <c r="AC13" i="4"/>
  <c r="AR13" i="4"/>
  <c r="AC45" i="4"/>
  <c r="AR45" i="4"/>
  <c r="AC63" i="4"/>
  <c r="AR63" i="4"/>
  <c r="AC92" i="4"/>
  <c r="AR92" i="4"/>
  <c r="AC69" i="4"/>
  <c r="AR69" i="4"/>
  <c r="AC39" i="4"/>
  <c r="AR39" i="4"/>
  <c r="AC93" i="4"/>
  <c r="AR93" i="4"/>
  <c r="AC28" i="4"/>
  <c r="AR28" i="4"/>
  <c r="AC36" i="4"/>
  <c r="AR36" i="4"/>
  <c r="AG77" i="4"/>
  <c r="AS77" i="4"/>
  <c r="AG40" i="4"/>
  <c r="AS40" i="4"/>
  <c r="AG50" i="4"/>
  <c r="AS50" i="4"/>
  <c r="AG25" i="4"/>
  <c r="AS25" i="4"/>
  <c r="AC175" i="4"/>
  <c r="AC15" i="4"/>
  <c r="AR15" i="4"/>
  <c r="AG73" i="4"/>
  <c r="AS73" i="4"/>
  <c r="AG41" i="4"/>
  <c r="AS41" i="4"/>
  <c r="AC176" i="4"/>
  <c r="AR176" i="4"/>
  <c r="AC82" i="4"/>
  <c r="AR82" i="4"/>
  <c r="AC26" i="4"/>
  <c r="AR26" i="4"/>
  <c r="AC31" i="4"/>
  <c r="AR31" i="4"/>
  <c r="AC14" i="4"/>
  <c r="AR14" i="4"/>
  <c r="AC18" i="4"/>
  <c r="AR18" i="4"/>
  <c r="AC38" i="4"/>
  <c r="AR38" i="4"/>
  <c r="AC34" i="4"/>
  <c r="AR34" i="4"/>
  <c r="AC80" i="4"/>
  <c r="AR80" i="4"/>
  <c r="AC156" i="4"/>
  <c r="AR156" i="4"/>
  <c r="AC149" i="4"/>
  <c r="AC32" i="4"/>
  <c r="AR32" i="4"/>
  <c r="AC66" i="4"/>
  <c r="AR66" i="4"/>
  <c r="AC84" i="4"/>
  <c r="AR84" i="4"/>
  <c r="AC95" i="4"/>
  <c r="AR95" i="4"/>
  <c r="AC73" i="4"/>
  <c r="AR73" i="4"/>
  <c r="AC62" i="4"/>
  <c r="AR62" i="4"/>
  <c r="AC112" i="4"/>
  <c r="AR112" i="4"/>
  <c r="AC74" i="4"/>
  <c r="AR74" i="4"/>
  <c r="AC106" i="4"/>
  <c r="AR106" i="4"/>
  <c r="AG102" i="4"/>
  <c r="AS102" i="4"/>
  <c r="AC195" i="4"/>
  <c r="AR195" i="4"/>
  <c r="AC144" i="4"/>
  <c r="AR144" i="4"/>
  <c r="AC41" i="4"/>
  <c r="AR41" i="4"/>
  <c r="AC11" i="4"/>
  <c r="AR11" i="4"/>
  <c r="AC58" i="4"/>
  <c r="AR58" i="4"/>
  <c r="AC98" i="4"/>
  <c r="AR98" i="4"/>
  <c r="AC20" i="4"/>
  <c r="AR20" i="4"/>
  <c r="AC180" i="4"/>
  <c r="AR180" i="4"/>
  <c r="AC203" i="4"/>
  <c r="AR203" i="4"/>
  <c r="AC100" i="4"/>
  <c r="AR100" i="4"/>
  <c r="AC49" i="4"/>
  <c r="AR49" i="4"/>
  <c r="AC9" i="4"/>
  <c r="AR9" i="4"/>
  <c r="AC104" i="4"/>
  <c r="AR104" i="4"/>
  <c r="AC56" i="4"/>
  <c r="AR56" i="4"/>
  <c r="AC97" i="4"/>
  <c r="AR97" i="4"/>
  <c r="AC109" i="4"/>
  <c r="AR109" i="4"/>
  <c r="AC68" i="4"/>
  <c r="AR68" i="4"/>
  <c r="AC21" i="4"/>
  <c r="AR21" i="4"/>
  <c r="AG12" i="4"/>
  <c r="AS12" i="4"/>
  <c r="AG63" i="4"/>
  <c r="AS63" i="4"/>
  <c r="AG34" i="4"/>
  <c r="AS34" i="4"/>
  <c r="AG70" i="4"/>
  <c r="AS70" i="4"/>
  <c r="AG13" i="4"/>
  <c r="AS13" i="4"/>
  <c r="AG103" i="4"/>
  <c r="AS103" i="4"/>
  <c r="AG53" i="4"/>
  <c r="AS53" i="4"/>
  <c r="AG38" i="4"/>
  <c r="AS38" i="4"/>
  <c r="AG85" i="4"/>
  <c r="AS85" i="4"/>
  <c r="AG39" i="4"/>
  <c r="AS39" i="4"/>
  <c r="AG43" i="4"/>
  <c r="AS43" i="4"/>
  <c r="AG44" i="4"/>
  <c r="AS44" i="4"/>
  <c r="AG109" i="4"/>
  <c r="AS109" i="4"/>
  <c r="AG104" i="4"/>
  <c r="AS104" i="4"/>
  <c r="AG69" i="4"/>
  <c r="AS69" i="4"/>
  <c r="AG35" i="4"/>
  <c r="AS35" i="4"/>
  <c r="AG18" i="4"/>
  <c r="AS18" i="4"/>
  <c r="AG100" i="4"/>
  <c r="AS100" i="4"/>
  <c r="AG26" i="4"/>
  <c r="AS26" i="4"/>
  <c r="AG23" i="4"/>
  <c r="AS23" i="4"/>
  <c r="M65" i="4"/>
  <c r="AA65" i="4"/>
  <c r="AB65" i="4"/>
  <c r="AF65" i="4"/>
  <c r="Z65" i="4"/>
  <c r="AO139" i="4"/>
  <c r="AQ139" i="4"/>
  <c r="AU139" i="4"/>
  <c r="AC145" i="4"/>
  <c r="AR145" i="4"/>
  <c r="AR132" i="4"/>
  <c r="AC133" i="4"/>
  <c r="AR133" i="4"/>
  <c r="AC110" i="4"/>
  <c r="AR110" i="4"/>
  <c r="AC191" i="4"/>
  <c r="AR191" i="4"/>
  <c r="AC159" i="4"/>
  <c r="AC164" i="4"/>
  <c r="AC152" i="4"/>
  <c r="AC177" i="4"/>
  <c r="AR177" i="4"/>
  <c r="AC128" i="4"/>
  <c r="AR128" i="4"/>
  <c r="AC167" i="4"/>
  <c r="AC173" i="4"/>
  <c r="AR173" i="4"/>
  <c r="AC120" i="4"/>
  <c r="AC153" i="4"/>
  <c r="AR153" i="4"/>
  <c r="AC137" i="4"/>
  <c r="AC172" i="4"/>
  <c r="AR172" i="4"/>
  <c r="AC131" i="4"/>
  <c r="AC185" i="4"/>
  <c r="AC116" i="4"/>
  <c r="AR116" i="4"/>
  <c r="AC124" i="4"/>
  <c r="AR124" i="4"/>
  <c r="AC122" i="4"/>
  <c r="AR122" i="4"/>
  <c r="AC151" i="4"/>
  <c r="AR151" i="4"/>
  <c r="AC207" i="4"/>
  <c r="AR207" i="4"/>
  <c r="AC115" i="4"/>
  <c r="AR115" i="4"/>
  <c r="AC157" i="4"/>
  <c r="AR157" i="4"/>
  <c r="AC169" i="4"/>
  <c r="AR169" i="4"/>
  <c r="AC182" i="4"/>
  <c r="AR182" i="4"/>
  <c r="AC202" i="4"/>
  <c r="AC123" i="4"/>
  <c r="AC140" i="4"/>
  <c r="AR140" i="4"/>
  <c r="AC113" i="4"/>
  <c r="AC130" i="4"/>
  <c r="AC126" i="4"/>
  <c r="AC161" i="4"/>
  <c r="AC165" i="4"/>
  <c r="AR111" i="4"/>
  <c r="AO111" i="4"/>
  <c r="AQ111" i="4"/>
  <c r="AU111" i="4"/>
  <c r="AC168" i="4"/>
  <c r="AC194" i="4"/>
  <c r="A265" i="2"/>
  <c r="AE65" i="4"/>
  <c r="AH65" i="4"/>
  <c r="R6" i="8"/>
  <c r="R5" i="8"/>
  <c r="S5" i="8"/>
  <c r="B265" i="2"/>
  <c r="C265" i="2"/>
  <c r="BM40" i="3"/>
  <c r="C53" i="16"/>
  <c r="D53" i="16"/>
  <c r="B139" i="2"/>
  <c r="A253" i="2"/>
  <c r="C39" i="16"/>
  <c r="D39" i="16"/>
  <c r="A237" i="2"/>
  <c r="B237" i="2"/>
  <c r="B142" i="2"/>
  <c r="A256" i="2"/>
  <c r="B77" i="1"/>
  <c r="E3" i="8"/>
  <c r="E159" i="8"/>
  <c r="E158" i="8"/>
  <c r="E157" i="8"/>
  <c r="E156" i="8"/>
  <c r="E155" i="8"/>
  <c r="E154" i="8"/>
  <c r="E153" i="8"/>
  <c r="E152" i="8"/>
  <c r="E151" i="8"/>
  <c r="E150" i="8"/>
  <c r="E149" i="8"/>
  <c r="E148" i="8"/>
  <c r="E147" i="8"/>
  <c r="E146" i="8"/>
  <c r="E145" i="8"/>
  <c r="E144" i="8"/>
  <c r="E143" i="8"/>
  <c r="E142" i="8"/>
  <c r="E141" i="8"/>
  <c r="E140" i="8"/>
  <c r="E139" i="8"/>
  <c r="E138" i="8"/>
  <c r="E137" i="8"/>
  <c r="E136" i="8"/>
  <c r="E135" i="8"/>
  <c r="E134" i="8"/>
  <c r="E133" i="8"/>
  <c r="E132" i="8"/>
  <c r="E131" i="8"/>
  <c r="E130" i="8"/>
  <c r="E129" i="8"/>
  <c r="E128" i="8"/>
  <c r="E127" i="8"/>
  <c r="E126" i="8"/>
  <c r="E125" i="8"/>
  <c r="E124" i="8"/>
  <c r="E123" i="8"/>
  <c r="E122" i="8"/>
  <c r="E121" i="8"/>
  <c r="E120" i="8"/>
  <c r="E119" i="8"/>
  <c r="E118" i="8"/>
  <c r="E117" i="8"/>
  <c r="E116" i="8"/>
  <c r="E115" i="8"/>
  <c r="E114" i="8"/>
  <c r="E113" i="8"/>
  <c r="E112" i="8"/>
  <c r="E111" i="8"/>
  <c r="E110" i="8"/>
  <c r="E109" i="8"/>
  <c r="E108" i="8"/>
  <c r="E107" i="8"/>
  <c r="E106" i="8"/>
  <c r="E105" i="8"/>
  <c r="E104" i="8"/>
  <c r="E103" i="8"/>
  <c r="E102" i="8"/>
  <c r="E101" i="8"/>
  <c r="E100" i="8"/>
  <c r="E99" i="8"/>
  <c r="E98" i="8"/>
  <c r="E97" i="8"/>
  <c r="E96" i="8"/>
  <c r="E95" i="8"/>
  <c r="E94" i="8"/>
  <c r="E93" i="8"/>
  <c r="E92" i="8"/>
  <c r="E91" i="8"/>
  <c r="E90" i="8"/>
  <c r="E89" i="8"/>
  <c r="E88" i="8"/>
  <c r="E87" i="8"/>
  <c r="E86" i="8"/>
  <c r="E85" i="8"/>
  <c r="E84" i="8"/>
  <c r="E83" i="8"/>
  <c r="E82" i="8"/>
  <c r="E81" i="8"/>
  <c r="E80" i="8"/>
  <c r="E79" i="8"/>
  <c r="E78" i="8"/>
  <c r="E77" i="8"/>
  <c r="E76" i="8"/>
  <c r="E75" i="8"/>
  <c r="E74" i="8"/>
  <c r="E73" i="8"/>
  <c r="E72" i="8"/>
  <c r="E71" i="8"/>
  <c r="E70" i="8"/>
  <c r="E69" i="8"/>
  <c r="E68" i="8"/>
  <c r="E67" i="8"/>
  <c r="E66" i="8"/>
  <c r="E65" i="8"/>
  <c r="E64" i="8"/>
  <c r="E63" i="8"/>
  <c r="E62" i="8"/>
  <c r="E61" i="8"/>
  <c r="E60" i="8"/>
  <c r="E59" i="8"/>
  <c r="E58" i="8"/>
  <c r="E57" i="8"/>
  <c r="E56" i="8"/>
  <c r="E55" i="8"/>
  <c r="E54" i="8"/>
  <c r="E53" i="8"/>
  <c r="E52" i="8"/>
  <c r="E51" i="8"/>
  <c r="E50" i="8"/>
  <c r="E49" i="8"/>
  <c r="E48"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E9" i="8"/>
  <c r="E8" i="8"/>
  <c r="E7" i="8"/>
  <c r="E6" i="8"/>
  <c r="E4" i="8"/>
  <c r="S31" i="8"/>
  <c r="C77" i="1"/>
  <c r="D77" i="1"/>
  <c r="B75" i="1"/>
  <c r="D3" i="8"/>
  <c r="D159" i="8"/>
  <c r="D158" i="8"/>
  <c r="D157" i="8"/>
  <c r="D156" i="8"/>
  <c r="D155" i="8"/>
  <c r="D154" i="8"/>
  <c r="D153" i="8"/>
  <c r="D152" i="8"/>
  <c r="D151" i="8"/>
  <c r="D150" i="8"/>
  <c r="D149" i="8"/>
  <c r="D148" i="8"/>
  <c r="D147" i="8"/>
  <c r="D146" i="8"/>
  <c r="D145" i="8"/>
  <c r="D144" i="8"/>
  <c r="D143" i="8"/>
  <c r="D142" i="8"/>
  <c r="D141" i="8"/>
  <c r="D140" i="8"/>
  <c r="D139" i="8"/>
  <c r="D138" i="8"/>
  <c r="D137" i="8"/>
  <c r="D136" i="8"/>
  <c r="D135" i="8"/>
  <c r="D134" i="8"/>
  <c r="D133" i="8"/>
  <c r="D132" i="8"/>
  <c r="D131" i="8"/>
  <c r="D130" i="8"/>
  <c r="D129" i="8"/>
  <c r="D128" i="8"/>
  <c r="D127" i="8"/>
  <c r="D126" i="8"/>
  <c r="D125" i="8"/>
  <c r="D124" i="8"/>
  <c r="D123" i="8"/>
  <c r="D122" i="8"/>
  <c r="D121" i="8"/>
  <c r="D120" i="8"/>
  <c r="D119" i="8"/>
  <c r="D118" i="8"/>
  <c r="D117" i="8"/>
  <c r="D116" i="8"/>
  <c r="D115" i="8"/>
  <c r="D114" i="8"/>
  <c r="D113" i="8"/>
  <c r="D112" i="8"/>
  <c r="D111" i="8"/>
  <c r="D110" i="8"/>
  <c r="D109" i="8"/>
  <c r="D108" i="8"/>
  <c r="D107" i="8"/>
  <c r="D106" i="8"/>
  <c r="D105" i="8"/>
  <c r="D104" i="8"/>
  <c r="D103" i="8"/>
  <c r="D102" i="8"/>
  <c r="D101" i="8"/>
  <c r="D100" i="8"/>
  <c r="D99" i="8"/>
  <c r="D98" i="8"/>
  <c r="D97" i="8"/>
  <c r="D96" i="8"/>
  <c r="D95" i="8"/>
  <c r="D94" i="8"/>
  <c r="D93" i="8"/>
  <c r="D92" i="8"/>
  <c r="D91" i="8"/>
  <c r="D90" i="8"/>
  <c r="D89" i="8"/>
  <c r="D88" i="8"/>
  <c r="D87" i="8"/>
  <c r="D86" i="8"/>
  <c r="D85" i="8"/>
  <c r="D84" i="8"/>
  <c r="D83" i="8"/>
  <c r="D82" i="8"/>
  <c r="D81" i="8"/>
  <c r="D80" i="8"/>
  <c r="D79" i="8"/>
  <c r="D78" i="8"/>
  <c r="D77" i="8"/>
  <c r="D76" i="8"/>
  <c r="D75" i="8"/>
  <c r="D74" i="8"/>
  <c r="D73" i="8"/>
  <c r="D72" i="8"/>
  <c r="D71" i="8"/>
  <c r="D70" i="8"/>
  <c r="D69" i="8"/>
  <c r="D68" i="8"/>
  <c r="D67" i="8"/>
  <c r="D66" i="8"/>
  <c r="D65" i="8"/>
  <c r="D64" i="8"/>
  <c r="D63" i="8"/>
  <c r="D62" i="8"/>
  <c r="D61" i="8"/>
  <c r="D60" i="8"/>
  <c r="D59" i="8"/>
  <c r="D58" i="8"/>
  <c r="D57" i="8"/>
  <c r="D56" i="8"/>
  <c r="D55" i="8"/>
  <c r="D54" i="8"/>
  <c r="D53" i="8"/>
  <c r="D52" i="8"/>
  <c r="D51" i="8"/>
  <c r="D50" i="8"/>
  <c r="D49" i="8"/>
  <c r="D48" i="8"/>
  <c r="D47" i="8"/>
  <c r="D46" i="8"/>
  <c r="D45" i="8"/>
  <c r="D44" i="8"/>
  <c r="D43" i="8"/>
  <c r="D42" i="8"/>
  <c r="D41" i="8"/>
  <c r="D40" i="8"/>
  <c r="D39" i="8"/>
  <c r="D38" i="8"/>
  <c r="D37" i="8"/>
  <c r="D36" i="8"/>
  <c r="D35" i="8"/>
  <c r="D34" i="8"/>
  <c r="D33" i="8"/>
  <c r="D32" i="8"/>
  <c r="D31" i="8"/>
  <c r="D30" i="8"/>
  <c r="D29" i="8"/>
  <c r="D28" i="8"/>
  <c r="D27" i="8"/>
  <c r="D26" i="8"/>
  <c r="D25" i="8"/>
  <c r="D24" i="8"/>
  <c r="D23" i="8"/>
  <c r="D22" i="8"/>
  <c r="D21" i="8"/>
  <c r="D20" i="8"/>
  <c r="D19" i="8"/>
  <c r="D18" i="8"/>
  <c r="D17" i="8"/>
  <c r="D16" i="8"/>
  <c r="D15" i="8"/>
  <c r="D14" i="8"/>
  <c r="D13" i="8"/>
  <c r="D12" i="8"/>
  <c r="D11" i="8"/>
  <c r="D10" i="8"/>
  <c r="D9" i="8"/>
  <c r="D8" i="8"/>
  <c r="D7" i="8"/>
  <c r="D6" i="8"/>
  <c r="D4" i="8"/>
  <c r="S29" i="8"/>
  <c r="C75" i="1"/>
  <c r="D75" i="1"/>
  <c r="R30" i="8"/>
  <c r="R28" i="8"/>
  <c r="AQ41" i="3"/>
  <c r="AR41" i="3"/>
  <c r="A42" i="3"/>
  <c r="B41" i="3"/>
  <c r="D41" i="3"/>
  <c r="C41" i="3"/>
  <c r="G41" i="3"/>
  <c r="H41" i="3"/>
  <c r="F41" i="3"/>
  <c r="BN40" i="3"/>
  <c r="AO136" i="4"/>
  <c r="AQ136" i="4"/>
  <c r="AU136" i="4"/>
  <c r="AO184" i="4"/>
  <c r="AQ184" i="4"/>
  <c r="AU184" i="4"/>
  <c r="AR201" i="4"/>
  <c r="AO166" i="4"/>
  <c r="AQ166" i="4"/>
  <c r="AU166" i="4"/>
  <c r="AO149" i="4"/>
  <c r="AQ149" i="4"/>
  <c r="AU149" i="4"/>
  <c r="AO192" i="4"/>
  <c r="AQ192" i="4"/>
  <c r="AU192" i="4"/>
  <c r="AR121" i="4"/>
  <c r="AO170" i="4"/>
  <c r="AQ170" i="4"/>
  <c r="AU170" i="4"/>
  <c r="AR198" i="4"/>
  <c r="AO125" i="4"/>
  <c r="AQ125" i="4"/>
  <c r="AU125" i="4"/>
  <c r="AO186" i="4"/>
  <c r="AQ186" i="4"/>
  <c r="AU186" i="4"/>
  <c r="AO138" i="4"/>
  <c r="AQ138" i="4"/>
  <c r="AU138" i="4"/>
  <c r="AO188" i="4"/>
  <c r="AQ188" i="4"/>
  <c r="AU188" i="4"/>
  <c r="AO154" i="4"/>
  <c r="AQ154" i="4"/>
  <c r="AU154" i="4"/>
  <c r="AO183" i="4"/>
  <c r="AQ183" i="4"/>
  <c r="AU183" i="4"/>
  <c r="AR200" i="4"/>
  <c r="AO141" i="4"/>
  <c r="AQ141" i="4"/>
  <c r="AU141" i="4"/>
  <c r="AR127" i="4"/>
  <c r="AO150" i="4"/>
  <c r="AQ150" i="4"/>
  <c r="AU150" i="4"/>
  <c r="AO208" i="4"/>
  <c r="AQ208" i="4"/>
  <c r="AU208" i="4"/>
  <c r="AO118" i="4"/>
  <c r="AQ118" i="4"/>
  <c r="AU118" i="4"/>
  <c r="AO134" i="4"/>
  <c r="AQ134" i="4"/>
  <c r="AU134" i="4"/>
  <c r="AR179" i="4"/>
  <c r="AO119" i="4"/>
  <c r="AQ119" i="4"/>
  <c r="AU119" i="4"/>
  <c r="AO175" i="4"/>
  <c r="AQ175" i="4"/>
  <c r="AU175" i="4"/>
  <c r="AO129" i="4"/>
  <c r="AQ129" i="4"/>
  <c r="AU129" i="4"/>
  <c r="AO131" i="4"/>
  <c r="AQ131" i="4"/>
  <c r="AU131" i="4"/>
  <c r="AO202" i="4"/>
  <c r="AQ202" i="4"/>
  <c r="AU202" i="4"/>
  <c r="AO185" i="4"/>
  <c r="AQ185" i="4"/>
  <c r="AU185" i="4"/>
  <c r="AR171" i="4"/>
  <c r="AO164" i="4"/>
  <c r="AQ164" i="4"/>
  <c r="AU164" i="4"/>
  <c r="AO205" i="4"/>
  <c r="AQ205" i="4"/>
  <c r="AU205" i="4"/>
  <c r="AO152" i="4"/>
  <c r="AQ152" i="4"/>
  <c r="AU152" i="4"/>
  <c r="AO137" i="4"/>
  <c r="AQ137" i="4"/>
  <c r="AU137" i="4"/>
  <c r="AO196" i="4"/>
  <c r="AQ196" i="4"/>
  <c r="AU196" i="4"/>
  <c r="AO143" i="4"/>
  <c r="AQ143" i="4"/>
  <c r="AU143" i="4"/>
  <c r="AO204" i="4"/>
  <c r="AQ204" i="4"/>
  <c r="AU204" i="4"/>
  <c r="AO167" i="4"/>
  <c r="AQ167" i="4"/>
  <c r="AU167" i="4"/>
  <c r="AO120" i="4"/>
  <c r="AQ120" i="4"/>
  <c r="AU120" i="4"/>
  <c r="AO189" i="4"/>
  <c r="AQ189" i="4"/>
  <c r="AU189" i="4"/>
  <c r="AO147" i="4"/>
  <c r="AQ147" i="4"/>
  <c r="AU147" i="4"/>
  <c r="AO187" i="4"/>
  <c r="AQ187" i="4"/>
  <c r="AU187" i="4"/>
  <c r="AO160" i="4"/>
  <c r="AQ160" i="4"/>
  <c r="AU160" i="4"/>
  <c r="AO158" i="4"/>
  <c r="AQ158" i="4"/>
  <c r="AU158" i="4"/>
  <c r="AR136" i="4"/>
  <c r="AR193" i="4"/>
  <c r="AO178" i="4"/>
  <c r="AQ178" i="4"/>
  <c r="AU178" i="4"/>
  <c r="AO197" i="4"/>
  <c r="AQ197" i="4"/>
  <c r="AU197" i="4"/>
  <c r="AO199" i="4"/>
  <c r="AQ199" i="4"/>
  <c r="AU199" i="4"/>
  <c r="AR129" i="4"/>
  <c r="AO206" i="4"/>
  <c r="AQ206" i="4"/>
  <c r="AU206" i="4"/>
  <c r="AO142" i="4"/>
  <c r="AQ142" i="4"/>
  <c r="AU142" i="4"/>
  <c r="AO22" i="4"/>
  <c r="AQ22" i="4"/>
  <c r="AU22" i="4"/>
  <c r="AR143" i="4"/>
  <c r="AO162" i="4"/>
  <c r="AQ162" i="4"/>
  <c r="AU162" i="4"/>
  <c r="AO41" i="4"/>
  <c r="AQ41" i="4"/>
  <c r="AU41" i="4"/>
  <c r="AO36" i="4"/>
  <c r="AQ36" i="4"/>
  <c r="AU36" i="4"/>
  <c r="AO72" i="4"/>
  <c r="AQ72" i="4"/>
  <c r="AU72" i="4"/>
  <c r="AR175" i="4"/>
  <c r="AO97" i="4"/>
  <c r="AQ97" i="4"/>
  <c r="AU97" i="4"/>
  <c r="AO92" i="4"/>
  <c r="AQ92" i="4"/>
  <c r="AU92" i="4"/>
  <c r="AO146" i="4"/>
  <c r="AQ146" i="4"/>
  <c r="AU146" i="4"/>
  <c r="AO163" i="4"/>
  <c r="AQ163" i="4"/>
  <c r="AU163" i="4"/>
  <c r="AO73" i="4"/>
  <c r="AQ73" i="4"/>
  <c r="AU73" i="4"/>
  <c r="AO51" i="4"/>
  <c r="AQ51" i="4"/>
  <c r="AU51" i="4"/>
  <c r="AO107" i="4"/>
  <c r="AQ107" i="4"/>
  <c r="AU107" i="4"/>
  <c r="AO155" i="4"/>
  <c r="AQ155" i="4"/>
  <c r="AU155" i="4"/>
  <c r="AO174" i="4"/>
  <c r="AQ174" i="4"/>
  <c r="AU174" i="4"/>
  <c r="AO35" i="4"/>
  <c r="AQ35" i="4"/>
  <c r="AU35" i="4"/>
  <c r="AO78" i="4"/>
  <c r="AQ78" i="4"/>
  <c r="AU78" i="4"/>
  <c r="AO50" i="4"/>
  <c r="AQ50" i="4"/>
  <c r="AU50" i="4"/>
  <c r="AO34" i="4"/>
  <c r="AQ34" i="4"/>
  <c r="AU34" i="4"/>
  <c r="AO30" i="4"/>
  <c r="AQ30" i="4"/>
  <c r="AU30" i="4"/>
  <c r="AO181" i="4"/>
  <c r="AQ181" i="4"/>
  <c r="AU181" i="4"/>
  <c r="AO81" i="4"/>
  <c r="AQ81" i="4"/>
  <c r="AU81" i="4"/>
  <c r="AO117" i="4"/>
  <c r="AQ117" i="4"/>
  <c r="AU117" i="4"/>
  <c r="AO52" i="4"/>
  <c r="AQ52" i="4"/>
  <c r="AU52" i="4"/>
  <c r="AO67" i="4"/>
  <c r="AQ67" i="4"/>
  <c r="AU67" i="4"/>
  <c r="AO91" i="4"/>
  <c r="AQ91" i="4"/>
  <c r="AU91" i="4"/>
  <c r="AO49" i="4"/>
  <c r="AQ49" i="4"/>
  <c r="AU49" i="4"/>
  <c r="AO191" i="4"/>
  <c r="AQ191" i="4"/>
  <c r="AU191" i="4"/>
  <c r="AO209" i="4"/>
  <c r="AQ209" i="4"/>
  <c r="AU209" i="4"/>
  <c r="B308" i="2"/>
  <c r="AO114" i="4"/>
  <c r="AQ114" i="4"/>
  <c r="AU114" i="4"/>
  <c r="AO94" i="4"/>
  <c r="AQ94" i="4"/>
  <c r="AU94" i="4"/>
  <c r="AO45" i="4"/>
  <c r="AQ45" i="4"/>
  <c r="AU45" i="4"/>
  <c r="AO24" i="4"/>
  <c r="AQ24" i="4"/>
  <c r="AU24" i="4"/>
  <c r="AO19" i="4"/>
  <c r="AQ19" i="4"/>
  <c r="AU19" i="4"/>
  <c r="AO55" i="4"/>
  <c r="AQ55" i="4"/>
  <c r="AU55" i="4"/>
  <c r="AO190" i="4"/>
  <c r="AQ190" i="4"/>
  <c r="AU190" i="4"/>
  <c r="AR42" i="4"/>
  <c r="AO58" i="4"/>
  <c r="AQ58" i="4"/>
  <c r="AU58" i="4"/>
  <c r="AO93" i="4"/>
  <c r="AQ93" i="4"/>
  <c r="AU93" i="4"/>
  <c r="AO10" i="4"/>
  <c r="AQ10" i="4"/>
  <c r="AU10" i="4"/>
  <c r="AO68" i="4"/>
  <c r="AQ68" i="4"/>
  <c r="AU68" i="4"/>
  <c r="AO48" i="4"/>
  <c r="AQ48" i="4"/>
  <c r="AU48" i="4"/>
  <c r="AO84" i="4"/>
  <c r="AQ84" i="4"/>
  <c r="AU84" i="4"/>
  <c r="AO63" i="4"/>
  <c r="AQ63" i="4"/>
  <c r="AU63" i="4"/>
  <c r="AO33" i="4"/>
  <c r="AQ33" i="4"/>
  <c r="AU33" i="4"/>
  <c r="AR158" i="4"/>
  <c r="AO79" i="4"/>
  <c r="AQ79" i="4"/>
  <c r="AU79" i="4"/>
  <c r="AO17" i="4"/>
  <c r="AQ17" i="4"/>
  <c r="AU17" i="4"/>
  <c r="AO15" i="4"/>
  <c r="AQ15" i="4"/>
  <c r="AU15" i="4"/>
  <c r="AO71" i="4"/>
  <c r="AQ71" i="4"/>
  <c r="AU71" i="4"/>
  <c r="AO57" i="4"/>
  <c r="AQ57" i="4"/>
  <c r="AU57" i="4"/>
  <c r="AO88" i="4"/>
  <c r="AQ88" i="4"/>
  <c r="AU88" i="4"/>
  <c r="AO37" i="4"/>
  <c r="AQ37" i="4"/>
  <c r="AU37" i="4"/>
  <c r="AO99" i="4"/>
  <c r="AQ99" i="4"/>
  <c r="AU99" i="4"/>
  <c r="AO156" i="4"/>
  <c r="AQ156" i="4"/>
  <c r="AU156" i="4"/>
  <c r="AO89" i="4"/>
  <c r="AQ89" i="4"/>
  <c r="AU89" i="4"/>
  <c r="AO195" i="4"/>
  <c r="AQ195" i="4"/>
  <c r="AU195" i="4"/>
  <c r="AO148" i="4"/>
  <c r="AQ148" i="4"/>
  <c r="AU148" i="4"/>
  <c r="AO112" i="4"/>
  <c r="AQ112" i="4"/>
  <c r="AU112" i="4"/>
  <c r="AO109" i="4"/>
  <c r="AQ109" i="4"/>
  <c r="AU109" i="4"/>
  <c r="B309" i="2"/>
  <c r="AO85" i="4"/>
  <c r="AQ85" i="4"/>
  <c r="AU85" i="4"/>
  <c r="AO108" i="4"/>
  <c r="AQ108" i="4"/>
  <c r="AU108" i="4"/>
  <c r="AO82" i="4"/>
  <c r="AQ82" i="4"/>
  <c r="AU82" i="4"/>
  <c r="AO86" i="4"/>
  <c r="AQ86" i="4"/>
  <c r="AU86" i="4"/>
  <c r="AO29" i="4"/>
  <c r="AQ29" i="4"/>
  <c r="AU29" i="4"/>
  <c r="AO75" i="4"/>
  <c r="AQ75" i="4"/>
  <c r="AU75" i="4"/>
  <c r="AO27" i="4"/>
  <c r="AQ27" i="4"/>
  <c r="AU27" i="4"/>
  <c r="AO180" i="4"/>
  <c r="AQ180" i="4"/>
  <c r="AU180" i="4"/>
  <c r="AO135" i="4"/>
  <c r="AQ135" i="4"/>
  <c r="AU135" i="4"/>
  <c r="AO203" i="4"/>
  <c r="AQ203" i="4"/>
  <c r="AU203" i="4"/>
  <c r="AO21" i="4"/>
  <c r="AQ21" i="4"/>
  <c r="AU21" i="4"/>
  <c r="AO98" i="4"/>
  <c r="AQ98" i="4"/>
  <c r="AU98" i="4"/>
  <c r="AO90" i="4"/>
  <c r="AQ90" i="4"/>
  <c r="AU90" i="4"/>
  <c r="AO105" i="4"/>
  <c r="AQ105" i="4"/>
  <c r="AU105" i="4"/>
  <c r="AO101" i="4"/>
  <c r="AQ101" i="4"/>
  <c r="AU101" i="4"/>
  <c r="AO144" i="4"/>
  <c r="AQ144" i="4"/>
  <c r="AU144" i="4"/>
  <c r="AR149" i="4"/>
  <c r="AO87" i="4"/>
  <c r="AQ87" i="4"/>
  <c r="AU87" i="4"/>
  <c r="AO77" i="4"/>
  <c r="AQ77" i="4"/>
  <c r="AU77" i="4"/>
  <c r="AS17" i="4"/>
  <c r="AR79" i="4"/>
  <c r="AO76" i="4"/>
  <c r="AQ76" i="4"/>
  <c r="AU76" i="4"/>
  <c r="AO95" i="4"/>
  <c r="AQ95" i="4"/>
  <c r="AU95" i="4"/>
  <c r="AO56" i="4"/>
  <c r="AQ56" i="4"/>
  <c r="AU56" i="4"/>
  <c r="AO60" i="4"/>
  <c r="AQ60" i="4"/>
  <c r="AU60" i="4"/>
  <c r="AO74" i="4"/>
  <c r="AQ74" i="4"/>
  <c r="AU74" i="4"/>
  <c r="AO28" i="4"/>
  <c r="AQ28" i="4"/>
  <c r="AU28" i="4"/>
  <c r="AO26" i="4"/>
  <c r="AQ26" i="4"/>
  <c r="AU26" i="4"/>
  <c r="AO47" i="4"/>
  <c r="AQ47" i="4"/>
  <c r="AU47" i="4"/>
  <c r="AO40" i="4"/>
  <c r="AQ40" i="4"/>
  <c r="AU40" i="4"/>
  <c r="AO83" i="4"/>
  <c r="AQ83" i="4"/>
  <c r="AU83" i="4"/>
  <c r="AO106" i="4"/>
  <c r="AQ106" i="4"/>
  <c r="AU106" i="4"/>
  <c r="AG65" i="4"/>
  <c r="AS65" i="4"/>
  <c r="AO145" i="4"/>
  <c r="AQ145" i="4"/>
  <c r="AU145" i="4"/>
  <c r="AO69" i="4"/>
  <c r="AQ69" i="4"/>
  <c r="AU69" i="4"/>
  <c r="AO59" i="4"/>
  <c r="AQ59" i="4"/>
  <c r="AU59" i="4"/>
  <c r="AO53" i="4"/>
  <c r="AQ53" i="4"/>
  <c r="AU53" i="4"/>
  <c r="AO31" i="4"/>
  <c r="AQ31" i="4"/>
  <c r="AU31" i="4"/>
  <c r="AO64" i="4"/>
  <c r="AQ64" i="4"/>
  <c r="AU64" i="4"/>
  <c r="AO46" i="4"/>
  <c r="AQ46" i="4"/>
  <c r="AU46" i="4"/>
  <c r="AO32" i="4"/>
  <c r="AQ32" i="4"/>
  <c r="AU32" i="4"/>
  <c r="AO61" i="4"/>
  <c r="AQ61" i="4"/>
  <c r="AU61" i="4"/>
  <c r="AO54" i="4"/>
  <c r="AQ54" i="4"/>
  <c r="AU54" i="4"/>
  <c r="AO43" i="4"/>
  <c r="AQ43" i="4"/>
  <c r="AU43" i="4"/>
  <c r="AO96" i="4"/>
  <c r="AQ96" i="4"/>
  <c r="AU96" i="4"/>
  <c r="AO20" i="4"/>
  <c r="AQ20" i="4"/>
  <c r="AU20" i="4"/>
  <c r="AO25" i="4"/>
  <c r="AQ25" i="4"/>
  <c r="AU25" i="4"/>
  <c r="AO16" i="4"/>
  <c r="AQ16" i="4"/>
  <c r="AU16" i="4"/>
  <c r="AO23" i="4"/>
  <c r="AQ23" i="4"/>
  <c r="AU23" i="4"/>
  <c r="AO80" i="4"/>
  <c r="AQ80" i="4"/>
  <c r="AU80" i="4"/>
  <c r="AO62" i="4"/>
  <c r="AQ62" i="4"/>
  <c r="AU62" i="4"/>
  <c r="AO11" i="4"/>
  <c r="AQ11" i="4"/>
  <c r="AU11" i="4"/>
  <c r="AO70" i="4"/>
  <c r="AQ70" i="4"/>
  <c r="AU70" i="4"/>
  <c r="AO38" i="4"/>
  <c r="AQ38" i="4"/>
  <c r="AU38" i="4"/>
  <c r="AO44" i="4"/>
  <c r="AQ44" i="4"/>
  <c r="AU44" i="4"/>
  <c r="AO102" i="4"/>
  <c r="AQ102" i="4"/>
  <c r="AU102" i="4"/>
  <c r="AO9" i="4"/>
  <c r="AQ9" i="4"/>
  <c r="AU9" i="4"/>
  <c r="AO176" i="4"/>
  <c r="AQ176" i="4"/>
  <c r="AU176" i="4"/>
  <c r="AO14" i="4"/>
  <c r="AQ14" i="4"/>
  <c r="AU14" i="4"/>
  <c r="AO66" i="4"/>
  <c r="AQ66" i="4"/>
  <c r="AU66" i="4"/>
  <c r="AC65" i="4"/>
  <c r="AR65" i="4"/>
  <c r="AO100" i="4"/>
  <c r="AQ100" i="4"/>
  <c r="AU100" i="4"/>
  <c r="AR167" i="4"/>
  <c r="AO18" i="4"/>
  <c r="AQ18" i="4"/>
  <c r="AU18" i="4"/>
  <c r="AO104" i="4"/>
  <c r="AQ104" i="4"/>
  <c r="AU104" i="4"/>
  <c r="AO39" i="4"/>
  <c r="AQ39" i="4"/>
  <c r="AU39" i="4"/>
  <c r="AO12" i="4"/>
  <c r="AQ12" i="4"/>
  <c r="AU12" i="4"/>
  <c r="AO103" i="4"/>
  <c r="AQ103" i="4"/>
  <c r="AU103" i="4"/>
  <c r="AO13" i="4"/>
  <c r="AQ13" i="4"/>
  <c r="AU13" i="4"/>
  <c r="AO110" i="4"/>
  <c r="AQ110" i="4"/>
  <c r="AU110" i="4"/>
  <c r="AO182" i="4"/>
  <c r="AQ182" i="4"/>
  <c r="AU182" i="4"/>
  <c r="AR137" i="4"/>
  <c r="AO133" i="4"/>
  <c r="AQ133" i="4"/>
  <c r="AU133" i="4"/>
  <c r="AO177" i="4"/>
  <c r="AQ177" i="4"/>
  <c r="AU177" i="4"/>
  <c r="AO173" i="4"/>
  <c r="AQ173" i="4"/>
  <c r="AU173" i="4"/>
  <c r="AO122" i="4"/>
  <c r="AQ122" i="4"/>
  <c r="AU122" i="4"/>
  <c r="AR164" i="4"/>
  <c r="AR131" i="4"/>
  <c r="AO128" i="4"/>
  <c r="AQ128" i="4"/>
  <c r="AU128" i="4"/>
  <c r="AR152" i="4"/>
  <c r="AO140" i="4"/>
  <c r="AQ140" i="4"/>
  <c r="AU140" i="4"/>
  <c r="AR185" i="4"/>
  <c r="AR159" i="4"/>
  <c r="AO159" i="4"/>
  <c r="AQ159" i="4"/>
  <c r="AU159" i="4"/>
  <c r="AR202" i="4"/>
  <c r="AO115" i="4"/>
  <c r="AQ115" i="4"/>
  <c r="AU115" i="4"/>
  <c r="AO169" i="4"/>
  <c r="AQ169" i="4"/>
  <c r="AU169" i="4"/>
  <c r="AO172" i="4"/>
  <c r="AQ172" i="4"/>
  <c r="AU172" i="4"/>
  <c r="AR120" i="4"/>
  <c r="AO124" i="4"/>
  <c r="AQ124" i="4"/>
  <c r="AU124" i="4"/>
  <c r="AO116" i="4"/>
  <c r="AQ116" i="4"/>
  <c r="AU116" i="4"/>
  <c r="AO153" i="4"/>
  <c r="AQ153" i="4"/>
  <c r="AU153" i="4"/>
  <c r="AO207" i="4"/>
  <c r="AQ207" i="4"/>
  <c r="AU207" i="4"/>
  <c r="AO151" i="4"/>
  <c r="AQ151" i="4"/>
  <c r="AU151" i="4"/>
  <c r="AO157" i="4"/>
  <c r="AQ157" i="4"/>
  <c r="AU157" i="4"/>
  <c r="AR123" i="4"/>
  <c r="AO123" i="4"/>
  <c r="AQ123" i="4"/>
  <c r="AU123" i="4"/>
  <c r="AR126" i="4"/>
  <c r="AO126" i="4"/>
  <c r="AQ126" i="4"/>
  <c r="AU126" i="4"/>
  <c r="AR168" i="4"/>
  <c r="AO168" i="4"/>
  <c r="AQ168" i="4"/>
  <c r="AU168" i="4"/>
  <c r="AR161" i="4"/>
  <c r="AO161" i="4"/>
  <c r="AQ161" i="4"/>
  <c r="AU161" i="4"/>
  <c r="AR130" i="4"/>
  <c r="AO130" i="4"/>
  <c r="AQ130" i="4"/>
  <c r="AU130" i="4"/>
  <c r="AR194" i="4"/>
  <c r="AO194" i="4"/>
  <c r="AQ194" i="4"/>
  <c r="AU194" i="4"/>
  <c r="AR165" i="4"/>
  <c r="AO165" i="4"/>
  <c r="AQ165" i="4"/>
  <c r="AU165" i="4"/>
  <c r="AR113" i="4"/>
  <c r="AO113" i="4"/>
  <c r="AQ113" i="4"/>
  <c r="AU113" i="4"/>
  <c r="H3" i="8"/>
  <c r="R23" i="8"/>
  <c r="R13" i="8"/>
  <c r="B66" i="2"/>
  <c r="BM41" i="3"/>
  <c r="B253" i="2"/>
  <c r="C41" i="16"/>
  <c r="D41" i="16"/>
  <c r="C40" i="16"/>
  <c r="D40" i="16"/>
  <c r="B140" i="2"/>
  <c r="B256" i="2"/>
  <c r="BN41" i="3"/>
  <c r="R29" i="8"/>
  <c r="R31" i="8"/>
  <c r="AQ42" i="3"/>
  <c r="B42" i="3"/>
  <c r="A43" i="3"/>
  <c r="AR42" i="3"/>
  <c r="C42" i="3"/>
  <c r="D42" i="3"/>
  <c r="G42" i="3"/>
  <c r="H42" i="3"/>
  <c r="F42" i="3"/>
  <c r="AO65" i="4"/>
  <c r="AQ65" i="4"/>
  <c r="AU65" i="4"/>
  <c r="A254" i="2"/>
  <c r="B254" i="2"/>
  <c r="AD33" i="3"/>
  <c r="B141" i="2"/>
  <c r="AE29" i="3"/>
  <c r="B143" i="2"/>
  <c r="AK19" i="3"/>
  <c r="AD22" i="3"/>
  <c r="AD16" i="3"/>
  <c r="AD17" i="3"/>
  <c r="AD34" i="3"/>
  <c r="AD36" i="3"/>
  <c r="AD11" i="3"/>
  <c r="AD42" i="3"/>
  <c r="AD12" i="3"/>
  <c r="AD23" i="3"/>
  <c r="AD14" i="3"/>
  <c r="AD29" i="3"/>
  <c r="AD683" i="3"/>
  <c r="AD25" i="3"/>
  <c r="AD18" i="3"/>
  <c r="AD37" i="3"/>
  <c r="AD9" i="3"/>
  <c r="AD19" i="3"/>
  <c r="AD32" i="3"/>
  <c r="AD31" i="3"/>
  <c r="B149" i="2"/>
  <c r="P41" i="3"/>
  <c r="AD21" i="3"/>
  <c r="AD20" i="3"/>
  <c r="AD13" i="3"/>
  <c r="AD39" i="3"/>
  <c r="AD35" i="3"/>
  <c r="AD10" i="3"/>
  <c r="AD28" i="3"/>
  <c r="AD24" i="3"/>
  <c r="AD38" i="3"/>
  <c r="AD26" i="3"/>
  <c r="AD682" i="3"/>
  <c r="AD27" i="3"/>
  <c r="AD30" i="3"/>
  <c r="AD15" i="3"/>
  <c r="AD41" i="3"/>
  <c r="AD40" i="3"/>
  <c r="BM42" i="3"/>
  <c r="BN42" i="3"/>
  <c r="AQ43" i="3"/>
  <c r="AR43" i="3"/>
  <c r="A44" i="3"/>
  <c r="B43" i="3"/>
  <c r="C43" i="3"/>
  <c r="D43" i="3"/>
  <c r="AD43" i="3"/>
  <c r="G43" i="3"/>
  <c r="H43" i="3"/>
  <c r="F43" i="3"/>
  <c r="AK12" i="3"/>
  <c r="AM42" i="3"/>
  <c r="AF26" i="3"/>
  <c r="AK16" i="3"/>
  <c r="AF35" i="3"/>
  <c r="AF21" i="3"/>
  <c r="O27" i="3"/>
  <c r="AF33" i="3"/>
  <c r="AF30" i="3"/>
  <c r="AE37" i="3"/>
  <c r="AE43" i="3"/>
  <c r="AE41" i="3"/>
  <c r="AF9" i="3"/>
  <c r="O41" i="3"/>
  <c r="O13" i="3"/>
  <c r="P22" i="3"/>
  <c r="O683" i="3"/>
  <c r="M682" i="3"/>
  <c r="P26" i="3"/>
  <c r="P14" i="3"/>
  <c r="P36" i="3"/>
  <c r="A257" i="2"/>
  <c r="AK30" i="3"/>
  <c r="AE12" i="3"/>
  <c r="AF13" i="3"/>
  <c r="AE15" i="3"/>
  <c r="M19" i="3"/>
  <c r="P42" i="3"/>
  <c r="O12" i="3"/>
  <c r="O28" i="3"/>
  <c r="P17" i="3"/>
  <c r="O23" i="3"/>
  <c r="P15" i="3"/>
  <c r="P16" i="3"/>
  <c r="P682" i="3"/>
  <c r="AF38" i="3"/>
  <c r="AF27" i="3"/>
  <c r="AE38" i="3"/>
  <c r="M24" i="3"/>
  <c r="AE10" i="3"/>
  <c r="M26" i="3"/>
  <c r="M43" i="3"/>
  <c r="AE18" i="3"/>
  <c r="AF12" i="3"/>
  <c r="AF23" i="3"/>
  <c r="AF29" i="3"/>
  <c r="AG29" i="3"/>
  <c r="AF17" i="3"/>
  <c r="AE40" i="3"/>
  <c r="AF22" i="3"/>
  <c r="AF37" i="3"/>
  <c r="AF683" i="3"/>
  <c r="AF24" i="3"/>
  <c r="AF16" i="3"/>
  <c r="B152" i="2"/>
  <c r="V42" i="3"/>
  <c r="AE23" i="3"/>
  <c r="M25" i="3"/>
  <c r="M31" i="3"/>
  <c r="AE11" i="3"/>
  <c r="M28" i="3"/>
  <c r="M37" i="3"/>
  <c r="M11" i="3"/>
  <c r="M36" i="3"/>
  <c r="AF39" i="3"/>
  <c r="AE27" i="3"/>
  <c r="AE14" i="3"/>
  <c r="M34" i="3"/>
  <c r="AE20" i="3"/>
  <c r="M23" i="3"/>
  <c r="M38" i="3"/>
  <c r="AE42" i="3"/>
  <c r="M27" i="3"/>
  <c r="P20" i="3"/>
  <c r="P21" i="3"/>
  <c r="O32" i="3"/>
  <c r="P24" i="3"/>
  <c r="P35" i="3"/>
  <c r="O38" i="3"/>
  <c r="O10" i="3"/>
  <c r="O30" i="3"/>
  <c r="O35" i="3"/>
  <c r="P40" i="3"/>
  <c r="O24" i="3"/>
  <c r="P37" i="3"/>
  <c r="P23" i="3"/>
  <c r="O9" i="3"/>
  <c r="O37" i="3"/>
  <c r="O36" i="3"/>
  <c r="O16" i="3"/>
  <c r="O25" i="3"/>
  <c r="P13" i="3"/>
  <c r="O42" i="3"/>
  <c r="AM39" i="3"/>
  <c r="B151" i="2"/>
  <c r="T42" i="3"/>
  <c r="AM29" i="3"/>
  <c r="AM24" i="3"/>
  <c r="AM37" i="3"/>
  <c r="AK43" i="3"/>
  <c r="AM27" i="3"/>
  <c r="AM682" i="3"/>
  <c r="AK11" i="3"/>
  <c r="AK23" i="3"/>
  <c r="AM26" i="3"/>
  <c r="AK32" i="3"/>
  <c r="AM17" i="3"/>
  <c r="AK33" i="3"/>
  <c r="AK29" i="3"/>
  <c r="AK41" i="3"/>
  <c r="AM20" i="3"/>
  <c r="AK21" i="3"/>
  <c r="AM15" i="3"/>
  <c r="AK15" i="3"/>
  <c r="AM31" i="3"/>
  <c r="AM11" i="3"/>
  <c r="AM683" i="3"/>
  <c r="AK17" i="3"/>
  <c r="AK682" i="3"/>
  <c r="AM30" i="3"/>
  <c r="AK14" i="3"/>
  <c r="AK27" i="3"/>
  <c r="AK22" i="3"/>
  <c r="AK26" i="3"/>
  <c r="AK20" i="3"/>
  <c r="AK31" i="3"/>
  <c r="AM28" i="3"/>
  <c r="AK38" i="3"/>
  <c r="AM43" i="3"/>
  <c r="AK39" i="3"/>
  <c r="AM38" i="3"/>
  <c r="AM23" i="3"/>
  <c r="AM16" i="3"/>
  <c r="AM19" i="3"/>
  <c r="AN19" i="3"/>
  <c r="AK24" i="3"/>
  <c r="AM41" i="3"/>
  <c r="AK28" i="3"/>
  <c r="AK36" i="3"/>
  <c r="AM18" i="3"/>
  <c r="AM13" i="3"/>
  <c r="AK34" i="3"/>
  <c r="B257" i="2"/>
  <c r="AM40" i="3"/>
  <c r="AK683" i="3"/>
  <c r="AM21" i="3"/>
  <c r="AK9" i="3"/>
  <c r="B150" i="2"/>
  <c r="R42" i="3"/>
  <c r="AM12" i="3"/>
  <c r="AK25" i="3"/>
  <c r="AK13" i="3"/>
  <c r="AK37" i="3"/>
  <c r="AM10" i="3"/>
  <c r="AM9" i="3"/>
  <c r="AM34" i="3"/>
  <c r="AK42" i="3"/>
  <c r="AM33" i="3"/>
  <c r="AK40" i="3"/>
  <c r="AM14" i="3"/>
  <c r="AM22" i="3"/>
  <c r="AK35" i="3"/>
  <c r="AM25" i="3"/>
  <c r="AM32" i="3"/>
  <c r="AM35" i="3"/>
  <c r="AM36" i="3"/>
  <c r="AK10" i="3"/>
  <c r="AK18" i="3"/>
  <c r="AE683" i="3"/>
  <c r="AE24" i="3"/>
  <c r="AE21" i="3"/>
  <c r="AE22" i="3"/>
  <c r="AE9" i="3"/>
  <c r="M41" i="3"/>
  <c r="O39" i="3"/>
  <c r="P43" i="3"/>
  <c r="AF43" i="3"/>
  <c r="O43" i="3"/>
  <c r="AE30" i="3"/>
  <c r="AE31" i="3"/>
  <c r="AF28" i="3"/>
  <c r="B255" i="2"/>
  <c r="AF15" i="3"/>
  <c r="AF11" i="3"/>
  <c r="AF32" i="3"/>
  <c r="AF34" i="3"/>
  <c r="AF18" i="3"/>
  <c r="AF25" i="3"/>
  <c r="AF682" i="3"/>
  <c r="AE682" i="3"/>
  <c r="AE34" i="3"/>
  <c r="AF19" i="3"/>
  <c r="AF14" i="3"/>
  <c r="AF10" i="3"/>
  <c r="AF36" i="3"/>
  <c r="M40" i="3"/>
  <c r="AE26" i="3"/>
  <c r="A255" i="2"/>
  <c r="AF31" i="3"/>
  <c r="AF40" i="3"/>
  <c r="P31" i="3"/>
  <c r="F73" i="1"/>
  <c r="P9" i="3"/>
  <c r="AF20" i="3"/>
  <c r="O29" i="3"/>
  <c r="P19" i="3"/>
  <c r="O22" i="3"/>
  <c r="O21" i="3"/>
  <c r="O20" i="3"/>
  <c r="O19" i="3"/>
  <c r="P11" i="3"/>
  <c r="P27" i="3"/>
  <c r="P28" i="3"/>
  <c r="P32" i="3"/>
  <c r="P18" i="3"/>
  <c r="O15" i="3"/>
  <c r="O11" i="3"/>
  <c r="O31" i="3"/>
  <c r="O682" i="3"/>
  <c r="P683" i="3"/>
  <c r="AE39" i="3"/>
  <c r="AE32" i="3"/>
  <c r="AE17" i="3"/>
  <c r="AE13" i="3"/>
  <c r="AE25" i="3"/>
  <c r="M14" i="3"/>
  <c r="M35" i="3"/>
  <c r="M13" i="3"/>
  <c r="M29" i="3"/>
  <c r="AE16" i="3"/>
  <c r="M39" i="3"/>
  <c r="M15" i="3"/>
  <c r="M22" i="3"/>
  <c r="M10" i="3"/>
  <c r="M21" i="3"/>
  <c r="M42" i="3"/>
  <c r="P29" i="3"/>
  <c r="O33" i="3"/>
  <c r="P10" i="3"/>
  <c r="O14" i="3"/>
  <c r="P30" i="3"/>
  <c r="O17" i="3"/>
  <c r="O18" i="3"/>
  <c r="P12" i="3"/>
  <c r="O26" i="3"/>
  <c r="O40" i="3"/>
  <c r="AE35" i="3"/>
  <c r="AE19" i="3"/>
  <c r="M20" i="3"/>
  <c r="M18" i="3"/>
  <c r="AE28" i="3"/>
  <c r="M9" i="3"/>
  <c r="M12" i="3"/>
  <c r="P25" i="3"/>
  <c r="P38" i="3"/>
  <c r="P33" i="3"/>
  <c r="P39" i="3"/>
  <c r="AE36" i="3"/>
  <c r="M32" i="3"/>
  <c r="M30" i="3"/>
  <c r="P34" i="3"/>
  <c r="O34" i="3"/>
  <c r="M17" i="3"/>
  <c r="M16" i="3"/>
  <c r="M33" i="3"/>
  <c r="M683" i="3"/>
  <c r="AF42" i="3"/>
  <c r="AF41" i="3"/>
  <c r="AE33" i="3"/>
  <c r="AG33" i="3"/>
  <c r="A684" i="3"/>
  <c r="AF684" i="3"/>
  <c r="BN43" i="3"/>
  <c r="BM43" i="3"/>
  <c r="AR44" i="3"/>
  <c r="B44" i="3"/>
  <c r="AQ44" i="3"/>
  <c r="A45" i="3"/>
  <c r="C44" i="3"/>
  <c r="AM44" i="3"/>
  <c r="AK44" i="3"/>
  <c r="AD44" i="3"/>
  <c r="O44" i="3"/>
  <c r="AF44" i="3"/>
  <c r="AE44" i="3"/>
  <c r="M44" i="3"/>
  <c r="P44" i="3"/>
  <c r="F44" i="3"/>
  <c r="D44" i="3"/>
  <c r="G44" i="3"/>
  <c r="H44" i="3"/>
  <c r="AH42" i="3"/>
  <c r="AG19" i="3"/>
  <c r="AG20" i="3"/>
  <c r="AG16" i="3"/>
  <c r="AH15" i="3"/>
  <c r="AO29" i="3"/>
  <c r="AN25" i="3"/>
  <c r="AN22" i="3"/>
  <c r="AO12" i="3"/>
  <c r="T38" i="3"/>
  <c r="T27" i="3"/>
  <c r="T26" i="3"/>
  <c r="F75" i="1"/>
  <c r="T20" i="3"/>
  <c r="T37" i="3"/>
  <c r="T40" i="3"/>
  <c r="T33" i="3"/>
  <c r="S28" i="3"/>
  <c r="AH9" i="3"/>
  <c r="S44" i="3"/>
  <c r="S10" i="3"/>
  <c r="S13" i="3"/>
  <c r="S17" i="3"/>
  <c r="T18" i="3"/>
  <c r="S11" i="3"/>
  <c r="AG13" i="3"/>
  <c r="AH23" i="3"/>
  <c r="S34" i="3"/>
  <c r="T30" i="3"/>
  <c r="T14" i="3"/>
  <c r="T23" i="3"/>
  <c r="S43" i="3"/>
  <c r="V34" i="3"/>
  <c r="V682" i="3"/>
  <c r="AN43" i="3"/>
  <c r="AO682" i="3"/>
  <c r="AG683" i="3"/>
  <c r="AO24" i="3"/>
  <c r="AN682" i="3"/>
  <c r="R14" i="3"/>
  <c r="R24" i="3"/>
  <c r="Q10" i="3"/>
  <c r="R31" i="3"/>
  <c r="R11" i="3"/>
  <c r="R43" i="3"/>
  <c r="Q41" i="3"/>
  <c r="AN41" i="3"/>
  <c r="AH12" i="3"/>
  <c r="AO16" i="3"/>
  <c r="AN36" i="3"/>
  <c r="Q23" i="3"/>
  <c r="Q21" i="3"/>
  <c r="AO39" i="3"/>
  <c r="AN17" i="3"/>
  <c r="AG38" i="3"/>
  <c r="AH24" i="3"/>
  <c r="AN26" i="3"/>
  <c r="AO11" i="3"/>
  <c r="AG28" i="3"/>
  <c r="AO13" i="3"/>
  <c r="AN27" i="3"/>
  <c r="AO40" i="3"/>
  <c r="AO28" i="3"/>
  <c r="S42" i="3"/>
  <c r="AG23" i="3"/>
  <c r="AO42" i="3"/>
  <c r="U40" i="3"/>
  <c r="V33" i="3"/>
  <c r="V29" i="3"/>
  <c r="V37" i="3"/>
  <c r="AH35" i="3"/>
  <c r="AG26" i="3"/>
  <c r="AH25" i="3"/>
  <c r="AG18" i="3"/>
  <c r="Q684" i="3"/>
  <c r="AN16" i="3"/>
  <c r="Y42" i="3"/>
  <c r="Z42" i="3"/>
  <c r="AO17" i="3"/>
  <c r="AN9" i="3"/>
  <c r="Q35" i="3"/>
  <c r="R38" i="3"/>
  <c r="Q20" i="3"/>
  <c r="Q683" i="3"/>
  <c r="R10" i="3"/>
  <c r="Q13" i="3"/>
  <c r="R41" i="3"/>
  <c r="Q26" i="3"/>
  <c r="R17" i="3"/>
  <c r="AN35" i="3"/>
  <c r="AN34" i="3"/>
  <c r="AN683" i="3"/>
  <c r="AO23" i="3"/>
  <c r="AO30" i="3"/>
  <c r="AO15" i="3"/>
  <c r="AH29" i="3"/>
  <c r="AU29" i="3"/>
  <c r="U24" i="3"/>
  <c r="U21" i="3"/>
  <c r="V28" i="3"/>
  <c r="U682" i="3"/>
  <c r="AH38" i="3"/>
  <c r="V31" i="3"/>
  <c r="V15" i="3"/>
  <c r="U26" i="3"/>
  <c r="V10" i="3"/>
  <c r="U20" i="3"/>
  <c r="U28" i="3"/>
  <c r="V32" i="3"/>
  <c r="U10" i="3"/>
  <c r="AD684" i="3"/>
  <c r="AO21" i="3"/>
  <c r="AG37" i="3"/>
  <c r="V44" i="3"/>
  <c r="AH26" i="3"/>
  <c r="U42" i="3"/>
  <c r="V14" i="3"/>
  <c r="V11" i="3"/>
  <c r="U19" i="3"/>
  <c r="V38" i="3"/>
  <c r="V36" i="3"/>
  <c r="U36" i="3"/>
  <c r="U31" i="3"/>
  <c r="V39" i="3"/>
  <c r="V35" i="3"/>
  <c r="U30" i="3"/>
  <c r="U14" i="3"/>
  <c r="U29" i="3"/>
  <c r="V21" i="3"/>
  <c r="V16" i="3"/>
  <c r="V43" i="3"/>
  <c r="U25" i="3"/>
  <c r="AN11" i="3"/>
  <c r="AO19" i="3"/>
  <c r="AN12" i="3"/>
  <c r="V12" i="3"/>
  <c r="AO26" i="3"/>
  <c r="AO27" i="3"/>
  <c r="AH33" i="3"/>
  <c r="AT33" i="3"/>
  <c r="AO41" i="3"/>
  <c r="AN39" i="3"/>
  <c r="AG12" i="3"/>
  <c r="AH37" i="3"/>
  <c r="U44" i="3"/>
  <c r="V27" i="3"/>
  <c r="U23" i="3"/>
  <c r="U12" i="3"/>
  <c r="U35" i="3"/>
  <c r="U33" i="3"/>
  <c r="V25" i="3"/>
  <c r="U18" i="3"/>
  <c r="U16" i="3"/>
  <c r="A687" i="3"/>
  <c r="AR687" i="3"/>
  <c r="U13" i="3"/>
  <c r="U27" i="3"/>
  <c r="V22" i="3"/>
  <c r="V18" i="3"/>
  <c r="V20" i="3"/>
  <c r="V26" i="3"/>
  <c r="U32" i="3"/>
  <c r="V683" i="3"/>
  <c r="V41" i="3"/>
  <c r="AG24" i="3"/>
  <c r="V24" i="3"/>
  <c r="U17" i="3"/>
  <c r="U9" i="3"/>
  <c r="U34" i="3"/>
  <c r="V23" i="3"/>
  <c r="U11" i="3"/>
  <c r="V30" i="3"/>
  <c r="U37" i="3"/>
  <c r="V13" i="3"/>
  <c r="U22" i="3"/>
  <c r="U15" i="3"/>
  <c r="U38" i="3"/>
  <c r="V40" i="3"/>
  <c r="AG35" i="3"/>
  <c r="V19" i="3"/>
  <c r="V9" i="3"/>
  <c r="U41" i="3"/>
  <c r="U43" i="3"/>
  <c r="V17" i="3"/>
  <c r="U39" i="3"/>
  <c r="F76" i="1"/>
  <c r="U683" i="3"/>
  <c r="AG41" i="3"/>
  <c r="AG40" i="3"/>
  <c r="AH10" i="3"/>
  <c r="AH11" i="3"/>
  <c r="AH21" i="3"/>
  <c r="AN37" i="3"/>
  <c r="AN21" i="3"/>
  <c r="AO18" i="3"/>
  <c r="AO38" i="3"/>
  <c r="AN28" i="3"/>
  <c r="AO22" i="3"/>
  <c r="AN14" i="3"/>
  <c r="AN24" i="3"/>
  <c r="AG14" i="3"/>
  <c r="AH22" i="3"/>
  <c r="AH27" i="3"/>
  <c r="AH43" i="3"/>
  <c r="AH30" i="3"/>
  <c r="AH683" i="3"/>
  <c r="V684" i="3"/>
  <c r="Q16" i="3"/>
  <c r="Q14" i="3"/>
  <c r="R23" i="3"/>
  <c r="R29" i="3"/>
  <c r="Q36" i="3"/>
  <c r="Q12" i="3"/>
  <c r="Q31" i="3"/>
  <c r="A685" i="3"/>
  <c r="G685" i="3"/>
  <c r="H685" i="3"/>
  <c r="Q682" i="3"/>
  <c r="R13" i="3"/>
  <c r="Q33" i="3"/>
  <c r="R15" i="3"/>
  <c r="R683" i="3"/>
  <c r="AN42" i="3"/>
  <c r="R19" i="3"/>
  <c r="Q9" i="3"/>
  <c r="AO14" i="3"/>
  <c r="A686" i="3"/>
  <c r="U686" i="3"/>
  <c r="T22" i="3"/>
  <c r="T12" i="3"/>
  <c r="S36" i="3"/>
  <c r="S38" i="3"/>
  <c r="S18" i="3"/>
  <c r="S23" i="3"/>
  <c r="T21" i="3"/>
  <c r="T683" i="3"/>
  <c r="S32" i="3"/>
  <c r="S37" i="3"/>
  <c r="T32" i="3"/>
  <c r="S26" i="3"/>
  <c r="S40" i="3"/>
  <c r="R18" i="3"/>
  <c r="T10" i="3"/>
  <c r="S9" i="3"/>
  <c r="T682" i="3"/>
  <c r="S41" i="3"/>
  <c r="T9" i="3"/>
  <c r="Q27" i="3"/>
  <c r="AG30" i="3"/>
  <c r="AN30" i="3"/>
  <c r="AG27" i="3"/>
  <c r="AG10" i="3"/>
  <c r="AG17" i="3"/>
  <c r="AG39" i="3"/>
  <c r="AH14" i="3"/>
  <c r="AH18" i="3"/>
  <c r="AG43" i="3"/>
  <c r="AG22" i="3"/>
  <c r="AN40" i="3"/>
  <c r="AN38" i="3"/>
  <c r="AO31" i="3"/>
  <c r="AN20" i="3"/>
  <c r="AN33" i="3"/>
  <c r="AO32" i="3"/>
  <c r="AN23" i="3"/>
  <c r="AO43" i="3"/>
  <c r="S684" i="3"/>
  <c r="G684" i="3"/>
  <c r="H684" i="3"/>
  <c r="T44" i="3"/>
  <c r="R44" i="3"/>
  <c r="Q44" i="3"/>
  <c r="R20" i="3"/>
  <c r="R12" i="3"/>
  <c r="R36" i="3"/>
  <c r="Q11" i="3"/>
  <c r="Q34" i="3"/>
  <c r="F74" i="1"/>
  <c r="R27" i="3"/>
  <c r="Q29" i="3"/>
  <c r="Q24" i="3"/>
  <c r="R34" i="3"/>
  <c r="Q17" i="3"/>
  <c r="R9" i="3"/>
  <c r="R35" i="3"/>
  <c r="R28" i="3"/>
  <c r="R33" i="3"/>
  <c r="Q38" i="3"/>
  <c r="R39" i="3"/>
  <c r="Q40" i="3"/>
  <c r="Q37" i="3"/>
  <c r="R32" i="3"/>
  <c r="R30" i="3"/>
  <c r="R37" i="3"/>
  <c r="Q15" i="3"/>
  <c r="R22" i="3"/>
  <c r="Q32" i="3"/>
  <c r="Q30" i="3"/>
  <c r="R682" i="3"/>
  <c r="Q43" i="3"/>
  <c r="AO33" i="3"/>
  <c r="Q22" i="3"/>
  <c r="Q19" i="3"/>
  <c r="Q18" i="3"/>
  <c r="R26" i="3"/>
  <c r="R40" i="3"/>
  <c r="AN32" i="3"/>
  <c r="AO37" i="3"/>
  <c r="S20" i="3"/>
  <c r="S29" i="3"/>
  <c r="S21" i="3"/>
  <c r="T24" i="3"/>
  <c r="T29" i="3"/>
  <c r="T25" i="3"/>
  <c r="T13" i="3"/>
  <c r="S19" i="3"/>
  <c r="S35" i="3"/>
  <c r="S31" i="3"/>
  <c r="S24" i="3"/>
  <c r="S12" i="3"/>
  <c r="T17" i="3"/>
  <c r="S16" i="3"/>
  <c r="T28" i="3"/>
  <c r="S682" i="3"/>
  <c r="S39" i="3"/>
  <c r="T41" i="3"/>
  <c r="S33" i="3"/>
  <c r="T34" i="3"/>
  <c r="S15" i="3"/>
  <c r="T16" i="3"/>
  <c r="T15" i="3"/>
  <c r="S30" i="3"/>
  <c r="T31" i="3"/>
  <c r="T36" i="3"/>
  <c r="S683" i="3"/>
  <c r="R21" i="3"/>
  <c r="R16" i="3"/>
  <c r="Q39" i="3"/>
  <c r="S25" i="3"/>
  <c r="S14" i="3"/>
  <c r="T11" i="3"/>
  <c r="T19" i="3"/>
  <c r="T39" i="3"/>
  <c r="S27" i="3"/>
  <c r="S22" i="3"/>
  <c r="T35" i="3"/>
  <c r="R25" i="3"/>
  <c r="T43" i="3"/>
  <c r="Q42" i="3"/>
  <c r="AO683" i="3"/>
  <c r="AO10" i="3"/>
  <c r="Q28" i="3"/>
  <c r="Q25" i="3"/>
  <c r="AG21" i="3"/>
  <c r="AE684" i="3"/>
  <c r="AK684" i="3"/>
  <c r="O684" i="3"/>
  <c r="AG9" i="3"/>
  <c r="AH36" i="3"/>
  <c r="AG15" i="3"/>
  <c r="AH17" i="3"/>
  <c r="AH39" i="3"/>
  <c r="AG42" i="3"/>
  <c r="AT42" i="3"/>
  <c r="AG34" i="3"/>
  <c r="AH31" i="3"/>
  <c r="AG31" i="3"/>
  <c r="AH41" i="3"/>
  <c r="AH13" i="3"/>
  <c r="AH40" i="3"/>
  <c r="M684" i="3"/>
  <c r="AH20" i="3"/>
  <c r="AT20" i="3"/>
  <c r="U684" i="3"/>
  <c r="D684" i="3"/>
  <c r="T684" i="3"/>
  <c r="C684" i="3"/>
  <c r="AH16" i="3"/>
  <c r="AT16" i="3"/>
  <c r="P684" i="3"/>
  <c r="AM684" i="3"/>
  <c r="R684" i="3"/>
  <c r="AN29" i="3"/>
  <c r="AN31" i="3"/>
  <c r="AN15" i="3"/>
  <c r="AO20" i="3"/>
  <c r="AO25" i="3"/>
  <c r="AO34" i="3"/>
  <c r="AN18" i="3"/>
  <c r="AO35" i="3"/>
  <c r="AN10" i="3"/>
  <c r="AO9" i="3"/>
  <c r="AN13" i="3"/>
  <c r="AO36" i="3"/>
  <c r="AG32" i="3"/>
  <c r="AH682" i="3"/>
  <c r="AG25" i="3"/>
  <c r="AH34" i="3"/>
  <c r="AH19" i="3"/>
  <c r="AT19" i="3"/>
  <c r="AG11" i="3"/>
  <c r="AH32" i="3"/>
  <c r="AG682" i="3"/>
  <c r="AG36" i="3"/>
  <c r="AH28" i="3"/>
  <c r="B684" i="3"/>
  <c r="AR684" i="3"/>
  <c r="F684" i="3"/>
  <c r="AQ684" i="3"/>
  <c r="BM44" i="3"/>
  <c r="AO44" i="3"/>
  <c r="AG44" i="3"/>
  <c r="AH44" i="3"/>
  <c r="AQ45" i="3"/>
  <c r="AR45" i="3"/>
  <c r="A46" i="3"/>
  <c r="B45" i="3"/>
  <c r="AM45" i="3"/>
  <c r="AK45" i="3"/>
  <c r="T45" i="3"/>
  <c r="C45" i="3"/>
  <c r="Q45" i="3"/>
  <c r="P45" i="3"/>
  <c r="R45" i="3"/>
  <c r="AD45" i="3"/>
  <c r="O45" i="3"/>
  <c r="AE45" i="3"/>
  <c r="M45" i="3"/>
  <c r="U45" i="3"/>
  <c r="AF45" i="3"/>
  <c r="V45" i="3"/>
  <c r="D45" i="3"/>
  <c r="G45" i="3"/>
  <c r="H45" i="3"/>
  <c r="F45" i="3"/>
  <c r="S45" i="3"/>
  <c r="BN44" i="3"/>
  <c r="AN44" i="3"/>
  <c r="AT35" i="3"/>
  <c r="AT15" i="3"/>
  <c r="AU12" i="3"/>
  <c r="X17" i="3"/>
  <c r="X683" i="3"/>
  <c r="Y26" i="3"/>
  <c r="Z26" i="3"/>
  <c r="X34" i="3"/>
  <c r="Y23" i="3"/>
  <c r="Z23" i="3"/>
  <c r="AU23" i="3"/>
  <c r="Y40" i="3"/>
  <c r="Z40" i="3"/>
  <c r="U685" i="3"/>
  <c r="D686" i="3"/>
  <c r="AT683" i="3"/>
  <c r="Y38" i="3"/>
  <c r="Z38" i="3"/>
  <c r="Y14" i="3"/>
  <c r="Z14" i="3"/>
  <c r="AF685" i="3"/>
  <c r="AT23" i="3"/>
  <c r="O686" i="3"/>
  <c r="M686" i="3"/>
  <c r="AU35" i="3"/>
  <c r="AV35" i="3"/>
  <c r="X10" i="3"/>
  <c r="D685" i="3"/>
  <c r="AU38" i="3"/>
  <c r="AK685" i="3"/>
  <c r="AU28" i="3"/>
  <c r="AT11" i="3"/>
  <c r="AP9" i="3"/>
  <c r="Y31" i="3"/>
  <c r="Z31" i="3"/>
  <c r="X26" i="3"/>
  <c r="AQ685" i="3"/>
  <c r="AX21" i="3"/>
  <c r="AX23" i="3"/>
  <c r="AU24" i="3"/>
  <c r="AT37" i="3"/>
  <c r="S686" i="3"/>
  <c r="X28" i="3"/>
  <c r="Y24" i="3"/>
  <c r="Z24" i="3"/>
  <c r="X44" i="3"/>
  <c r="B686" i="3"/>
  <c r="R686" i="3"/>
  <c r="AW682" i="3"/>
  <c r="AX35" i="3"/>
  <c r="AH684" i="3"/>
  <c r="X21" i="3"/>
  <c r="X37" i="3"/>
  <c r="Y34" i="3"/>
  <c r="Z34" i="3"/>
  <c r="Y19" i="3"/>
  <c r="Z19" i="3"/>
  <c r="AT38" i="3"/>
  <c r="Y29" i="3"/>
  <c r="Z29" i="3"/>
  <c r="X40" i="3"/>
  <c r="AX12" i="3"/>
  <c r="AX683" i="3"/>
  <c r="X29" i="3"/>
  <c r="AT43" i="3"/>
  <c r="Y10" i="3"/>
  <c r="Z10" i="3"/>
  <c r="X16" i="3"/>
  <c r="Y37" i="3"/>
  <c r="Z37" i="3"/>
  <c r="Y33" i="3"/>
  <c r="Z33" i="3"/>
  <c r="AU21" i="3"/>
  <c r="AU683" i="3"/>
  <c r="Y11" i="3"/>
  <c r="Z11" i="3"/>
  <c r="AT18" i="3"/>
  <c r="AT29" i="3"/>
  <c r="AV29" i="3"/>
  <c r="D687" i="3"/>
  <c r="AU18" i="3"/>
  <c r="AU25" i="3"/>
  <c r="AW29" i="3"/>
  <c r="X682" i="3"/>
  <c r="AW16" i="3"/>
  <c r="X13" i="3"/>
  <c r="AW21" i="3"/>
  <c r="AY21" i="3"/>
  <c r="AW23" i="3"/>
  <c r="X20" i="3"/>
  <c r="AX40" i="3"/>
  <c r="X22" i="3"/>
  <c r="X33" i="3"/>
  <c r="Y28" i="3"/>
  <c r="Z28" i="3"/>
  <c r="AW33" i="3"/>
  <c r="Y682" i="3"/>
  <c r="Z682" i="3"/>
  <c r="AX38" i="3"/>
  <c r="X19" i="3"/>
  <c r="Y18" i="3"/>
  <c r="Z18" i="3"/>
  <c r="X12" i="3"/>
  <c r="Y27" i="3"/>
  <c r="Z27" i="3"/>
  <c r="Y21" i="3"/>
  <c r="Z21" i="3"/>
  <c r="X14" i="3"/>
  <c r="AW26" i="3"/>
  <c r="Y32" i="3"/>
  <c r="Z32" i="3"/>
  <c r="AT26" i="3"/>
  <c r="P687" i="3"/>
  <c r="AX26" i="3"/>
  <c r="AW30" i="3"/>
  <c r="AG684" i="3"/>
  <c r="AU26" i="3"/>
  <c r="AX37" i="3"/>
  <c r="S687" i="3"/>
  <c r="T687" i="3"/>
  <c r="AE687" i="3"/>
  <c r="B687" i="3"/>
  <c r="AX24" i="3"/>
  <c r="AU37" i="3"/>
  <c r="Y683" i="3"/>
  <c r="Z683" i="3"/>
  <c r="AX43" i="3"/>
  <c r="Y35" i="3"/>
  <c r="Z35" i="3"/>
  <c r="Y36" i="3"/>
  <c r="Z36" i="3"/>
  <c r="Y12" i="3"/>
  <c r="Z12" i="3"/>
  <c r="AU27" i="3"/>
  <c r="X15" i="3"/>
  <c r="AW37" i="3"/>
  <c r="X18" i="3"/>
  <c r="AX33" i="3"/>
  <c r="Y43" i="3"/>
  <c r="Z43" i="3"/>
  <c r="X31" i="3"/>
  <c r="AX27" i="3"/>
  <c r="AR685" i="3"/>
  <c r="AD685" i="3"/>
  <c r="C687" i="3"/>
  <c r="AU33" i="3"/>
  <c r="AV33" i="3"/>
  <c r="R685" i="3"/>
  <c r="F687" i="3"/>
  <c r="G686" i="3"/>
  <c r="H686" i="3"/>
  <c r="P686" i="3"/>
  <c r="P685" i="3"/>
  <c r="AW24" i="3"/>
  <c r="F686" i="3"/>
  <c r="V686" i="3"/>
  <c r="AE686" i="3"/>
  <c r="M685" i="3"/>
  <c r="Y30" i="3"/>
  <c r="Z30" i="3"/>
  <c r="X9" i="3"/>
  <c r="Y41" i="3"/>
  <c r="Z41" i="3"/>
  <c r="Y20" i="3"/>
  <c r="Z20" i="3"/>
  <c r="Y22" i="3"/>
  <c r="Z22" i="3"/>
  <c r="Y25" i="3"/>
  <c r="Z25" i="3"/>
  <c r="X30" i="3"/>
  <c r="X36" i="3"/>
  <c r="Y44" i="3"/>
  <c r="Z44" i="3"/>
  <c r="AX14" i="3"/>
  <c r="AW27" i="3"/>
  <c r="AT30" i="3"/>
  <c r="AW17" i="3"/>
  <c r="AU43" i="3"/>
  <c r="AW22" i="3"/>
  <c r="AX41" i="3"/>
  <c r="AT12" i="3"/>
  <c r="AW683" i="3"/>
  <c r="AW12" i="3"/>
  <c r="AY12" i="3"/>
  <c r="AT22" i="3"/>
  <c r="AX16" i="3"/>
  <c r="AU17" i="3"/>
  <c r="AU34" i="3"/>
  <c r="AT41" i="3"/>
  <c r="AT17" i="3"/>
  <c r="X42" i="3"/>
  <c r="Y16" i="3"/>
  <c r="Z16" i="3"/>
  <c r="Y17" i="3"/>
  <c r="Z17" i="3"/>
  <c r="X35" i="3"/>
  <c r="X32" i="3"/>
  <c r="X23" i="3"/>
  <c r="AW39" i="3"/>
  <c r="X39" i="3"/>
  <c r="AW43" i="3"/>
  <c r="AU22" i="3"/>
  <c r="AU10" i="3"/>
  <c r="X41" i="3"/>
  <c r="Y39" i="3"/>
  <c r="Z39" i="3"/>
  <c r="X24" i="3"/>
  <c r="AW18" i="3"/>
  <c r="X27" i="3"/>
  <c r="X38" i="3"/>
  <c r="Y15" i="3"/>
  <c r="Z15" i="3"/>
  <c r="Y13" i="3"/>
  <c r="Z13" i="3"/>
  <c r="AU30" i="3"/>
  <c r="AT27" i="3"/>
  <c r="AU14" i="3"/>
  <c r="X43" i="3"/>
  <c r="Y9" i="3"/>
  <c r="Z9" i="3"/>
  <c r="X11" i="3"/>
  <c r="AW38" i="3"/>
  <c r="R687" i="3"/>
  <c r="Q687" i="3"/>
  <c r="AM687" i="3"/>
  <c r="G687" i="3"/>
  <c r="H687" i="3"/>
  <c r="M687" i="3"/>
  <c r="AT10" i="3"/>
  <c r="AW10" i="3"/>
  <c r="AX30" i="3"/>
  <c r="AX18" i="3"/>
  <c r="AT40" i="3"/>
  <c r="S685" i="3"/>
  <c r="C685" i="3"/>
  <c r="AM685" i="3"/>
  <c r="AO685" i="3"/>
  <c r="O685" i="3"/>
  <c r="AX22" i="3"/>
  <c r="AK687" i="3"/>
  <c r="V687" i="3"/>
  <c r="AD687" i="3"/>
  <c r="T685" i="3"/>
  <c r="AE685" i="3"/>
  <c r="AT24" i="3"/>
  <c r="AW14" i="3"/>
  <c r="U687" i="3"/>
  <c r="AF687" i="3"/>
  <c r="AQ686" i="3"/>
  <c r="T686" i="3"/>
  <c r="C686" i="3"/>
  <c r="AM686" i="3"/>
  <c r="AK686" i="3"/>
  <c r="O687" i="3"/>
  <c r="AQ687" i="3"/>
  <c r="F685" i="3"/>
  <c r="Q686" i="3"/>
  <c r="AD686" i="3"/>
  <c r="V685" i="3"/>
  <c r="Q685" i="3"/>
  <c r="AR686" i="3"/>
  <c r="B685" i="3"/>
  <c r="AF686" i="3"/>
  <c r="AT14" i="3"/>
  <c r="AX15" i="3"/>
  <c r="X25" i="3"/>
  <c r="AW42" i="3"/>
  <c r="AT31" i="3"/>
  <c r="AX10" i="3"/>
  <c r="AT682" i="3"/>
  <c r="AU15" i="3"/>
  <c r="AV15" i="3"/>
  <c r="AX29" i="3"/>
  <c r="AW34" i="3"/>
  <c r="AX9" i="3"/>
  <c r="AX34" i="3"/>
  <c r="AX39" i="3"/>
  <c r="AX11" i="3"/>
  <c r="AX682" i="3"/>
  <c r="AW28" i="3"/>
  <c r="AU9" i="3"/>
  <c r="AU3" i="3"/>
  <c r="AU4" i="3"/>
  <c r="AT9" i="3"/>
  <c r="AT3" i="3"/>
  <c r="AT4" i="3"/>
  <c r="AW9" i="3"/>
  <c r="AT21" i="3"/>
  <c r="AX42" i="3"/>
  <c r="AI9" i="3"/>
  <c r="AU42" i="3"/>
  <c r="AV42" i="3"/>
  <c r="AU16" i="3"/>
  <c r="AX17" i="3"/>
  <c r="AU41" i="3"/>
  <c r="AN684" i="3"/>
  <c r="AU31" i="3"/>
  <c r="AW15" i="3"/>
  <c r="AU682" i="3"/>
  <c r="AT39" i="3"/>
  <c r="AU39" i="3"/>
  <c r="AW11" i="3"/>
  <c r="AX20" i="3"/>
  <c r="AO684" i="3"/>
  <c r="AU11" i="3"/>
  <c r="AW40" i="3"/>
  <c r="AX28" i="3"/>
  <c r="AT36" i="3"/>
  <c r="AW25" i="3"/>
  <c r="Y684" i="3"/>
  <c r="Z684" i="3"/>
  <c r="AX25" i="3"/>
  <c r="AW31" i="3"/>
  <c r="AX13" i="3"/>
  <c r="AT32" i="3"/>
  <c r="AT13" i="3"/>
  <c r="AW41" i="3"/>
  <c r="AW13" i="3"/>
  <c r="AU13" i="3"/>
  <c r="AT34" i="3"/>
  <c r="AU40" i="3"/>
  <c r="AX32" i="3"/>
  <c r="AT28" i="3"/>
  <c r="AU20" i="3"/>
  <c r="AV20" i="3"/>
  <c r="AW20" i="3"/>
  <c r="X684" i="3"/>
  <c r="AW32" i="3"/>
  <c r="AX36" i="3"/>
  <c r="AW35" i="3"/>
  <c r="AU32" i="3"/>
  <c r="AU36" i="3"/>
  <c r="AU19" i="3"/>
  <c r="AV19" i="3"/>
  <c r="AX19" i="3"/>
  <c r="AT25" i="3"/>
  <c r="AW19" i="3"/>
  <c r="AW36" i="3"/>
  <c r="AX31" i="3"/>
  <c r="BM45" i="3"/>
  <c r="AU44" i="3"/>
  <c r="AG45" i="3"/>
  <c r="AO45" i="3"/>
  <c r="AT44" i="3"/>
  <c r="AW44" i="3"/>
  <c r="X45" i="3"/>
  <c r="Y45" i="3"/>
  <c r="Z45" i="3"/>
  <c r="BN45" i="3"/>
  <c r="AQ46" i="3"/>
  <c r="B46" i="3"/>
  <c r="A47" i="3"/>
  <c r="AR46" i="3"/>
  <c r="D46" i="3"/>
  <c r="AM46" i="3"/>
  <c r="T46" i="3"/>
  <c r="R46" i="3"/>
  <c r="AK46" i="3"/>
  <c r="O46" i="3"/>
  <c r="Q46" i="3"/>
  <c r="AD46" i="3"/>
  <c r="P46" i="3"/>
  <c r="M46" i="3"/>
  <c r="AF46" i="3"/>
  <c r="U46" i="3"/>
  <c r="V46" i="3"/>
  <c r="AE46" i="3"/>
  <c r="G46" i="3"/>
  <c r="H46" i="3"/>
  <c r="C46" i="3"/>
  <c r="F46" i="3"/>
  <c r="S46" i="3"/>
  <c r="AN45" i="3"/>
  <c r="AX44" i="3"/>
  <c r="AH45" i="3"/>
  <c r="AY682" i="3"/>
  <c r="AY16" i="3"/>
  <c r="BA29" i="3"/>
  <c r="BB29" i="3"/>
  <c r="AV12" i="3"/>
  <c r="BC12" i="3"/>
  <c r="BD12" i="3"/>
  <c r="AV11" i="3"/>
  <c r="AY24" i="3"/>
  <c r="AV14" i="3"/>
  <c r="AY9" i="3"/>
  <c r="AY18" i="3"/>
  <c r="AV23" i="3"/>
  <c r="AY36" i="3"/>
  <c r="AV683" i="3"/>
  <c r="BA23" i="3"/>
  <c r="BB23" i="3"/>
  <c r="AW684" i="3"/>
  <c r="AV38" i="3"/>
  <c r="AT684" i="3"/>
  <c r="AV41" i="3"/>
  <c r="AV28" i="3"/>
  <c r="AV37" i="3"/>
  <c r="BA24" i="3"/>
  <c r="BF24" i="3"/>
  <c r="BA37" i="3"/>
  <c r="BF37" i="3"/>
  <c r="AY683" i="3"/>
  <c r="AY35" i="3"/>
  <c r="BC35" i="3"/>
  <c r="BG35" i="3"/>
  <c r="BH35" i="3"/>
  <c r="BI35" i="3"/>
  <c r="AY17" i="3"/>
  <c r="AV43" i="3"/>
  <c r="AY23" i="3"/>
  <c r="AV21" i="3"/>
  <c r="BC21" i="3"/>
  <c r="BG21" i="3"/>
  <c r="BH21" i="3"/>
  <c r="BI21" i="3"/>
  <c r="AV18" i="3"/>
  <c r="AY41" i="3"/>
  <c r="AY40" i="3"/>
  <c r="AH687" i="3"/>
  <c r="AG687" i="3"/>
  <c r="AH685" i="3"/>
  <c r="AY38" i="3"/>
  <c r="AY29" i="3"/>
  <c r="BC29" i="3"/>
  <c r="BG29" i="3"/>
  <c r="BH29" i="3"/>
  <c r="BI29" i="3"/>
  <c r="AY37" i="3"/>
  <c r="AV30" i="3"/>
  <c r="AV22" i="3"/>
  <c r="AV17" i="3"/>
  <c r="BA33" i="3"/>
  <c r="BF33" i="3"/>
  <c r="AV26" i="3"/>
  <c r="AY33" i="3"/>
  <c r="BC33" i="3"/>
  <c r="BD33" i="3"/>
  <c r="AU684" i="3"/>
  <c r="BA12" i="3"/>
  <c r="BB12" i="3"/>
  <c r="AV40" i="3"/>
  <c r="AV27" i="3"/>
  <c r="BA30" i="3"/>
  <c r="BQ30" i="3"/>
  <c r="BA14" i="3"/>
  <c r="BQ14" i="3"/>
  <c r="AY26" i="3"/>
  <c r="BA26" i="3"/>
  <c r="BB26" i="3"/>
  <c r="BA38" i="3"/>
  <c r="BB38" i="3"/>
  <c r="AY30" i="3"/>
  <c r="Y686" i="3"/>
  <c r="Z686" i="3"/>
  <c r="AG685" i="3"/>
  <c r="BA16" i="3"/>
  <c r="BF16" i="3"/>
  <c r="BA43" i="3"/>
  <c r="BB43" i="3"/>
  <c r="X686" i="3"/>
  <c r="AN685" i="3"/>
  <c r="AY14" i="3"/>
  <c r="X687" i="3"/>
  <c r="AY27" i="3"/>
  <c r="BA683" i="3"/>
  <c r="BB683" i="3"/>
  <c r="AY22" i="3"/>
  <c r="AV10" i="3"/>
  <c r="AY43" i="3"/>
  <c r="BA27" i="3"/>
  <c r="BQ27" i="3"/>
  <c r="AV16" i="3"/>
  <c r="BC16" i="3"/>
  <c r="BG16" i="3"/>
  <c r="BH16" i="3"/>
  <c r="BI16" i="3"/>
  <c r="AV24" i="3"/>
  <c r="AO687" i="3"/>
  <c r="BA18" i="3"/>
  <c r="BB18" i="3"/>
  <c r="AY39" i="3"/>
  <c r="BA34" i="3"/>
  <c r="BF34" i="3"/>
  <c r="BA25" i="3"/>
  <c r="BF25" i="3"/>
  <c r="BA40" i="3"/>
  <c r="BQ40" i="3"/>
  <c r="BA22" i="3"/>
  <c r="BB22" i="3"/>
  <c r="AX684" i="3"/>
  <c r="AG686" i="3"/>
  <c r="AO686" i="3"/>
  <c r="Y685" i="3"/>
  <c r="Z685" i="3"/>
  <c r="X685" i="3"/>
  <c r="BA10" i="3"/>
  <c r="BB10" i="3"/>
  <c r="AN687" i="3"/>
  <c r="Y687" i="3"/>
  <c r="Z687" i="3"/>
  <c r="AV32" i="3"/>
  <c r="BA9" i="3"/>
  <c r="BQ9" i="3"/>
  <c r="AY10" i="3"/>
  <c r="AV25" i="3"/>
  <c r="BA17" i="3"/>
  <c r="BF17" i="3"/>
  <c r="AH686" i="3"/>
  <c r="AN686" i="3"/>
  <c r="AY15" i="3"/>
  <c r="BC15" i="3"/>
  <c r="BG15" i="3"/>
  <c r="BH15" i="3"/>
  <c r="BI15" i="3"/>
  <c r="AV34" i="3"/>
  <c r="BA15" i="3"/>
  <c r="BQ15" i="3"/>
  <c r="BA42" i="3"/>
  <c r="BQ42" i="3"/>
  <c r="AY42" i="3"/>
  <c r="BC42" i="3"/>
  <c r="AV36" i="3"/>
  <c r="AV31" i="3"/>
  <c r="BA19" i="3"/>
  <c r="BB19" i="3"/>
  <c r="AV39" i="3"/>
  <c r="AY20" i="3"/>
  <c r="BC20" i="3"/>
  <c r="BA682" i="3"/>
  <c r="BF682" i="3"/>
  <c r="AY34" i="3"/>
  <c r="BA21" i="3"/>
  <c r="BF21" i="3"/>
  <c r="AV9" i="3"/>
  <c r="BA31" i="3"/>
  <c r="BB31" i="3"/>
  <c r="AV682" i="3"/>
  <c r="BC682" i="3"/>
  <c r="BD682" i="3"/>
  <c r="AY11" i="3"/>
  <c r="AY28" i="3"/>
  <c r="BA39" i="3"/>
  <c r="BF39" i="3"/>
  <c r="BA11" i="3"/>
  <c r="BF11" i="3"/>
  <c r="BA41" i="3"/>
  <c r="BF41" i="3"/>
  <c r="BA28" i="3"/>
  <c r="BB28" i="3"/>
  <c r="AY31" i="3"/>
  <c r="AY25" i="3"/>
  <c r="AY13" i="3"/>
  <c r="AY32" i="3"/>
  <c r="BA13" i="3"/>
  <c r="BB13" i="3"/>
  <c r="BA36" i="3"/>
  <c r="BF36" i="3"/>
  <c r="BA32" i="3"/>
  <c r="BQ32" i="3"/>
  <c r="AV13" i="3"/>
  <c r="BA35" i="3"/>
  <c r="BB35" i="3"/>
  <c r="BA20" i="3"/>
  <c r="BF20" i="3"/>
  <c r="AY19" i="3"/>
  <c r="BC19" i="3"/>
  <c r="BD19" i="3"/>
  <c r="AV44" i="3"/>
  <c r="BN46" i="3"/>
  <c r="AX45" i="3"/>
  <c r="AY44" i="3"/>
  <c r="AG46" i="3"/>
  <c r="AN46" i="3"/>
  <c r="X46" i="3"/>
  <c r="Y46" i="3"/>
  <c r="Z46" i="3"/>
  <c r="AQ47" i="3"/>
  <c r="AR47" i="3"/>
  <c r="A48" i="3"/>
  <c r="B47" i="3"/>
  <c r="C47" i="3"/>
  <c r="AM47" i="3"/>
  <c r="D47" i="3"/>
  <c r="AK47" i="3"/>
  <c r="T47" i="3"/>
  <c r="Q47" i="3"/>
  <c r="AD47" i="3"/>
  <c r="R47" i="3"/>
  <c r="P47" i="3"/>
  <c r="O47" i="3"/>
  <c r="AE47" i="3"/>
  <c r="M47" i="3"/>
  <c r="AF47" i="3"/>
  <c r="U47" i="3"/>
  <c r="V47" i="3"/>
  <c r="F47" i="3"/>
  <c r="G47" i="3"/>
  <c r="H47" i="3"/>
  <c r="S47" i="3"/>
  <c r="BA44" i="3"/>
  <c r="AH46" i="3"/>
  <c r="AT45" i="3"/>
  <c r="AW45" i="3"/>
  <c r="AU45" i="3"/>
  <c r="BM46" i="3"/>
  <c r="AO46" i="3"/>
  <c r="BC43" i="3"/>
  <c r="BG43" i="3"/>
  <c r="BH43" i="3"/>
  <c r="BI43" i="3"/>
  <c r="BF23" i="3"/>
  <c r="BJ33" i="3"/>
  <c r="BK33" i="3"/>
  <c r="BC17" i="3"/>
  <c r="BD17" i="3"/>
  <c r="BQ29" i="3"/>
  <c r="BF29" i="3"/>
  <c r="AV684" i="3"/>
  <c r="BC11" i="3"/>
  <c r="BD11" i="3"/>
  <c r="BC38" i="3"/>
  <c r="BD38" i="3"/>
  <c r="BC24" i="3"/>
  <c r="BD24" i="3"/>
  <c r="BC18" i="3"/>
  <c r="BG18" i="3"/>
  <c r="BH18" i="3"/>
  <c r="BI18" i="3"/>
  <c r="BC14" i="3"/>
  <c r="BD14" i="3"/>
  <c r="BC9" i="3"/>
  <c r="BG9" i="3"/>
  <c r="BH9" i="3"/>
  <c r="BI9" i="3"/>
  <c r="BC26" i="3"/>
  <c r="BG26" i="3"/>
  <c r="BH26" i="3"/>
  <c r="BI26" i="3"/>
  <c r="BC23" i="3"/>
  <c r="BD23" i="3"/>
  <c r="BC36" i="3"/>
  <c r="BD36" i="3"/>
  <c r="BC683" i="3"/>
  <c r="BG683" i="3"/>
  <c r="BH683" i="3"/>
  <c r="BI683" i="3"/>
  <c r="BC28" i="3"/>
  <c r="BD28" i="3"/>
  <c r="BQ23" i="3"/>
  <c r="BC34" i="3"/>
  <c r="BD34" i="3"/>
  <c r="AY684" i="3"/>
  <c r="BB37" i="3"/>
  <c r="BQ37" i="3"/>
  <c r="BJ36" i="3"/>
  <c r="BK36" i="3"/>
  <c r="BG12" i="3"/>
  <c r="BH12" i="3"/>
  <c r="BI12" i="3"/>
  <c r="BJ23" i="3"/>
  <c r="BK23" i="3"/>
  <c r="BC41" i="3"/>
  <c r="BD41" i="3"/>
  <c r="BF30" i="3"/>
  <c r="BQ24" i="3"/>
  <c r="BC37" i="3"/>
  <c r="BG37" i="3"/>
  <c r="BH37" i="3"/>
  <c r="BI37" i="3"/>
  <c r="BB24" i="3"/>
  <c r="BJ24" i="3"/>
  <c r="BK24" i="3"/>
  <c r="BC40" i="3"/>
  <c r="BG40" i="3"/>
  <c r="BH40" i="3"/>
  <c r="BI40" i="3"/>
  <c r="AU687" i="3"/>
  <c r="BB30" i="3"/>
  <c r="BG17" i="3"/>
  <c r="BH17" i="3"/>
  <c r="BI17" i="3"/>
  <c r="BC30" i="3"/>
  <c r="BD30" i="3"/>
  <c r="AT687" i="3"/>
  <c r="BQ26" i="3"/>
  <c r="BF683" i="3"/>
  <c r="AU685" i="3"/>
  <c r="AX685" i="3"/>
  <c r="BA684" i="3"/>
  <c r="BF684" i="3"/>
  <c r="BQ33" i="3"/>
  <c r="BB33" i="3"/>
  <c r="BB14" i="3"/>
  <c r="BF12" i="3"/>
  <c r="BJ11" i="3"/>
  <c r="BK11" i="3"/>
  <c r="BC22" i="3"/>
  <c r="BG22" i="3"/>
  <c r="BH22" i="3"/>
  <c r="BI22" i="3"/>
  <c r="BQ43" i="3"/>
  <c r="AT685" i="3"/>
  <c r="BQ17" i="3"/>
  <c r="BB42" i="3"/>
  <c r="BF43" i="3"/>
  <c r="BF26" i="3"/>
  <c r="BJ25" i="3"/>
  <c r="BK25" i="3"/>
  <c r="BQ34" i="3"/>
  <c r="BQ12" i="3"/>
  <c r="AW685" i="3"/>
  <c r="BF14" i="3"/>
  <c r="BC27" i="3"/>
  <c r="BD27" i="3"/>
  <c r="BF38" i="3"/>
  <c r="BJ38" i="3"/>
  <c r="BC32" i="3"/>
  <c r="BG32" i="3"/>
  <c r="BH32" i="3"/>
  <c r="BI32" i="3"/>
  <c r="BF32" i="3"/>
  <c r="BJ32" i="3"/>
  <c r="BK32" i="3"/>
  <c r="BC25" i="3"/>
  <c r="BG25" i="3"/>
  <c r="BH25" i="3"/>
  <c r="BI25" i="3"/>
  <c r="BQ25" i="3"/>
  <c r="BQ38" i="3"/>
  <c r="BB25" i="3"/>
  <c r="BQ22" i="3"/>
  <c r="BQ16" i="3"/>
  <c r="BB16" i="3"/>
  <c r="BJ16" i="3"/>
  <c r="BK16" i="3"/>
  <c r="AX687" i="3"/>
  <c r="BQ19" i="3"/>
  <c r="BF22" i="3"/>
  <c r="BQ10" i="3"/>
  <c r="AW687" i="3"/>
  <c r="BC10" i="3"/>
  <c r="BD10" i="3"/>
  <c r="BB27" i="3"/>
  <c r="BF18" i="3"/>
  <c r="BJ17" i="3"/>
  <c r="BK17" i="3"/>
  <c r="BF9" i="3"/>
  <c r="BB34" i="3"/>
  <c r="BF27" i="3"/>
  <c r="BQ18" i="3"/>
  <c r="BF40" i="3"/>
  <c r="BJ40" i="3"/>
  <c r="BK40" i="3"/>
  <c r="BQ36" i="3"/>
  <c r="BB36" i="3"/>
  <c r="BB20" i="3"/>
  <c r="BQ13" i="3"/>
  <c r="BF19" i="3"/>
  <c r="BJ19" i="3"/>
  <c r="BK19" i="3"/>
  <c r="BB17" i="3"/>
  <c r="BF28" i="3"/>
  <c r="BQ28" i="3"/>
  <c r="BF42" i="3"/>
  <c r="BJ41" i="3"/>
  <c r="BK41" i="3"/>
  <c r="BF10" i="3"/>
  <c r="BJ10" i="3"/>
  <c r="BK10" i="3"/>
  <c r="BC39" i="3"/>
  <c r="BD39" i="3"/>
  <c r="BF15" i="3"/>
  <c r="BJ15" i="3"/>
  <c r="BK15" i="3"/>
  <c r="BB40" i="3"/>
  <c r="AU686" i="3"/>
  <c r="AT686" i="3"/>
  <c r="BB9" i="3"/>
  <c r="BQ31" i="3"/>
  <c r="BB15" i="3"/>
  <c r="BF31" i="3"/>
  <c r="BB21" i="3"/>
  <c r="BB11" i="3"/>
  <c r="BQ21" i="3"/>
  <c r="AW686" i="3"/>
  <c r="AX686" i="3"/>
  <c r="BC31" i="3"/>
  <c r="BG31" i="3"/>
  <c r="BH31" i="3"/>
  <c r="BI31" i="3"/>
  <c r="BG33" i="3"/>
  <c r="BH33" i="3"/>
  <c r="BI33" i="3"/>
  <c r="BG42" i="3"/>
  <c r="BH42" i="3"/>
  <c r="BI42" i="3"/>
  <c r="BD42" i="3"/>
  <c r="BG20" i="3"/>
  <c r="BH20" i="3"/>
  <c r="BI20" i="3"/>
  <c r="BD20" i="3"/>
  <c r="BQ20" i="3"/>
  <c r="BJ20" i="3"/>
  <c r="BK20" i="3"/>
  <c r="BB682" i="3"/>
  <c r="BQ39" i="3"/>
  <c r="BF13" i="3"/>
  <c r="BG682" i="3"/>
  <c r="BH682" i="3"/>
  <c r="BI682" i="3"/>
  <c r="BB39" i="3"/>
  <c r="BF35" i="3"/>
  <c r="BJ34" i="3"/>
  <c r="BK34" i="3"/>
  <c r="BQ41" i="3"/>
  <c r="BB41" i="3"/>
  <c r="BQ11" i="3"/>
  <c r="BG19" i="3"/>
  <c r="BH19" i="3"/>
  <c r="BI19" i="3"/>
  <c r="BC13" i="3"/>
  <c r="BG13" i="3"/>
  <c r="BH13" i="3"/>
  <c r="BI13" i="3"/>
  <c r="BD35" i="3"/>
  <c r="BB32" i="3"/>
  <c r="BQ35" i="3"/>
  <c r="BN47" i="3"/>
  <c r="BD15" i="3"/>
  <c r="BD21" i="3"/>
  <c r="BD16" i="3"/>
  <c r="BD29" i="3"/>
  <c r="BC44" i="3"/>
  <c r="BG44" i="3"/>
  <c r="BH44" i="3"/>
  <c r="BI44" i="3"/>
  <c r="BD43" i="3"/>
  <c r="AT46" i="3"/>
  <c r="BM47" i="3"/>
  <c r="AO47" i="3"/>
  <c r="AY45" i="3"/>
  <c r="AU46" i="3"/>
  <c r="AX46" i="3"/>
  <c r="AV45" i="3"/>
  <c r="BB44" i="3"/>
  <c r="BF44" i="3"/>
  <c r="BQ44" i="3"/>
  <c r="Y47" i="3"/>
  <c r="Z47" i="3"/>
  <c r="AR48" i="3"/>
  <c r="B48" i="3"/>
  <c r="AQ48" i="3"/>
  <c r="A49" i="3"/>
  <c r="AM48" i="3"/>
  <c r="R48" i="3"/>
  <c r="AK48" i="3"/>
  <c r="S48" i="3"/>
  <c r="T48" i="3"/>
  <c r="AD48" i="3"/>
  <c r="O48" i="3"/>
  <c r="P48" i="3"/>
  <c r="M48" i="3"/>
  <c r="AE48" i="3"/>
  <c r="AF48" i="3"/>
  <c r="U48" i="3"/>
  <c r="V48" i="3"/>
  <c r="Q48" i="3"/>
  <c r="C48" i="3"/>
  <c r="D48" i="3"/>
  <c r="G48" i="3"/>
  <c r="H48" i="3"/>
  <c r="F48" i="3"/>
  <c r="BA45" i="3"/>
  <c r="AW46" i="3"/>
  <c r="AG47" i="3"/>
  <c r="AH47" i="3"/>
  <c r="X47" i="3"/>
  <c r="AN47" i="3"/>
  <c r="BJ28" i="3"/>
  <c r="BK28" i="3"/>
  <c r="BJ22" i="3"/>
  <c r="BK22" i="3"/>
  <c r="BJ29" i="3"/>
  <c r="BK29" i="3"/>
  <c r="BC684" i="3"/>
  <c r="BD684" i="3"/>
  <c r="BG14" i="3"/>
  <c r="BH14" i="3"/>
  <c r="BI14" i="3"/>
  <c r="BG11" i="3"/>
  <c r="BH11" i="3"/>
  <c r="BI11" i="3"/>
  <c r="BG38" i="3"/>
  <c r="BH38" i="3"/>
  <c r="BI38" i="3"/>
  <c r="BG24" i="3"/>
  <c r="BH24" i="3"/>
  <c r="BI24" i="3"/>
  <c r="BD18" i="3"/>
  <c r="BD9" i="3"/>
  <c r="BD26" i="3"/>
  <c r="BG23" i="3"/>
  <c r="BH23" i="3"/>
  <c r="BI23" i="3"/>
  <c r="AY687" i="3"/>
  <c r="BD683" i="3"/>
  <c r="BG36" i="3"/>
  <c r="BH36" i="3"/>
  <c r="BI36" i="3"/>
  <c r="BG28" i="3"/>
  <c r="BH28" i="3"/>
  <c r="BI28" i="3"/>
  <c r="BJ30" i="3"/>
  <c r="BK30" i="3"/>
  <c r="BG34" i="3"/>
  <c r="BH34" i="3"/>
  <c r="BI34" i="3"/>
  <c r="BG41" i="3"/>
  <c r="BH41" i="3"/>
  <c r="BI41" i="3"/>
  <c r="AV46" i="3"/>
  <c r="AV687" i="3"/>
  <c r="BD37" i="3"/>
  <c r="BD40" i="3"/>
  <c r="BG30" i="3"/>
  <c r="BH30" i="3"/>
  <c r="BI30" i="3"/>
  <c r="AO48" i="3"/>
  <c r="BJ43" i="3"/>
  <c r="BK43" i="3"/>
  <c r="BB684" i="3"/>
  <c r="AV685" i="3"/>
  <c r="BJ37" i="3"/>
  <c r="BK37" i="3"/>
  <c r="BD22" i="3"/>
  <c r="BJ13" i="3"/>
  <c r="BK13" i="3"/>
  <c r="AY685" i="3"/>
  <c r="BJ26" i="3"/>
  <c r="BK26" i="3"/>
  <c r="BD25" i="3"/>
  <c r="BA685" i="3"/>
  <c r="BB685" i="3"/>
  <c r="BG27" i="3"/>
  <c r="BH27" i="3"/>
  <c r="BI27" i="3"/>
  <c r="BD32" i="3"/>
  <c r="BA687" i="3"/>
  <c r="BB687" i="3"/>
  <c r="BJ31" i="3"/>
  <c r="BK31" i="3"/>
  <c r="BJ27" i="3"/>
  <c r="BK27" i="3"/>
  <c r="BJ21" i="3"/>
  <c r="BK21" i="3"/>
  <c r="BJ39" i="3"/>
  <c r="BJ42" i="3"/>
  <c r="BK42" i="3"/>
  <c r="BJ12" i="3"/>
  <c r="BK12" i="3"/>
  <c r="BG10" i="3"/>
  <c r="BH10" i="3"/>
  <c r="BI10" i="3"/>
  <c r="BJ18" i="3"/>
  <c r="BK18" i="3"/>
  <c r="BJ9" i="3"/>
  <c r="BK9" i="3"/>
  <c r="BG39" i="3"/>
  <c r="BH39" i="3"/>
  <c r="BI39" i="3"/>
  <c r="BD31" i="3"/>
  <c r="BJ14" i="3"/>
  <c r="BK14" i="3"/>
  <c r="BJ35" i="3"/>
  <c r="BK35" i="3"/>
  <c r="AV686" i="3"/>
  <c r="BA686" i="3"/>
  <c r="BB686" i="3"/>
  <c r="AY686" i="3"/>
  <c r="BK38" i="3"/>
  <c r="BD13" i="3"/>
  <c r="BD44" i="3"/>
  <c r="BN48" i="3"/>
  <c r="BC45" i="3"/>
  <c r="BD45" i="3"/>
  <c r="BA46" i="3"/>
  <c r="BQ46" i="3"/>
  <c r="AU47" i="3"/>
  <c r="AH48" i="3"/>
  <c r="AN48" i="3"/>
  <c r="X48" i="3"/>
  <c r="AY46" i="3"/>
  <c r="BB45" i="3"/>
  <c r="BF45" i="3"/>
  <c r="BJ44" i="3"/>
  <c r="BK44" i="3"/>
  <c r="BQ45" i="3"/>
  <c r="Y48" i="3"/>
  <c r="Z48" i="3"/>
  <c r="AQ49" i="3"/>
  <c r="AR49" i="3"/>
  <c r="A50" i="3"/>
  <c r="B49" i="3"/>
  <c r="D49" i="3"/>
  <c r="AK49" i="3"/>
  <c r="R49" i="3"/>
  <c r="AM49" i="3"/>
  <c r="S49" i="3"/>
  <c r="Q49" i="3"/>
  <c r="AD49" i="3"/>
  <c r="AE49" i="3"/>
  <c r="U49" i="3"/>
  <c r="P49" i="3"/>
  <c r="O49" i="3"/>
  <c r="AF49" i="3"/>
  <c r="M49" i="3"/>
  <c r="V49" i="3"/>
  <c r="C49" i="3"/>
  <c r="G49" i="3"/>
  <c r="H49" i="3"/>
  <c r="F49" i="3"/>
  <c r="T49" i="3"/>
  <c r="AT47" i="3"/>
  <c r="AW47" i="3"/>
  <c r="BM48" i="3"/>
  <c r="AG48" i="3"/>
  <c r="AX47" i="3"/>
  <c r="BG684" i="3"/>
  <c r="BH684" i="3"/>
  <c r="BI684" i="3"/>
  <c r="BC687" i="3"/>
  <c r="BD687" i="3"/>
  <c r="BC685" i="3"/>
  <c r="BD685" i="3"/>
  <c r="BC46" i="3"/>
  <c r="BG46" i="3"/>
  <c r="BH46" i="3"/>
  <c r="BI46" i="3"/>
  <c r="BK39" i="3"/>
  <c r="BF685" i="3"/>
  <c r="BF687" i="3"/>
  <c r="BC686" i="3"/>
  <c r="BF686" i="3"/>
  <c r="AN49" i="3"/>
  <c r="BB46" i="3"/>
  <c r="BM49" i="3"/>
  <c r="BG45" i="3"/>
  <c r="BH45" i="3"/>
  <c r="BI45" i="3"/>
  <c r="BF46" i="3"/>
  <c r="BJ45" i="3"/>
  <c r="BN49" i="3"/>
  <c r="AW48" i="3"/>
  <c r="Y49" i="3"/>
  <c r="Z49" i="3"/>
  <c r="AV47" i="3"/>
  <c r="BA47" i="3"/>
  <c r="AQ50" i="3"/>
  <c r="B50" i="3"/>
  <c r="A51" i="3"/>
  <c r="AR50" i="3"/>
  <c r="C50" i="3"/>
  <c r="AK50" i="3"/>
  <c r="T50" i="3"/>
  <c r="AM50" i="3"/>
  <c r="Q50" i="3"/>
  <c r="AD50" i="3"/>
  <c r="P50" i="3"/>
  <c r="S50" i="3"/>
  <c r="O50" i="3"/>
  <c r="AE50" i="3"/>
  <c r="AF50" i="3"/>
  <c r="U50" i="3"/>
  <c r="M50" i="3"/>
  <c r="V50" i="3"/>
  <c r="D50" i="3"/>
  <c r="G50" i="3"/>
  <c r="H50" i="3"/>
  <c r="F50" i="3"/>
  <c r="R50" i="3"/>
  <c r="AU48" i="3"/>
  <c r="AX48" i="3"/>
  <c r="X49" i="3"/>
  <c r="AH49" i="3"/>
  <c r="AY47" i="3"/>
  <c r="AT48" i="3"/>
  <c r="AG49" i="3"/>
  <c r="AO49" i="3"/>
  <c r="BM50" i="3"/>
  <c r="BG687" i="3"/>
  <c r="BH687" i="3"/>
  <c r="BI687" i="3"/>
  <c r="BG685" i="3"/>
  <c r="BH685" i="3"/>
  <c r="BI685" i="3"/>
  <c r="BD46" i="3"/>
  <c r="AN50" i="3"/>
  <c r="BG686" i="3"/>
  <c r="BH686" i="3"/>
  <c r="BI686" i="3"/>
  <c r="BD686" i="3"/>
  <c r="BN50" i="3"/>
  <c r="BC47" i="3"/>
  <c r="BD47" i="3"/>
  <c r="AY48" i="3"/>
  <c r="AG50" i="3"/>
  <c r="BK45" i="3"/>
  <c r="Y50" i="3"/>
  <c r="Z50" i="3"/>
  <c r="AQ51" i="3"/>
  <c r="AR51" i="3"/>
  <c r="A52" i="3"/>
  <c r="B51" i="3"/>
  <c r="D51" i="3"/>
  <c r="S51" i="3"/>
  <c r="AK51" i="3"/>
  <c r="AM51" i="3"/>
  <c r="AD51" i="3"/>
  <c r="Q51" i="3"/>
  <c r="R51" i="3"/>
  <c r="P51" i="3"/>
  <c r="O51" i="3"/>
  <c r="AE51" i="3"/>
  <c r="M51" i="3"/>
  <c r="AF51" i="3"/>
  <c r="U51" i="3"/>
  <c r="V51" i="3"/>
  <c r="C51" i="3"/>
  <c r="G51" i="3"/>
  <c r="H51" i="3"/>
  <c r="F51" i="3"/>
  <c r="T51" i="3"/>
  <c r="AX49" i="3"/>
  <c r="AO50" i="3"/>
  <c r="AT49" i="3"/>
  <c r="AW49" i="3"/>
  <c r="X50" i="3"/>
  <c r="AV48" i="3"/>
  <c r="BA48" i="3"/>
  <c r="BB47" i="3"/>
  <c r="BQ47" i="3"/>
  <c r="BF47" i="3"/>
  <c r="BJ46" i="3"/>
  <c r="BK46" i="3"/>
  <c r="AU49" i="3"/>
  <c r="AH50" i="3"/>
  <c r="BM51" i="3"/>
  <c r="AU50" i="3"/>
  <c r="BN51" i="3"/>
  <c r="BG47" i="3"/>
  <c r="BH47" i="3"/>
  <c r="BI47" i="3"/>
  <c r="BC48" i="3"/>
  <c r="BG48" i="3"/>
  <c r="BH48" i="3"/>
  <c r="BI48" i="3"/>
  <c r="Y51" i="3"/>
  <c r="Z51" i="3"/>
  <c r="AN51" i="3"/>
  <c r="AT50" i="3"/>
  <c r="AW50" i="3"/>
  <c r="AG51" i="3"/>
  <c r="AY49" i="3"/>
  <c r="BF48" i="3"/>
  <c r="BJ47" i="3"/>
  <c r="BK47" i="3"/>
  <c r="BB48" i="3"/>
  <c r="BQ48" i="3"/>
  <c r="AV49" i="3"/>
  <c r="BA49" i="3"/>
  <c r="AR52" i="3"/>
  <c r="B52" i="3"/>
  <c r="AQ52" i="3"/>
  <c r="A53" i="3"/>
  <c r="D52" i="3"/>
  <c r="AK52" i="3"/>
  <c r="R52" i="3"/>
  <c r="AM52" i="3"/>
  <c r="C52" i="3"/>
  <c r="P52" i="3"/>
  <c r="AD52" i="3"/>
  <c r="M52" i="3"/>
  <c r="AE52" i="3"/>
  <c r="U52" i="3"/>
  <c r="O52" i="3"/>
  <c r="AF52" i="3"/>
  <c r="V52" i="3"/>
  <c r="Q52" i="3"/>
  <c r="G52" i="3"/>
  <c r="H52" i="3"/>
  <c r="F52" i="3"/>
  <c r="T52" i="3"/>
  <c r="S52" i="3"/>
  <c r="AX50" i="3"/>
  <c r="X51" i="3"/>
  <c r="AH51" i="3"/>
  <c r="AO51" i="3"/>
  <c r="BN52" i="3"/>
  <c r="BD48" i="3"/>
  <c r="AV50" i="3"/>
  <c r="AY50" i="3"/>
  <c r="AN52" i="3"/>
  <c r="BM52" i="3"/>
  <c r="AT51" i="3"/>
  <c r="AG52" i="3"/>
  <c r="BC49" i="3"/>
  <c r="BG49" i="3"/>
  <c r="BH49" i="3"/>
  <c r="BI49" i="3"/>
  <c r="AW51" i="3"/>
  <c r="AU51" i="3"/>
  <c r="X52" i="3"/>
  <c r="Y52" i="3"/>
  <c r="Z52" i="3"/>
  <c r="BA50" i="3"/>
  <c r="BF50" i="3"/>
  <c r="AQ53" i="3"/>
  <c r="AR53" i="3"/>
  <c r="A54" i="3"/>
  <c r="B53" i="3"/>
  <c r="S53" i="3"/>
  <c r="AM53" i="3"/>
  <c r="AK53" i="3"/>
  <c r="Q53" i="3"/>
  <c r="AD53" i="3"/>
  <c r="P53" i="3"/>
  <c r="T53" i="3"/>
  <c r="R53" i="3"/>
  <c r="O53" i="3"/>
  <c r="AF53" i="3"/>
  <c r="M53" i="3"/>
  <c r="AE53" i="3"/>
  <c r="U53" i="3"/>
  <c r="V53" i="3"/>
  <c r="F53" i="3"/>
  <c r="D53" i="3"/>
  <c r="C53" i="3"/>
  <c r="G53" i="3"/>
  <c r="H53" i="3"/>
  <c r="BQ49" i="3"/>
  <c r="BB49" i="3"/>
  <c r="BF49" i="3"/>
  <c r="BJ48" i="3"/>
  <c r="BK48" i="3"/>
  <c r="AX51" i="3"/>
  <c r="AO52" i="3"/>
  <c r="AH52" i="3"/>
  <c r="BN53" i="3"/>
  <c r="BC50" i="3"/>
  <c r="BG50" i="3"/>
  <c r="BH50" i="3"/>
  <c r="BI50" i="3"/>
  <c r="AV51" i="3"/>
  <c r="AX52" i="3"/>
  <c r="BD49" i="3"/>
  <c r="BM53" i="3"/>
  <c r="BA51" i="3"/>
  <c r="BF51" i="3"/>
  <c r="AT52" i="3"/>
  <c r="AU52" i="3"/>
  <c r="AW52" i="3"/>
  <c r="AH53" i="3"/>
  <c r="AO53" i="3"/>
  <c r="BB50" i="3"/>
  <c r="BQ50" i="3"/>
  <c r="Y53" i="3"/>
  <c r="Z53" i="3"/>
  <c r="AY51" i="3"/>
  <c r="AG53" i="3"/>
  <c r="AN53" i="3"/>
  <c r="BJ49" i="3"/>
  <c r="BK49" i="3"/>
  <c r="AQ54" i="3"/>
  <c r="B54" i="3"/>
  <c r="A55" i="3"/>
  <c r="AR54" i="3"/>
  <c r="D54" i="3"/>
  <c r="C54" i="3"/>
  <c r="AK54" i="3"/>
  <c r="S54" i="3"/>
  <c r="AM54" i="3"/>
  <c r="Q54" i="3"/>
  <c r="R54" i="3"/>
  <c r="O54" i="3"/>
  <c r="AD54" i="3"/>
  <c r="M54" i="3"/>
  <c r="AE54" i="3"/>
  <c r="AF54" i="3"/>
  <c r="U54" i="3"/>
  <c r="P54" i="3"/>
  <c r="V54" i="3"/>
  <c r="F54" i="3"/>
  <c r="G54" i="3"/>
  <c r="H54" i="3"/>
  <c r="T54" i="3"/>
  <c r="X53" i="3"/>
  <c r="BN54" i="3"/>
  <c r="BM54" i="3"/>
  <c r="BD50" i="3"/>
  <c r="BC51" i="3"/>
  <c r="BD51" i="3"/>
  <c r="BQ51" i="3"/>
  <c r="AN54" i="3"/>
  <c r="AY52" i="3"/>
  <c r="AG54" i="3"/>
  <c r="BB51" i="3"/>
  <c r="AX53" i="3"/>
  <c r="BA52" i="3"/>
  <c r="BF52" i="3"/>
  <c r="BJ51" i="3"/>
  <c r="AT53" i="3"/>
  <c r="AU53" i="3"/>
  <c r="AV52" i="3"/>
  <c r="AH54" i="3"/>
  <c r="AO54" i="3"/>
  <c r="Y54" i="3"/>
  <c r="Z54" i="3"/>
  <c r="X54" i="3"/>
  <c r="AW53" i="3"/>
  <c r="AQ55" i="3"/>
  <c r="AR55" i="3"/>
  <c r="A56" i="3"/>
  <c r="B55" i="3"/>
  <c r="C55" i="3"/>
  <c r="AM55" i="3"/>
  <c r="AK55" i="3"/>
  <c r="T55" i="3"/>
  <c r="Q55" i="3"/>
  <c r="R55" i="3"/>
  <c r="AD55" i="3"/>
  <c r="O55" i="3"/>
  <c r="P55" i="3"/>
  <c r="AE55" i="3"/>
  <c r="M55" i="3"/>
  <c r="V55" i="3"/>
  <c r="U55" i="3"/>
  <c r="AF55" i="3"/>
  <c r="G55" i="3"/>
  <c r="H55" i="3"/>
  <c r="F55" i="3"/>
  <c r="D55" i="3"/>
  <c r="S55" i="3"/>
  <c r="BJ50" i="3"/>
  <c r="BK50" i="3"/>
  <c r="BG51" i="3"/>
  <c r="BH51" i="3"/>
  <c r="BI51" i="3"/>
  <c r="BK51" i="3"/>
  <c r="AY53" i="3"/>
  <c r="AU54" i="3"/>
  <c r="BB52" i="3"/>
  <c r="BM55" i="3"/>
  <c r="BC52" i="3"/>
  <c r="BG52" i="3"/>
  <c r="BH52" i="3"/>
  <c r="BI52" i="3"/>
  <c r="AT54" i="3"/>
  <c r="BQ52" i="3"/>
  <c r="AV53" i="3"/>
  <c r="AN55" i="3"/>
  <c r="AX54" i="3"/>
  <c r="AW54" i="3"/>
  <c r="Y55" i="3"/>
  <c r="Z55" i="3"/>
  <c r="AR56" i="3"/>
  <c r="B56" i="3"/>
  <c r="AQ56" i="3"/>
  <c r="A57" i="3"/>
  <c r="C56" i="3"/>
  <c r="T56" i="3"/>
  <c r="Q56" i="3"/>
  <c r="AK56" i="3"/>
  <c r="AM56" i="3"/>
  <c r="R56" i="3"/>
  <c r="AD56" i="3"/>
  <c r="P56" i="3"/>
  <c r="O56" i="3"/>
  <c r="AE56" i="3"/>
  <c r="V56" i="3"/>
  <c r="M56" i="3"/>
  <c r="AF56" i="3"/>
  <c r="U56" i="3"/>
  <c r="G56" i="3"/>
  <c r="H56" i="3"/>
  <c r="F56" i="3"/>
  <c r="D56" i="3"/>
  <c r="S56" i="3"/>
  <c r="BN55" i="3"/>
  <c r="AH55" i="3"/>
  <c r="AO55" i="3"/>
  <c r="BA53" i="3"/>
  <c r="X55" i="3"/>
  <c r="AG55" i="3"/>
  <c r="BD52" i="3"/>
  <c r="AV54" i="3"/>
  <c r="BC53" i="3"/>
  <c r="BG53" i="3"/>
  <c r="BH53" i="3"/>
  <c r="BI53" i="3"/>
  <c r="AN56" i="3"/>
  <c r="BM56" i="3"/>
  <c r="BA54" i="3"/>
  <c r="BB54" i="3"/>
  <c r="AY54" i="3"/>
  <c r="AW55" i="3"/>
  <c r="X56" i="3"/>
  <c r="Y56" i="3"/>
  <c r="Z56" i="3"/>
  <c r="AT55" i="3"/>
  <c r="BN56" i="3"/>
  <c r="AH56" i="3"/>
  <c r="BB53" i="3"/>
  <c r="BQ53" i="3"/>
  <c r="BF53" i="3"/>
  <c r="BJ52" i="3"/>
  <c r="BK52" i="3"/>
  <c r="AU55" i="3"/>
  <c r="AX55" i="3"/>
  <c r="AQ57" i="3"/>
  <c r="AR57" i="3"/>
  <c r="A58" i="3"/>
  <c r="B57" i="3"/>
  <c r="AM57" i="3"/>
  <c r="Q57" i="3"/>
  <c r="AK57" i="3"/>
  <c r="T57" i="3"/>
  <c r="P57" i="3"/>
  <c r="O57" i="3"/>
  <c r="AD57" i="3"/>
  <c r="AF57" i="3"/>
  <c r="U57" i="3"/>
  <c r="AE57" i="3"/>
  <c r="M57" i="3"/>
  <c r="V57" i="3"/>
  <c r="C57" i="3"/>
  <c r="D57" i="3"/>
  <c r="G57" i="3"/>
  <c r="H57" i="3"/>
  <c r="R57" i="3"/>
  <c r="F57" i="3"/>
  <c r="BM57" i="3"/>
  <c r="S57" i="3"/>
  <c r="AG56" i="3"/>
  <c r="AO56" i="3"/>
  <c r="AO57" i="3"/>
  <c r="BC54" i="3"/>
  <c r="BD54" i="3"/>
  <c r="BD53" i="3"/>
  <c r="BN57" i="3"/>
  <c r="AY55" i="3"/>
  <c r="BF54" i="3"/>
  <c r="BJ53" i="3"/>
  <c r="BK53" i="3"/>
  <c r="BQ54" i="3"/>
  <c r="AH57" i="3"/>
  <c r="Y57" i="3"/>
  <c r="Z57" i="3"/>
  <c r="AV55" i="3"/>
  <c r="BA55" i="3"/>
  <c r="AW56" i="3"/>
  <c r="X57" i="3"/>
  <c r="AG57" i="3"/>
  <c r="AT56" i="3"/>
  <c r="AX56" i="3"/>
  <c r="AQ58" i="3"/>
  <c r="B58" i="3"/>
  <c r="A59" i="3"/>
  <c r="AR58" i="3"/>
  <c r="D58" i="3"/>
  <c r="AK58" i="3"/>
  <c r="S58" i="3"/>
  <c r="Q58" i="3"/>
  <c r="AM58" i="3"/>
  <c r="T58" i="3"/>
  <c r="R58" i="3"/>
  <c r="AD58" i="3"/>
  <c r="P58" i="3"/>
  <c r="O58" i="3"/>
  <c r="AE58" i="3"/>
  <c r="M58" i="3"/>
  <c r="AF58" i="3"/>
  <c r="U58" i="3"/>
  <c r="V58" i="3"/>
  <c r="C58" i="3"/>
  <c r="G58" i="3"/>
  <c r="H58" i="3"/>
  <c r="F58" i="3"/>
  <c r="AN57" i="3"/>
  <c r="AU56" i="3"/>
  <c r="BN58" i="3"/>
  <c r="BM58" i="3"/>
  <c r="AT57" i="3"/>
  <c r="BG54" i="3"/>
  <c r="BH54" i="3"/>
  <c r="BI54" i="3"/>
  <c r="BC55" i="3"/>
  <c r="BG55" i="3"/>
  <c r="BH55" i="3"/>
  <c r="BI55" i="3"/>
  <c r="AN58" i="3"/>
  <c r="AU57" i="3"/>
  <c r="AX57" i="3"/>
  <c r="Y58" i="3"/>
  <c r="Z58" i="3"/>
  <c r="AQ59" i="3"/>
  <c r="AR59" i="3"/>
  <c r="A60" i="3"/>
  <c r="B59" i="3"/>
  <c r="D59" i="3"/>
  <c r="AK59" i="3"/>
  <c r="C59" i="3"/>
  <c r="AM59" i="3"/>
  <c r="R59" i="3"/>
  <c r="Q59" i="3"/>
  <c r="AD59" i="3"/>
  <c r="P59" i="3"/>
  <c r="O59" i="3"/>
  <c r="AE59" i="3"/>
  <c r="M59" i="3"/>
  <c r="V59" i="3"/>
  <c r="AF59" i="3"/>
  <c r="U59" i="3"/>
  <c r="F59" i="3"/>
  <c r="G59" i="3"/>
  <c r="H59" i="3"/>
  <c r="T59" i="3"/>
  <c r="S59" i="3"/>
  <c r="BA56" i="3"/>
  <c r="AV56" i="3"/>
  <c r="AG58" i="3"/>
  <c r="AW57" i="3"/>
  <c r="AY56" i="3"/>
  <c r="BQ55" i="3"/>
  <c r="BF55" i="3"/>
  <c r="BJ54" i="3"/>
  <c r="BK54" i="3"/>
  <c r="BB55" i="3"/>
  <c r="X58" i="3"/>
  <c r="AH58" i="3"/>
  <c r="AO58" i="3"/>
  <c r="BM59" i="3"/>
  <c r="AV57" i="3"/>
  <c r="BD55" i="3"/>
  <c r="AN59" i="3"/>
  <c r="AU58" i="3"/>
  <c r="BN59" i="3"/>
  <c r="AY57" i="3"/>
  <c r="AG59" i="3"/>
  <c r="BA57" i="3"/>
  <c r="BB57" i="3"/>
  <c r="X59" i="3"/>
  <c r="AT58" i="3"/>
  <c r="AW58" i="3"/>
  <c r="BB56" i="3"/>
  <c r="BQ56" i="3"/>
  <c r="BF56" i="3"/>
  <c r="BJ55" i="3"/>
  <c r="BK55" i="3"/>
  <c r="Y59" i="3"/>
  <c r="Z59" i="3"/>
  <c r="AR60" i="3"/>
  <c r="B60" i="3"/>
  <c r="AQ60" i="3"/>
  <c r="A61" i="3"/>
  <c r="D60" i="3"/>
  <c r="AK60" i="3"/>
  <c r="AM60" i="3"/>
  <c r="T60" i="3"/>
  <c r="Q60" i="3"/>
  <c r="AD60" i="3"/>
  <c r="O60" i="3"/>
  <c r="S60" i="3"/>
  <c r="P60" i="3"/>
  <c r="AF60" i="3"/>
  <c r="V60" i="3"/>
  <c r="M60" i="3"/>
  <c r="AE60" i="3"/>
  <c r="U60" i="3"/>
  <c r="G60" i="3"/>
  <c r="H60" i="3"/>
  <c r="F60" i="3"/>
  <c r="R60" i="3"/>
  <c r="C60" i="3"/>
  <c r="AX58" i="3"/>
  <c r="AH59" i="3"/>
  <c r="BC56" i="3"/>
  <c r="AO59" i="3"/>
  <c r="AU59" i="3"/>
  <c r="BC57" i="3"/>
  <c r="BD57" i="3"/>
  <c r="BN60" i="3"/>
  <c r="BQ57" i="3"/>
  <c r="AW59" i="3"/>
  <c r="AT59" i="3"/>
  <c r="AN60" i="3"/>
  <c r="BF57" i="3"/>
  <c r="BJ56" i="3"/>
  <c r="X60" i="3"/>
  <c r="AG60" i="3"/>
  <c r="AQ61" i="3"/>
  <c r="AR61" i="3"/>
  <c r="A62" i="3"/>
  <c r="B61" i="3"/>
  <c r="D61" i="3"/>
  <c r="C61" i="3"/>
  <c r="AM61" i="3"/>
  <c r="S61" i="3"/>
  <c r="AK61" i="3"/>
  <c r="Q61" i="3"/>
  <c r="R61" i="3"/>
  <c r="AD61" i="3"/>
  <c r="P61" i="3"/>
  <c r="M61" i="3"/>
  <c r="AE61" i="3"/>
  <c r="O61" i="3"/>
  <c r="V61" i="3"/>
  <c r="U61" i="3"/>
  <c r="AF61" i="3"/>
  <c r="F61" i="3"/>
  <c r="G61" i="3"/>
  <c r="H61" i="3"/>
  <c r="T61" i="3"/>
  <c r="BA58" i="3"/>
  <c r="AV58" i="3"/>
  <c r="AX59" i="3"/>
  <c r="BM60" i="3"/>
  <c r="AH60" i="3"/>
  <c r="AO60" i="3"/>
  <c r="BD56" i="3"/>
  <c r="BG56" i="3"/>
  <c r="BH56" i="3"/>
  <c r="BI56" i="3"/>
  <c r="Y60" i="3"/>
  <c r="Z60" i="3"/>
  <c r="AY58" i="3"/>
  <c r="BN61" i="3"/>
  <c r="AV59" i="3"/>
  <c r="BK56" i="3"/>
  <c r="BG57" i="3"/>
  <c r="BH57" i="3"/>
  <c r="BI57" i="3"/>
  <c r="AY59" i="3"/>
  <c r="BM61" i="3"/>
  <c r="AO61" i="3"/>
  <c r="AT60" i="3"/>
  <c r="AW60" i="3"/>
  <c r="BC58" i="3"/>
  <c r="BG58" i="3"/>
  <c r="BH58" i="3"/>
  <c r="BI58" i="3"/>
  <c r="AX60" i="3"/>
  <c r="AH61" i="3"/>
  <c r="AG61" i="3"/>
  <c r="BB58" i="3"/>
  <c r="BQ58" i="3"/>
  <c r="BF58" i="3"/>
  <c r="BJ57" i="3"/>
  <c r="BK57" i="3"/>
  <c r="AU60" i="3"/>
  <c r="Y61" i="3"/>
  <c r="Z61" i="3"/>
  <c r="X61" i="3"/>
  <c r="BA59" i="3"/>
  <c r="AQ62" i="3"/>
  <c r="B62" i="3"/>
  <c r="A63" i="3"/>
  <c r="AR62" i="3"/>
  <c r="D62" i="3"/>
  <c r="AM62" i="3"/>
  <c r="Q62" i="3"/>
  <c r="R62" i="3"/>
  <c r="AK62" i="3"/>
  <c r="P62" i="3"/>
  <c r="O62" i="3"/>
  <c r="AD62" i="3"/>
  <c r="M62" i="3"/>
  <c r="AE62" i="3"/>
  <c r="AF62" i="3"/>
  <c r="V62" i="3"/>
  <c r="U62" i="3"/>
  <c r="F62" i="3"/>
  <c r="C62" i="3"/>
  <c r="T62" i="3"/>
  <c r="G62" i="3"/>
  <c r="H62" i="3"/>
  <c r="BN62" i="3"/>
  <c r="S62" i="3"/>
  <c r="AN61" i="3"/>
  <c r="BC59" i="3"/>
  <c r="BG59" i="3"/>
  <c r="BH59" i="3"/>
  <c r="BI59" i="3"/>
  <c r="AY60" i="3"/>
  <c r="BD58" i="3"/>
  <c r="BM62" i="3"/>
  <c r="AV60" i="3"/>
  <c r="AT61" i="3"/>
  <c r="AX61" i="3"/>
  <c r="AN62" i="3"/>
  <c r="AW61" i="3"/>
  <c r="AG62" i="3"/>
  <c r="AU61" i="3"/>
  <c r="BA60" i="3"/>
  <c r="BB60" i="3"/>
  <c r="X62" i="3"/>
  <c r="Y62" i="3"/>
  <c r="Z62" i="3"/>
  <c r="AQ63" i="3"/>
  <c r="AR63" i="3"/>
  <c r="A64" i="3"/>
  <c r="B63" i="3"/>
  <c r="D63" i="3"/>
  <c r="AK63" i="3"/>
  <c r="AM63" i="3"/>
  <c r="Q63" i="3"/>
  <c r="AD63" i="3"/>
  <c r="O63" i="3"/>
  <c r="P63" i="3"/>
  <c r="M63" i="3"/>
  <c r="AF63" i="3"/>
  <c r="AE63" i="3"/>
  <c r="U63" i="3"/>
  <c r="V63" i="3"/>
  <c r="C63" i="3"/>
  <c r="G63" i="3"/>
  <c r="H63" i="3"/>
  <c r="R63" i="3"/>
  <c r="F63" i="3"/>
  <c r="S63" i="3"/>
  <c r="T63" i="3"/>
  <c r="AH62" i="3"/>
  <c r="AO62" i="3"/>
  <c r="BQ59" i="3"/>
  <c r="BB59" i="3"/>
  <c r="BF59" i="3"/>
  <c r="BJ58" i="3"/>
  <c r="BK58" i="3"/>
  <c r="BD59" i="3"/>
  <c r="BC60" i="3"/>
  <c r="BD60" i="3"/>
  <c r="AV61" i="3"/>
  <c r="BM63" i="3"/>
  <c r="BN63" i="3"/>
  <c r="AO63" i="3"/>
  <c r="AU62" i="3"/>
  <c r="AT62" i="3"/>
  <c r="BF60" i="3"/>
  <c r="BJ59" i="3"/>
  <c r="BK59" i="3"/>
  <c r="BQ60" i="3"/>
  <c r="AY61" i="3"/>
  <c r="AW62" i="3"/>
  <c r="BA61" i="3"/>
  <c r="BQ61" i="3"/>
  <c r="Y63" i="3"/>
  <c r="Z63" i="3"/>
  <c r="AG63" i="3"/>
  <c r="AQ64" i="3"/>
  <c r="B64" i="3"/>
  <c r="A65" i="3"/>
  <c r="AR64" i="3"/>
  <c r="D64" i="3"/>
  <c r="C64" i="3"/>
  <c r="AM64" i="3"/>
  <c r="Q64" i="3"/>
  <c r="AK64" i="3"/>
  <c r="R64" i="3"/>
  <c r="S64" i="3"/>
  <c r="AD64" i="3"/>
  <c r="P64" i="3"/>
  <c r="O64" i="3"/>
  <c r="V64" i="3"/>
  <c r="AE64" i="3"/>
  <c r="AF64" i="3"/>
  <c r="M64" i="3"/>
  <c r="U64" i="3"/>
  <c r="F64" i="3"/>
  <c r="G64" i="3"/>
  <c r="H64" i="3"/>
  <c r="T64" i="3"/>
  <c r="AX62" i="3"/>
  <c r="X63" i="3"/>
  <c r="AH63" i="3"/>
  <c r="AN63" i="3"/>
  <c r="BN64" i="3"/>
  <c r="BG60" i="3"/>
  <c r="BH60" i="3"/>
  <c r="BI60" i="3"/>
  <c r="BM64" i="3"/>
  <c r="BC61" i="3"/>
  <c r="BD61" i="3"/>
  <c r="AO64" i="3"/>
  <c r="AV62" i="3"/>
  <c r="AG64" i="3"/>
  <c r="BF61" i="3"/>
  <c r="BJ60" i="3"/>
  <c r="BA62" i="3"/>
  <c r="BB62" i="3"/>
  <c r="BB61" i="3"/>
  <c r="AX63" i="3"/>
  <c r="AT63" i="3"/>
  <c r="Y64" i="3"/>
  <c r="Z64" i="3"/>
  <c r="AQ65" i="3"/>
  <c r="AR65" i="3"/>
  <c r="A66" i="3"/>
  <c r="B65" i="3"/>
  <c r="AK65" i="3"/>
  <c r="AM65" i="3"/>
  <c r="T65" i="3"/>
  <c r="R65" i="3"/>
  <c r="AD65" i="3"/>
  <c r="O65" i="3"/>
  <c r="S65" i="3"/>
  <c r="Q65" i="3"/>
  <c r="P65" i="3"/>
  <c r="M65" i="3"/>
  <c r="V65" i="3"/>
  <c r="U65" i="3"/>
  <c r="AF65" i="3"/>
  <c r="AE65" i="3"/>
  <c r="D65" i="3"/>
  <c r="F65" i="3"/>
  <c r="C65" i="3"/>
  <c r="G65" i="3"/>
  <c r="H65" i="3"/>
  <c r="AW63" i="3"/>
  <c r="AU63" i="3"/>
  <c r="AY62" i="3"/>
  <c r="AH64" i="3"/>
  <c r="AN64" i="3"/>
  <c r="X64" i="3"/>
  <c r="BK60" i="3"/>
  <c r="BG61" i="3"/>
  <c r="BH61" i="3"/>
  <c r="BI61" i="3"/>
  <c r="AV63" i="3"/>
  <c r="BC62" i="3"/>
  <c r="BD62" i="3"/>
  <c r="BQ62" i="3"/>
  <c r="AU64" i="3"/>
  <c r="AY63" i="3"/>
  <c r="BF62" i="3"/>
  <c r="BJ61" i="3"/>
  <c r="BK61" i="3"/>
  <c r="AO65" i="3"/>
  <c r="AT64" i="3"/>
  <c r="AW64" i="3"/>
  <c r="X65" i="3"/>
  <c r="Y65" i="3"/>
  <c r="Z65" i="3"/>
  <c r="AX64" i="3"/>
  <c r="BN65" i="3"/>
  <c r="BM65" i="3"/>
  <c r="AG65" i="3"/>
  <c r="AN65" i="3"/>
  <c r="BA63" i="3"/>
  <c r="AQ66" i="3"/>
  <c r="B66" i="3"/>
  <c r="A67" i="3"/>
  <c r="AR66" i="3"/>
  <c r="C66" i="3"/>
  <c r="Q66" i="3"/>
  <c r="AM66" i="3"/>
  <c r="AK66" i="3"/>
  <c r="AD66" i="3"/>
  <c r="R66" i="3"/>
  <c r="O66" i="3"/>
  <c r="AE66" i="3"/>
  <c r="M66" i="3"/>
  <c r="V66" i="3"/>
  <c r="U66" i="3"/>
  <c r="AF66" i="3"/>
  <c r="D66" i="3"/>
  <c r="F66" i="3"/>
  <c r="S66" i="3"/>
  <c r="T66" i="3"/>
  <c r="G66" i="3"/>
  <c r="H66" i="3"/>
  <c r="P66" i="3"/>
  <c r="AH65" i="3"/>
  <c r="BN66" i="3"/>
  <c r="AV64" i="3"/>
  <c r="BC63" i="3"/>
  <c r="BD63" i="3"/>
  <c r="BG62" i="3"/>
  <c r="BH62" i="3"/>
  <c r="BI62" i="3"/>
  <c r="BM66" i="3"/>
  <c r="AY64" i="3"/>
  <c r="AX65" i="3"/>
  <c r="AO66" i="3"/>
  <c r="BF63" i="3"/>
  <c r="BJ62" i="3"/>
  <c r="BK62" i="3"/>
  <c r="BQ63" i="3"/>
  <c r="BB63" i="3"/>
  <c r="Y66" i="3"/>
  <c r="Z66" i="3"/>
  <c r="AQ67" i="3"/>
  <c r="AR67" i="3"/>
  <c r="A68" i="3"/>
  <c r="B67" i="3"/>
  <c r="C67" i="3"/>
  <c r="AM67" i="3"/>
  <c r="S67" i="3"/>
  <c r="AK67" i="3"/>
  <c r="R67" i="3"/>
  <c r="Q67" i="3"/>
  <c r="AD67" i="3"/>
  <c r="P67" i="3"/>
  <c r="T67" i="3"/>
  <c r="O67" i="3"/>
  <c r="M67" i="3"/>
  <c r="AF67" i="3"/>
  <c r="V67" i="3"/>
  <c r="AE67" i="3"/>
  <c r="U67" i="3"/>
  <c r="D67" i="3"/>
  <c r="G67" i="3"/>
  <c r="H67" i="3"/>
  <c r="F67" i="3"/>
  <c r="AU65" i="3"/>
  <c r="X66" i="3"/>
  <c r="AH66" i="3"/>
  <c r="AN66" i="3"/>
  <c r="AT65" i="3"/>
  <c r="AW65" i="3"/>
  <c r="BA64" i="3"/>
  <c r="AG66" i="3"/>
  <c r="BC64" i="3"/>
  <c r="BD64" i="3"/>
  <c r="AO67" i="3"/>
  <c r="BG63" i="3"/>
  <c r="BH63" i="3"/>
  <c r="BI63" i="3"/>
  <c r="BM67" i="3"/>
  <c r="AT66" i="3"/>
  <c r="AY65" i="3"/>
  <c r="AG67" i="3"/>
  <c r="Y67" i="3"/>
  <c r="Z67" i="3"/>
  <c r="AH67" i="3"/>
  <c r="AN67" i="3"/>
  <c r="BF64" i="3"/>
  <c r="BJ63" i="3"/>
  <c r="BK63" i="3"/>
  <c r="BQ64" i="3"/>
  <c r="BB64" i="3"/>
  <c r="AV65" i="3"/>
  <c r="BA65" i="3"/>
  <c r="AQ68" i="3"/>
  <c r="B68" i="3"/>
  <c r="A69" i="3"/>
  <c r="AR68" i="3"/>
  <c r="AM68" i="3"/>
  <c r="AK68" i="3"/>
  <c r="D68" i="3"/>
  <c r="R68" i="3"/>
  <c r="T68" i="3"/>
  <c r="Q68" i="3"/>
  <c r="AD68" i="3"/>
  <c r="P68" i="3"/>
  <c r="AF68" i="3"/>
  <c r="V68" i="3"/>
  <c r="U68" i="3"/>
  <c r="O68" i="3"/>
  <c r="AE68" i="3"/>
  <c r="M68" i="3"/>
  <c r="C68" i="3"/>
  <c r="G68" i="3"/>
  <c r="H68" i="3"/>
  <c r="F68" i="3"/>
  <c r="S68" i="3"/>
  <c r="AW66" i="3"/>
  <c r="AU66" i="3"/>
  <c r="AX66" i="3"/>
  <c r="BN67" i="3"/>
  <c r="X67" i="3"/>
  <c r="BM68" i="3"/>
  <c r="BG64" i="3"/>
  <c r="BH64" i="3"/>
  <c r="BI64" i="3"/>
  <c r="AG68" i="3"/>
  <c r="AU67" i="3"/>
  <c r="AT67" i="3"/>
  <c r="BC65" i="3"/>
  <c r="BG65" i="3"/>
  <c r="BH65" i="3"/>
  <c r="BI65" i="3"/>
  <c r="AV66" i="3"/>
  <c r="AN68" i="3"/>
  <c r="AX67" i="3"/>
  <c r="AY66" i="3"/>
  <c r="Y68" i="3"/>
  <c r="Z68" i="3"/>
  <c r="BQ65" i="3"/>
  <c r="BF65" i="3"/>
  <c r="BB65" i="3"/>
  <c r="AH68" i="3"/>
  <c r="X68" i="3"/>
  <c r="BN68" i="3"/>
  <c r="AO68" i="3"/>
  <c r="AW67" i="3"/>
  <c r="BA66" i="3"/>
  <c r="AQ69" i="3"/>
  <c r="AR69" i="3"/>
  <c r="A70" i="3"/>
  <c r="B69" i="3"/>
  <c r="C69" i="3"/>
  <c r="AM69" i="3"/>
  <c r="S69" i="3"/>
  <c r="R69" i="3"/>
  <c r="D69" i="3"/>
  <c r="AK69" i="3"/>
  <c r="Q69" i="3"/>
  <c r="AD69" i="3"/>
  <c r="O69" i="3"/>
  <c r="P69" i="3"/>
  <c r="M69" i="3"/>
  <c r="AE69" i="3"/>
  <c r="U69" i="3"/>
  <c r="V69" i="3"/>
  <c r="AF69" i="3"/>
  <c r="F69" i="3"/>
  <c r="G69" i="3"/>
  <c r="H69" i="3"/>
  <c r="T69" i="3"/>
  <c r="BN69" i="3"/>
  <c r="BD65" i="3"/>
  <c r="AO69" i="3"/>
  <c r="AV67" i="3"/>
  <c r="BM69" i="3"/>
  <c r="BC66" i="3"/>
  <c r="BD66" i="3"/>
  <c r="AX68" i="3"/>
  <c r="AG69" i="3"/>
  <c r="BA67" i="3"/>
  <c r="BB67" i="3"/>
  <c r="AT68" i="3"/>
  <c r="AY67" i="3"/>
  <c r="AU68" i="3"/>
  <c r="AW68" i="3"/>
  <c r="Y69" i="3"/>
  <c r="Z69" i="3"/>
  <c r="BF66" i="3"/>
  <c r="BJ65" i="3"/>
  <c r="BK65" i="3"/>
  <c r="BB66" i="3"/>
  <c r="BQ66" i="3"/>
  <c r="AQ70" i="3"/>
  <c r="B70" i="3"/>
  <c r="A71" i="3"/>
  <c r="AR70" i="3"/>
  <c r="C70" i="3"/>
  <c r="D70" i="3"/>
  <c r="AK70" i="3"/>
  <c r="T70" i="3"/>
  <c r="AM70" i="3"/>
  <c r="R70" i="3"/>
  <c r="Q70" i="3"/>
  <c r="AD70" i="3"/>
  <c r="P70" i="3"/>
  <c r="O70" i="3"/>
  <c r="AE70" i="3"/>
  <c r="AF70" i="3"/>
  <c r="M70" i="3"/>
  <c r="V70" i="3"/>
  <c r="U70" i="3"/>
  <c r="G70" i="3"/>
  <c r="H70" i="3"/>
  <c r="F70" i="3"/>
  <c r="S70" i="3"/>
  <c r="AH69" i="3"/>
  <c r="AN69" i="3"/>
  <c r="X69" i="3"/>
  <c r="BJ64" i="3"/>
  <c r="BK64" i="3"/>
  <c r="BM70" i="3"/>
  <c r="BN70" i="3"/>
  <c r="AY68" i="3"/>
  <c r="AN70" i="3"/>
  <c r="BG66" i="3"/>
  <c r="BH66" i="3"/>
  <c r="BI66" i="3"/>
  <c r="BC67" i="3"/>
  <c r="BD67" i="3"/>
  <c r="AV68" i="3"/>
  <c r="BQ67" i="3"/>
  <c r="AT69" i="3"/>
  <c r="BF67" i="3"/>
  <c r="BJ66" i="3"/>
  <c r="BA68" i="3"/>
  <c r="BQ68" i="3"/>
  <c r="AX69" i="3"/>
  <c r="X70" i="3"/>
  <c r="AQ71" i="3"/>
  <c r="AR71" i="3"/>
  <c r="A72" i="3"/>
  <c r="B71" i="3"/>
  <c r="AM71" i="3"/>
  <c r="AK71" i="3"/>
  <c r="R71" i="3"/>
  <c r="AD71" i="3"/>
  <c r="P71" i="3"/>
  <c r="Q71" i="3"/>
  <c r="AE71" i="3"/>
  <c r="AF71" i="3"/>
  <c r="O71" i="3"/>
  <c r="M71" i="3"/>
  <c r="V71" i="3"/>
  <c r="U71" i="3"/>
  <c r="D71" i="3"/>
  <c r="G71" i="3"/>
  <c r="H71" i="3"/>
  <c r="C71" i="3"/>
  <c r="F71" i="3"/>
  <c r="T71" i="3"/>
  <c r="S71" i="3"/>
  <c r="AU69" i="3"/>
  <c r="AW69" i="3"/>
  <c r="AG70" i="3"/>
  <c r="AO70" i="3"/>
  <c r="Y70" i="3"/>
  <c r="Z70" i="3"/>
  <c r="AH70" i="3"/>
  <c r="BC68" i="3"/>
  <c r="BG68" i="3"/>
  <c r="BH68" i="3"/>
  <c r="BI68" i="3"/>
  <c r="BG67" i="3"/>
  <c r="BH67" i="3"/>
  <c r="BI67" i="3"/>
  <c r="BK66" i="3"/>
  <c r="BM71" i="3"/>
  <c r="BN71" i="3"/>
  <c r="AN71" i="3"/>
  <c r="BB68" i="3"/>
  <c r="AV69" i="3"/>
  <c r="BF68" i="3"/>
  <c r="BJ67" i="3"/>
  <c r="AX70" i="3"/>
  <c r="AY69" i="3"/>
  <c r="AO71" i="3"/>
  <c r="AG71" i="3"/>
  <c r="X71" i="3"/>
  <c r="BA69" i="3"/>
  <c r="BQ69" i="3"/>
  <c r="Y71" i="3"/>
  <c r="Z71" i="3"/>
  <c r="AH71" i="3"/>
  <c r="AQ72" i="3"/>
  <c r="B72" i="3"/>
  <c r="A73" i="3"/>
  <c r="AR72" i="3"/>
  <c r="D72" i="3"/>
  <c r="Q72" i="3"/>
  <c r="R72" i="3"/>
  <c r="AM72" i="3"/>
  <c r="AK72" i="3"/>
  <c r="S72" i="3"/>
  <c r="AD72" i="3"/>
  <c r="P72" i="3"/>
  <c r="O72" i="3"/>
  <c r="M72" i="3"/>
  <c r="U72" i="3"/>
  <c r="AF72" i="3"/>
  <c r="AE72" i="3"/>
  <c r="V72" i="3"/>
  <c r="F72" i="3"/>
  <c r="G72" i="3"/>
  <c r="H72" i="3"/>
  <c r="C72" i="3"/>
  <c r="T72" i="3"/>
  <c r="AT70" i="3"/>
  <c r="AU70" i="3"/>
  <c r="AW70" i="3"/>
  <c r="BK67" i="3"/>
  <c r="BD68" i="3"/>
  <c r="BN72" i="3"/>
  <c r="AG72" i="3"/>
  <c r="AO72" i="3"/>
  <c r="BF69" i="3"/>
  <c r="BJ68" i="3"/>
  <c r="BK68" i="3"/>
  <c r="X72" i="3"/>
  <c r="BC69" i="3"/>
  <c r="BG69" i="3"/>
  <c r="BH69" i="3"/>
  <c r="BI69" i="3"/>
  <c r="AY70" i="3"/>
  <c r="AU71" i="3"/>
  <c r="Y72" i="3"/>
  <c r="Z72" i="3"/>
  <c r="AX71" i="3"/>
  <c r="AW71" i="3"/>
  <c r="AT71" i="3"/>
  <c r="BB69" i="3"/>
  <c r="AV70" i="3"/>
  <c r="BA70" i="3"/>
  <c r="AN72" i="3"/>
  <c r="AQ73" i="3"/>
  <c r="AR73" i="3"/>
  <c r="A74" i="3"/>
  <c r="B73" i="3"/>
  <c r="AM73" i="3"/>
  <c r="D73" i="3"/>
  <c r="C73" i="3"/>
  <c r="AK73" i="3"/>
  <c r="R73" i="3"/>
  <c r="Q73" i="3"/>
  <c r="AD73" i="3"/>
  <c r="P73" i="3"/>
  <c r="O73" i="3"/>
  <c r="M73" i="3"/>
  <c r="AF73" i="3"/>
  <c r="AE73" i="3"/>
  <c r="U73" i="3"/>
  <c r="V73" i="3"/>
  <c r="G73" i="3"/>
  <c r="H73" i="3"/>
  <c r="F73" i="3"/>
  <c r="S73" i="3"/>
  <c r="T73" i="3"/>
  <c r="BM72" i="3"/>
  <c r="AH72" i="3"/>
  <c r="AV71" i="3"/>
  <c r="BC70" i="3"/>
  <c r="BD70" i="3"/>
  <c r="BM73" i="3"/>
  <c r="AX72" i="3"/>
  <c r="BD69" i="3"/>
  <c r="AU72" i="3"/>
  <c r="AY71" i="3"/>
  <c r="AO73" i="3"/>
  <c r="BA71" i="3"/>
  <c r="BB71" i="3"/>
  <c r="AG73" i="3"/>
  <c r="Y73" i="3"/>
  <c r="Z73" i="3"/>
  <c r="AQ74" i="3"/>
  <c r="B74" i="3"/>
  <c r="A75" i="3"/>
  <c r="AR74" i="3"/>
  <c r="D74" i="3"/>
  <c r="AK74" i="3"/>
  <c r="S74" i="3"/>
  <c r="R74" i="3"/>
  <c r="AM74" i="3"/>
  <c r="Q74" i="3"/>
  <c r="AD74" i="3"/>
  <c r="P74" i="3"/>
  <c r="O74" i="3"/>
  <c r="AE74" i="3"/>
  <c r="AF74" i="3"/>
  <c r="U74" i="3"/>
  <c r="V74" i="3"/>
  <c r="M74" i="3"/>
  <c r="F74" i="3"/>
  <c r="G74" i="3"/>
  <c r="H74" i="3"/>
  <c r="C74" i="3"/>
  <c r="T74" i="3"/>
  <c r="AW72" i="3"/>
  <c r="X73" i="3"/>
  <c r="BN73" i="3"/>
  <c r="AH73" i="3"/>
  <c r="AN73" i="3"/>
  <c r="AT72" i="3"/>
  <c r="BB70" i="3"/>
  <c r="BQ70" i="3"/>
  <c r="BF70" i="3"/>
  <c r="BJ69" i="3"/>
  <c r="BK69" i="3"/>
  <c r="BC71" i="3"/>
  <c r="BD71" i="3"/>
  <c r="AT73" i="3"/>
  <c r="BG70" i="3"/>
  <c r="BH70" i="3"/>
  <c r="BI70" i="3"/>
  <c r="BN74" i="3"/>
  <c r="AY72" i="3"/>
  <c r="AU73" i="3"/>
  <c r="BQ71" i="3"/>
  <c r="BF71" i="3"/>
  <c r="BJ70" i="3"/>
  <c r="AO74" i="3"/>
  <c r="Y74" i="3"/>
  <c r="Z74" i="3"/>
  <c r="AG74" i="3"/>
  <c r="AW73" i="3"/>
  <c r="AV72" i="3"/>
  <c r="BA72" i="3"/>
  <c r="A76" i="3"/>
  <c r="AQ75" i="3"/>
  <c r="B75" i="3"/>
  <c r="AR75" i="3"/>
  <c r="AM75" i="3"/>
  <c r="T75" i="3"/>
  <c r="S75" i="3"/>
  <c r="R75" i="3"/>
  <c r="AK75" i="3"/>
  <c r="Q75" i="3"/>
  <c r="AD75" i="3"/>
  <c r="M75" i="3"/>
  <c r="O75" i="3"/>
  <c r="AE75" i="3"/>
  <c r="U75" i="3"/>
  <c r="AF75" i="3"/>
  <c r="V75" i="3"/>
  <c r="C75" i="3"/>
  <c r="D75" i="3"/>
  <c r="F75" i="3"/>
  <c r="G75" i="3"/>
  <c r="H75" i="3"/>
  <c r="P75" i="3"/>
  <c r="AX73" i="3"/>
  <c r="X74" i="3"/>
  <c r="BM74" i="3"/>
  <c r="AH74" i="3"/>
  <c r="AN74" i="3"/>
  <c r="BM75" i="3"/>
  <c r="BG71" i="3"/>
  <c r="BH71" i="3"/>
  <c r="BI71" i="3"/>
  <c r="AV73" i="3"/>
  <c r="BK70" i="3"/>
  <c r="BN75" i="3"/>
  <c r="AO75" i="3"/>
  <c r="BC72" i="3"/>
  <c r="BD72" i="3"/>
  <c r="AT74" i="3"/>
  <c r="AY73" i="3"/>
  <c r="AX74" i="3"/>
  <c r="AH75" i="3"/>
  <c r="BQ72" i="3"/>
  <c r="BF72" i="3"/>
  <c r="BJ71" i="3"/>
  <c r="BB72" i="3"/>
  <c r="AW74" i="3"/>
  <c r="AU74" i="3"/>
  <c r="Y75" i="3"/>
  <c r="Z75" i="3"/>
  <c r="X75" i="3"/>
  <c r="AG75" i="3"/>
  <c r="BA73" i="3"/>
  <c r="A77" i="3"/>
  <c r="B76" i="3"/>
  <c r="AR76" i="3"/>
  <c r="AQ76" i="3"/>
  <c r="C76" i="3"/>
  <c r="D76" i="3"/>
  <c r="AM76" i="3"/>
  <c r="AK76" i="3"/>
  <c r="Q76" i="3"/>
  <c r="R76" i="3"/>
  <c r="AD76" i="3"/>
  <c r="O76" i="3"/>
  <c r="P76" i="3"/>
  <c r="AE76" i="3"/>
  <c r="M76" i="3"/>
  <c r="U76" i="3"/>
  <c r="AF76" i="3"/>
  <c r="V76" i="3"/>
  <c r="G76" i="3"/>
  <c r="H76" i="3"/>
  <c r="F76" i="3"/>
  <c r="T76" i="3"/>
  <c r="S76" i="3"/>
  <c r="AN75" i="3"/>
  <c r="BK71" i="3"/>
  <c r="AV74" i="3"/>
  <c r="BC73" i="3"/>
  <c r="BD73" i="3"/>
  <c r="AX75" i="3"/>
  <c r="BN76" i="3"/>
  <c r="BG72" i="3"/>
  <c r="BH72" i="3"/>
  <c r="BI72" i="3"/>
  <c r="AY74" i="3"/>
  <c r="AN76" i="3"/>
  <c r="BQ73" i="3"/>
  <c r="BB73" i="3"/>
  <c r="BF73" i="3"/>
  <c r="BJ72" i="3"/>
  <c r="AW75" i="3"/>
  <c r="X76" i="3"/>
  <c r="BM76" i="3"/>
  <c r="AG76" i="3"/>
  <c r="AO76" i="3"/>
  <c r="AT75" i="3"/>
  <c r="AR77" i="3"/>
  <c r="B77" i="3"/>
  <c r="AQ77" i="3"/>
  <c r="A78" i="3"/>
  <c r="AM77" i="3"/>
  <c r="C77" i="3"/>
  <c r="AK77" i="3"/>
  <c r="T77" i="3"/>
  <c r="R77" i="3"/>
  <c r="AD77" i="3"/>
  <c r="P77" i="3"/>
  <c r="O77" i="3"/>
  <c r="U77" i="3"/>
  <c r="AE77" i="3"/>
  <c r="M77" i="3"/>
  <c r="AF77" i="3"/>
  <c r="V77" i="3"/>
  <c r="G77" i="3"/>
  <c r="H77" i="3"/>
  <c r="F77" i="3"/>
  <c r="Q77" i="3"/>
  <c r="D77" i="3"/>
  <c r="S77" i="3"/>
  <c r="Y76" i="3"/>
  <c r="Z76" i="3"/>
  <c r="AH76" i="3"/>
  <c r="AU75" i="3"/>
  <c r="BA74" i="3"/>
  <c r="BC74" i="3"/>
  <c r="BD74" i="3"/>
  <c r="BG73" i="3"/>
  <c r="BH73" i="3"/>
  <c r="BI73" i="3"/>
  <c r="AY75" i="3"/>
  <c r="BK72" i="3"/>
  <c r="AO77" i="3"/>
  <c r="AH77" i="3"/>
  <c r="BM77" i="3"/>
  <c r="AX76" i="3"/>
  <c r="AT76" i="3"/>
  <c r="AU76" i="3"/>
  <c r="Y77" i="3"/>
  <c r="Z77" i="3"/>
  <c r="BB74" i="3"/>
  <c r="BF74" i="3"/>
  <c r="BJ73" i="3"/>
  <c r="BK73" i="3"/>
  <c r="BQ74" i="3"/>
  <c r="B78" i="3"/>
  <c r="AQ78" i="3"/>
  <c r="AR78" i="3"/>
  <c r="A79" i="3"/>
  <c r="AK78" i="3"/>
  <c r="AM78" i="3"/>
  <c r="R78" i="3"/>
  <c r="Q78" i="3"/>
  <c r="T78" i="3"/>
  <c r="AD78" i="3"/>
  <c r="P78" i="3"/>
  <c r="M78" i="3"/>
  <c r="AF78" i="3"/>
  <c r="AE78" i="3"/>
  <c r="V78" i="3"/>
  <c r="O78" i="3"/>
  <c r="U78" i="3"/>
  <c r="D78" i="3"/>
  <c r="C78" i="3"/>
  <c r="G78" i="3"/>
  <c r="H78" i="3"/>
  <c r="F78" i="3"/>
  <c r="S78" i="3"/>
  <c r="BA75" i="3"/>
  <c r="AV75" i="3"/>
  <c r="X77" i="3"/>
  <c r="BN77" i="3"/>
  <c r="AG77" i="3"/>
  <c r="AW76" i="3"/>
  <c r="AN77" i="3"/>
  <c r="BG74" i="3"/>
  <c r="BH74" i="3"/>
  <c r="BI74" i="3"/>
  <c r="AY76" i="3"/>
  <c r="BM78" i="3"/>
  <c r="BN78" i="3"/>
  <c r="BC75" i="3"/>
  <c r="BD75" i="3"/>
  <c r="AO78" i="3"/>
  <c r="AX77" i="3"/>
  <c r="AV76" i="3"/>
  <c r="BF75" i="3"/>
  <c r="BJ74" i="3"/>
  <c r="BK74" i="3"/>
  <c r="BQ75" i="3"/>
  <c r="BB75" i="3"/>
  <c r="Y78" i="3"/>
  <c r="Z78" i="3"/>
  <c r="A80" i="3"/>
  <c r="AQ79" i="3"/>
  <c r="B79" i="3"/>
  <c r="AR79" i="3"/>
  <c r="C79" i="3"/>
  <c r="D79" i="3"/>
  <c r="AM79" i="3"/>
  <c r="T79" i="3"/>
  <c r="S79" i="3"/>
  <c r="AK79" i="3"/>
  <c r="R79" i="3"/>
  <c r="Q79" i="3"/>
  <c r="AD79" i="3"/>
  <c r="O79" i="3"/>
  <c r="P79" i="3"/>
  <c r="M79" i="3"/>
  <c r="AE79" i="3"/>
  <c r="AF79" i="3"/>
  <c r="U79" i="3"/>
  <c r="V79" i="3"/>
  <c r="G79" i="3"/>
  <c r="H79" i="3"/>
  <c r="F79" i="3"/>
  <c r="AW77" i="3"/>
  <c r="AU77" i="3"/>
  <c r="AT77" i="3"/>
  <c r="X78" i="3"/>
  <c r="AG78" i="3"/>
  <c r="AH78" i="3"/>
  <c r="AN78" i="3"/>
  <c r="BA76" i="3"/>
  <c r="BC76" i="3"/>
  <c r="BD76" i="3"/>
  <c r="BG75" i="3"/>
  <c r="BH75" i="3"/>
  <c r="BI75" i="3"/>
  <c r="AY77" i="3"/>
  <c r="BM79" i="3"/>
  <c r="BN79" i="3"/>
  <c r="AG79" i="3"/>
  <c r="AN79" i="3"/>
  <c r="BQ76" i="3"/>
  <c r="BB76" i="3"/>
  <c r="BF76" i="3"/>
  <c r="BJ75" i="3"/>
  <c r="BK75" i="3"/>
  <c r="BA77" i="3"/>
  <c r="AV77" i="3"/>
  <c r="Y79" i="3"/>
  <c r="Z79" i="3"/>
  <c r="AW78" i="3"/>
  <c r="AT78" i="3"/>
  <c r="AU78" i="3"/>
  <c r="AX78" i="3"/>
  <c r="AO79" i="3"/>
  <c r="A81" i="3"/>
  <c r="B80" i="3"/>
  <c r="AR80" i="3"/>
  <c r="AQ80" i="3"/>
  <c r="T80" i="3"/>
  <c r="AK80" i="3"/>
  <c r="AM80" i="3"/>
  <c r="S80" i="3"/>
  <c r="Q80" i="3"/>
  <c r="R80" i="3"/>
  <c r="AD80" i="3"/>
  <c r="P80" i="3"/>
  <c r="O80" i="3"/>
  <c r="M80" i="3"/>
  <c r="AF80" i="3"/>
  <c r="AE80" i="3"/>
  <c r="U80" i="3"/>
  <c r="V80" i="3"/>
  <c r="D80" i="3"/>
  <c r="C80" i="3"/>
  <c r="F80" i="3"/>
  <c r="G80" i="3"/>
  <c r="H80" i="3"/>
  <c r="AH79" i="3"/>
  <c r="X79" i="3"/>
  <c r="BG76" i="3"/>
  <c r="BH76" i="3"/>
  <c r="BI76" i="3"/>
  <c r="BN80" i="3"/>
  <c r="BC77" i="3"/>
  <c r="BD77" i="3"/>
  <c r="AO80" i="3"/>
  <c r="AX79" i="3"/>
  <c r="AG80" i="3"/>
  <c r="X80" i="3"/>
  <c r="AY78" i="3"/>
  <c r="Y80" i="3"/>
  <c r="Z80" i="3"/>
  <c r="AR81" i="3"/>
  <c r="B81" i="3"/>
  <c r="AQ81" i="3"/>
  <c r="A82" i="3"/>
  <c r="AM81" i="3"/>
  <c r="R81" i="3"/>
  <c r="C81" i="3"/>
  <c r="AK81" i="3"/>
  <c r="S81" i="3"/>
  <c r="O81" i="3"/>
  <c r="AD81" i="3"/>
  <c r="P81" i="3"/>
  <c r="M81" i="3"/>
  <c r="AE81" i="3"/>
  <c r="AF81" i="3"/>
  <c r="V81" i="3"/>
  <c r="U81" i="3"/>
  <c r="D81" i="3"/>
  <c r="Q81" i="3"/>
  <c r="G81" i="3"/>
  <c r="H81" i="3"/>
  <c r="F81" i="3"/>
  <c r="T81" i="3"/>
  <c r="AV78" i="3"/>
  <c r="BA78" i="3"/>
  <c r="AW79" i="3"/>
  <c r="BM80" i="3"/>
  <c r="AH80" i="3"/>
  <c r="AN80" i="3"/>
  <c r="AT79" i="3"/>
  <c r="BB77" i="3"/>
  <c r="BQ77" i="3"/>
  <c r="BF77" i="3"/>
  <c r="BJ76" i="3"/>
  <c r="BK76" i="3"/>
  <c r="AU79" i="3"/>
  <c r="BC78" i="3"/>
  <c r="BD78" i="3"/>
  <c r="BN81" i="3"/>
  <c r="BM81" i="3"/>
  <c r="AU80" i="3"/>
  <c r="BG77" i="3"/>
  <c r="BH77" i="3"/>
  <c r="BI77" i="3"/>
  <c r="AT80" i="3"/>
  <c r="AW80" i="3"/>
  <c r="AG81" i="3"/>
  <c r="AY79" i="3"/>
  <c r="AO81" i="3"/>
  <c r="BA79" i="3"/>
  <c r="AV79" i="3"/>
  <c r="BQ78" i="3"/>
  <c r="BB78" i="3"/>
  <c r="BF78" i="3"/>
  <c r="BJ77" i="3"/>
  <c r="BK77" i="3"/>
  <c r="Y81" i="3"/>
  <c r="Z81" i="3"/>
  <c r="AX80" i="3"/>
  <c r="AH81" i="3"/>
  <c r="X81" i="3"/>
  <c r="AN81" i="3"/>
  <c r="B82" i="3"/>
  <c r="AQ82" i="3"/>
  <c r="AR82" i="3"/>
  <c r="A83" i="3"/>
  <c r="D82" i="3"/>
  <c r="AK82" i="3"/>
  <c r="Q82" i="3"/>
  <c r="AM82" i="3"/>
  <c r="S82" i="3"/>
  <c r="O82" i="3"/>
  <c r="T82" i="3"/>
  <c r="AD82" i="3"/>
  <c r="P82" i="3"/>
  <c r="M82" i="3"/>
  <c r="AF82" i="3"/>
  <c r="AE82" i="3"/>
  <c r="V82" i="3"/>
  <c r="U82" i="3"/>
  <c r="R82" i="3"/>
  <c r="F82" i="3"/>
  <c r="C82" i="3"/>
  <c r="G82" i="3"/>
  <c r="H82" i="3"/>
  <c r="BG78" i="3"/>
  <c r="BH78" i="3"/>
  <c r="BI78" i="3"/>
  <c r="AU81" i="3"/>
  <c r="AY80" i="3"/>
  <c r="AV80" i="3"/>
  <c r="AN82" i="3"/>
  <c r="BN82" i="3"/>
  <c r="BM82" i="3"/>
  <c r="BC79" i="3"/>
  <c r="BD79" i="3"/>
  <c r="AG82" i="3"/>
  <c r="AT81" i="3"/>
  <c r="AV81" i="3"/>
  <c r="AW81" i="3"/>
  <c r="Y82" i="3"/>
  <c r="Z82" i="3"/>
  <c r="BQ79" i="3"/>
  <c r="BB79" i="3"/>
  <c r="BF79" i="3"/>
  <c r="BJ78" i="3"/>
  <c r="BK78" i="3"/>
  <c r="X82" i="3"/>
  <c r="A84" i="3"/>
  <c r="AQ83" i="3"/>
  <c r="B83" i="3"/>
  <c r="AR83" i="3"/>
  <c r="C83" i="3"/>
  <c r="AM83" i="3"/>
  <c r="AK83" i="3"/>
  <c r="Q83" i="3"/>
  <c r="R83" i="3"/>
  <c r="AD83" i="3"/>
  <c r="P83" i="3"/>
  <c r="O83" i="3"/>
  <c r="AE83" i="3"/>
  <c r="AF83" i="3"/>
  <c r="M83" i="3"/>
  <c r="V83" i="3"/>
  <c r="U83" i="3"/>
  <c r="F83" i="3"/>
  <c r="D83" i="3"/>
  <c r="G83" i="3"/>
  <c r="H83" i="3"/>
  <c r="S83" i="3"/>
  <c r="T83" i="3"/>
  <c r="AH82" i="3"/>
  <c r="AO82" i="3"/>
  <c r="AX81" i="3"/>
  <c r="BA80" i="3"/>
  <c r="BC80" i="3"/>
  <c r="BG80" i="3"/>
  <c r="BH80" i="3"/>
  <c r="BI80" i="3"/>
  <c r="BN83" i="3"/>
  <c r="BM83" i="3"/>
  <c r="BG79" i="3"/>
  <c r="BH79" i="3"/>
  <c r="BI79" i="3"/>
  <c r="AY81" i="3"/>
  <c r="BC81" i="3"/>
  <c r="AX82" i="3"/>
  <c r="AN83" i="3"/>
  <c r="AH83" i="3"/>
  <c r="BA81" i="3"/>
  <c r="BQ81" i="3"/>
  <c r="BQ80" i="3"/>
  <c r="BF80" i="3"/>
  <c r="BJ79" i="3"/>
  <c r="BB80" i="3"/>
  <c r="A85" i="3"/>
  <c r="B84" i="3"/>
  <c r="AR84" i="3"/>
  <c r="AQ84" i="3"/>
  <c r="C84" i="3"/>
  <c r="AK84" i="3"/>
  <c r="AM84" i="3"/>
  <c r="R84" i="3"/>
  <c r="Q84" i="3"/>
  <c r="AD84" i="3"/>
  <c r="P84" i="3"/>
  <c r="AF84" i="3"/>
  <c r="O84" i="3"/>
  <c r="AE84" i="3"/>
  <c r="M84" i="3"/>
  <c r="U84" i="3"/>
  <c r="V84" i="3"/>
  <c r="D84" i="3"/>
  <c r="G84" i="3"/>
  <c r="H84" i="3"/>
  <c r="F84" i="3"/>
  <c r="S84" i="3"/>
  <c r="T84" i="3"/>
  <c r="AU82" i="3"/>
  <c r="AW82" i="3"/>
  <c r="X83" i="3"/>
  <c r="AG83" i="3"/>
  <c r="AO83" i="3"/>
  <c r="Y83" i="3"/>
  <c r="Z83" i="3"/>
  <c r="AT82" i="3"/>
  <c r="BK79" i="3"/>
  <c r="BD80" i="3"/>
  <c r="AY82" i="3"/>
  <c r="BB81" i="3"/>
  <c r="BF81" i="3"/>
  <c r="BJ80" i="3"/>
  <c r="BK80" i="3"/>
  <c r="BN84" i="3"/>
  <c r="AN84" i="3"/>
  <c r="AU83" i="3"/>
  <c r="AG84" i="3"/>
  <c r="AT83" i="3"/>
  <c r="X84" i="3"/>
  <c r="AW83" i="3"/>
  <c r="AX83" i="3"/>
  <c r="Y84" i="3"/>
  <c r="Z84" i="3"/>
  <c r="BM84" i="3"/>
  <c r="AH84" i="3"/>
  <c r="AO84" i="3"/>
  <c r="AV82" i="3"/>
  <c r="BA82" i="3"/>
  <c r="BG81" i="3"/>
  <c r="BH81" i="3"/>
  <c r="BI81" i="3"/>
  <c r="BD81" i="3"/>
  <c r="AR85" i="3"/>
  <c r="B85" i="3"/>
  <c r="AQ85" i="3"/>
  <c r="A86" i="3"/>
  <c r="C85" i="3"/>
  <c r="T85" i="3"/>
  <c r="S85" i="3"/>
  <c r="AK85" i="3"/>
  <c r="AM85" i="3"/>
  <c r="R85" i="3"/>
  <c r="Q85" i="3"/>
  <c r="P85" i="3"/>
  <c r="AD85" i="3"/>
  <c r="O85" i="3"/>
  <c r="M85" i="3"/>
  <c r="AF85" i="3"/>
  <c r="AE85" i="3"/>
  <c r="V85" i="3"/>
  <c r="U85" i="3"/>
  <c r="D85" i="3"/>
  <c r="F85" i="3"/>
  <c r="BM85" i="3"/>
  <c r="G85" i="3"/>
  <c r="H85" i="3"/>
  <c r="BN85" i="3"/>
  <c r="BC82" i="3"/>
  <c r="BD82" i="3"/>
  <c r="AV83" i="3"/>
  <c r="AG85" i="3"/>
  <c r="AN85" i="3"/>
  <c r="AU84" i="3"/>
  <c r="AT84" i="3"/>
  <c r="BA83" i="3"/>
  <c r="BB83" i="3"/>
  <c r="Y85" i="3"/>
  <c r="Z85" i="3"/>
  <c r="B86" i="3"/>
  <c r="AQ86" i="3"/>
  <c r="AR86" i="3"/>
  <c r="A87" i="3"/>
  <c r="C86" i="3"/>
  <c r="D86" i="3"/>
  <c r="AK86" i="3"/>
  <c r="AM86" i="3"/>
  <c r="S86" i="3"/>
  <c r="R86" i="3"/>
  <c r="Q86" i="3"/>
  <c r="AD86" i="3"/>
  <c r="O86" i="3"/>
  <c r="P86" i="3"/>
  <c r="AE86" i="3"/>
  <c r="M86" i="3"/>
  <c r="AF86" i="3"/>
  <c r="V86" i="3"/>
  <c r="U86" i="3"/>
  <c r="G86" i="3"/>
  <c r="H86" i="3"/>
  <c r="F86" i="3"/>
  <c r="T86" i="3"/>
  <c r="BB82" i="3"/>
  <c r="BF82" i="3"/>
  <c r="BJ81" i="3"/>
  <c r="BK81" i="3"/>
  <c r="BQ82" i="3"/>
  <c r="AO85" i="3"/>
  <c r="AX84" i="3"/>
  <c r="AY83" i="3"/>
  <c r="AH85" i="3"/>
  <c r="X85" i="3"/>
  <c r="AW84" i="3"/>
  <c r="BM86" i="3"/>
  <c r="BF83" i="3"/>
  <c r="BJ82" i="3"/>
  <c r="BN86" i="3"/>
  <c r="BG82" i="3"/>
  <c r="BH82" i="3"/>
  <c r="BI82" i="3"/>
  <c r="BC83" i="3"/>
  <c r="BG83" i="3"/>
  <c r="BH83" i="3"/>
  <c r="BI83" i="3"/>
  <c r="AY84" i="3"/>
  <c r="AU85" i="3"/>
  <c r="AV84" i="3"/>
  <c r="Y86" i="3"/>
  <c r="Z86" i="3"/>
  <c r="BQ83" i="3"/>
  <c r="AT85" i="3"/>
  <c r="AN86" i="3"/>
  <c r="AX85" i="3"/>
  <c r="AW85" i="3"/>
  <c r="AG86" i="3"/>
  <c r="AO86" i="3"/>
  <c r="X86" i="3"/>
  <c r="A88" i="3"/>
  <c r="B87" i="3"/>
  <c r="AQ87" i="3"/>
  <c r="AR87" i="3"/>
  <c r="AM87" i="3"/>
  <c r="AK87" i="3"/>
  <c r="T87" i="3"/>
  <c r="Q87" i="3"/>
  <c r="R87" i="3"/>
  <c r="AD87" i="3"/>
  <c r="P87" i="3"/>
  <c r="AE87" i="3"/>
  <c r="O87" i="3"/>
  <c r="AF87" i="3"/>
  <c r="V87" i="3"/>
  <c r="M87" i="3"/>
  <c r="U87" i="3"/>
  <c r="F87" i="3"/>
  <c r="C87" i="3"/>
  <c r="D87" i="3"/>
  <c r="G87" i="3"/>
  <c r="H87" i="3"/>
  <c r="S87" i="3"/>
  <c r="AH86" i="3"/>
  <c r="BA84" i="3"/>
  <c r="BK82" i="3"/>
  <c r="AV85" i="3"/>
  <c r="BD83" i="3"/>
  <c r="BC84" i="3"/>
  <c r="BD84" i="3"/>
  <c r="AH87" i="3"/>
  <c r="BN87" i="3"/>
  <c r="AX86" i="3"/>
  <c r="AN87" i="3"/>
  <c r="AU86" i="3"/>
  <c r="AY85" i="3"/>
  <c r="BQ84" i="3"/>
  <c r="BF84" i="3"/>
  <c r="BJ83" i="3"/>
  <c r="BK83" i="3"/>
  <c r="BB84" i="3"/>
  <c r="Y87" i="3"/>
  <c r="Z87" i="3"/>
  <c r="X87" i="3"/>
  <c r="BM87" i="3"/>
  <c r="AG87" i="3"/>
  <c r="AO87" i="3"/>
  <c r="AW86" i="3"/>
  <c r="A89" i="3"/>
  <c r="AR88" i="3"/>
  <c r="B88" i="3"/>
  <c r="AQ88" i="3"/>
  <c r="AM88" i="3"/>
  <c r="AK88" i="3"/>
  <c r="D88" i="3"/>
  <c r="T88" i="3"/>
  <c r="R88" i="3"/>
  <c r="Q88" i="3"/>
  <c r="AD88" i="3"/>
  <c r="P88" i="3"/>
  <c r="O88" i="3"/>
  <c r="M88" i="3"/>
  <c r="AE88" i="3"/>
  <c r="AF88" i="3"/>
  <c r="V88" i="3"/>
  <c r="U88" i="3"/>
  <c r="C88" i="3"/>
  <c r="G88" i="3"/>
  <c r="H88" i="3"/>
  <c r="F88" i="3"/>
  <c r="S88" i="3"/>
  <c r="AT86" i="3"/>
  <c r="BA85" i="3"/>
  <c r="BM88" i="3"/>
  <c r="BC85" i="3"/>
  <c r="BG85" i="3"/>
  <c r="BH85" i="3"/>
  <c r="BI85" i="3"/>
  <c r="AT87" i="3"/>
  <c r="BG84" i="3"/>
  <c r="BH84" i="3"/>
  <c r="BI84" i="3"/>
  <c r="AU87" i="3"/>
  <c r="BN88" i="3"/>
  <c r="AX87" i="3"/>
  <c r="AO88" i="3"/>
  <c r="AY86" i="3"/>
  <c r="AN88" i="3"/>
  <c r="X88" i="3"/>
  <c r="AV86" i="3"/>
  <c r="BA86" i="3"/>
  <c r="AW87" i="3"/>
  <c r="BF85" i="3"/>
  <c r="BJ84" i="3"/>
  <c r="BB85" i="3"/>
  <c r="BQ85" i="3"/>
  <c r="Y88" i="3"/>
  <c r="Z88" i="3"/>
  <c r="AQ89" i="3"/>
  <c r="AR89" i="3"/>
  <c r="B89" i="3"/>
  <c r="A90" i="3"/>
  <c r="D89" i="3"/>
  <c r="C89" i="3"/>
  <c r="AK89" i="3"/>
  <c r="S89" i="3"/>
  <c r="T89" i="3"/>
  <c r="AM89" i="3"/>
  <c r="AD89" i="3"/>
  <c r="P89" i="3"/>
  <c r="O89" i="3"/>
  <c r="AF89" i="3"/>
  <c r="AE89" i="3"/>
  <c r="U89" i="3"/>
  <c r="M89" i="3"/>
  <c r="V89" i="3"/>
  <c r="R89" i="3"/>
  <c r="Q89" i="3"/>
  <c r="F89" i="3"/>
  <c r="G89" i="3"/>
  <c r="H89" i="3"/>
  <c r="AG88" i="3"/>
  <c r="AH88" i="3"/>
  <c r="BD85" i="3"/>
  <c r="BK84" i="3"/>
  <c r="AV87" i="3"/>
  <c r="AN89" i="3"/>
  <c r="BN89" i="3"/>
  <c r="BC86" i="3"/>
  <c r="BD86" i="3"/>
  <c r="AX88" i="3"/>
  <c r="B90" i="3"/>
  <c r="AQ90" i="3"/>
  <c r="AR90" i="3"/>
  <c r="A91" i="3"/>
  <c r="AK90" i="3"/>
  <c r="T90" i="3"/>
  <c r="D90" i="3"/>
  <c r="AM90" i="3"/>
  <c r="R90" i="3"/>
  <c r="Q90" i="3"/>
  <c r="AD90" i="3"/>
  <c r="P90" i="3"/>
  <c r="O90" i="3"/>
  <c r="M90" i="3"/>
  <c r="AF90" i="3"/>
  <c r="U90" i="3"/>
  <c r="AE90" i="3"/>
  <c r="V90" i="3"/>
  <c r="C90" i="3"/>
  <c r="G90" i="3"/>
  <c r="H90" i="3"/>
  <c r="F90" i="3"/>
  <c r="S90" i="3"/>
  <c r="AU88" i="3"/>
  <c r="Y89" i="3"/>
  <c r="Z89" i="3"/>
  <c r="BA87" i="3"/>
  <c r="AY87" i="3"/>
  <c r="BF86" i="3"/>
  <c r="BJ85" i="3"/>
  <c r="BK85" i="3"/>
  <c r="BQ86" i="3"/>
  <c r="BB86" i="3"/>
  <c r="X89" i="3"/>
  <c r="AW88" i="3"/>
  <c r="BM89" i="3"/>
  <c r="AG89" i="3"/>
  <c r="AH89" i="3"/>
  <c r="AO89" i="3"/>
  <c r="AT88" i="3"/>
  <c r="BM90" i="3"/>
  <c r="AG90" i="3"/>
  <c r="BC87" i="3"/>
  <c r="BD87" i="3"/>
  <c r="BN90" i="3"/>
  <c r="BG86" i="3"/>
  <c r="BH86" i="3"/>
  <c r="BI86" i="3"/>
  <c r="AY88" i="3"/>
  <c r="AN90" i="3"/>
  <c r="AX89" i="3"/>
  <c r="X90" i="3"/>
  <c r="BA88" i="3"/>
  <c r="AV88" i="3"/>
  <c r="BF87" i="3"/>
  <c r="BJ86" i="3"/>
  <c r="BB87" i="3"/>
  <c r="BQ87" i="3"/>
  <c r="Y90" i="3"/>
  <c r="Z90" i="3"/>
  <c r="AW89" i="3"/>
  <c r="AT89" i="3"/>
  <c r="AH90" i="3"/>
  <c r="AO90" i="3"/>
  <c r="A92" i="3"/>
  <c r="B91" i="3"/>
  <c r="AQ91" i="3"/>
  <c r="AR91" i="3"/>
  <c r="D91" i="3"/>
  <c r="AM91" i="3"/>
  <c r="AK91" i="3"/>
  <c r="R91" i="3"/>
  <c r="P91" i="3"/>
  <c r="Q91" i="3"/>
  <c r="AD91" i="3"/>
  <c r="AE91" i="3"/>
  <c r="M91" i="3"/>
  <c r="V91" i="3"/>
  <c r="U91" i="3"/>
  <c r="O91" i="3"/>
  <c r="AF91" i="3"/>
  <c r="F91" i="3"/>
  <c r="C91" i="3"/>
  <c r="G91" i="3"/>
  <c r="H91" i="3"/>
  <c r="T91" i="3"/>
  <c r="S91" i="3"/>
  <c r="AU89" i="3"/>
  <c r="AY89" i="3"/>
  <c r="AT90" i="3"/>
  <c r="BG87" i="3"/>
  <c r="BH87" i="3"/>
  <c r="BI87" i="3"/>
  <c r="AU90" i="3"/>
  <c r="AV89" i="3"/>
  <c r="BN91" i="3"/>
  <c r="BM91" i="3"/>
  <c r="BK86" i="3"/>
  <c r="BC88" i="3"/>
  <c r="BG88" i="3"/>
  <c r="BH88" i="3"/>
  <c r="BI88" i="3"/>
  <c r="X91" i="3"/>
  <c r="AG91" i="3"/>
  <c r="AN91" i="3"/>
  <c r="AX90" i="3"/>
  <c r="Y91" i="3"/>
  <c r="Z91" i="3"/>
  <c r="A93" i="3"/>
  <c r="AR92" i="3"/>
  <c r="B92" i="3"/>
  <c r="AQ92" i="3"/>
  <c r="C92" i="3"/>
  <c r="AK92" i="3"/>
  <c r="AM92" i="3"/>
  <c r="S92" i="3"/>
  <c r="Q92" i="3"/>
  <c r="D92" i="3"/>
  <c r="T92" i="3"/>
  <c r="AD92" i="3"/>
  <c r="O92" i="3"/>
  <c r="P92" i="3"/>
  <c r="AE92" i="3"/>
  <c r="V92" i="3"/>
  <c r="M92" i="3"/>
  <c r="AF92" i="3"/>
  <c r="U92" i="3"/>
  <c r="R92" i="3"/>
  <c r="G92" i="3"/>
  <c r="H92" i="3"/>
  <c r="F92" i="3"/>
  <c r="BF88" i="3"/>
  <c r="BJ87" i="3"/>
  <c r="BB88" i="3"/>
  <c r="BQ88" i="3"/>
  <c r="AH91" i="3"/>
  <c r="AO91" i="3"/>
  <c r="AW90" i="3"/>
  <c r="BA89" i="3"/>
  <c r="BK87" i="3"/>
  <c r="BC89" i="3"/>
  <c r="BG89" i="3"/>
  <c r="BH89" i="3"/>
  <c r="BI89" i="3"/>
  <c r="AV90" i="3"/>
  <c r="BM92" i="3"/>
  <c r="BD88" i="3"/>
  <c r="BA90" i="3"/>
  <c r="BQ90" i="3"/>
  <c r="AU91" i="3"/>
  <c r="AY90" i="3"/>
  <c r="AW91" i="3"/>
  <c r="AX91" i="3"/>
  <c r="AO92" i="3"/>
  <c r="AQ93" i="3"/>
  <c r="B93" i="3"/>
  <c r="AR93" i="3"/>
  <c r="A94" i="3"/>
  <c r="AM93" i="3"/>
  <c r="AK93" i="3"/>
  <c r="Q93" i="3"/>
  <c r="R93" i="3"/>
  <c r="AD93" i="3"/>
  <c r="P93" i="3"/>
  <c r="O93" i="3"/>
  <c r="M93" i="3"/>
  <c r="AE93" i="3"/>
  <c r="V93" i="3"/>
  <c r="U93" i="3"/>
  <c r="AF93" i="3"/>
  <c r="F93" i="3"/>
  <c r="C93" i="3"/>
  <c r="D93" i="3"/>
  <c r="G93" i="3"/>
  <c r="H93" i="3"/>
  <c r="S93" i="3"/>
  <c r="T93" i="3"/>
  <c r="AH92" i="3"/>
  <c r="AT91" i="3"/>
  <c r="BN92" i="3"/>
  <c r="AG92" i="3"/>
  <c r="AN92" i="3"/>
  <c r="X92" i="3"/>
  <c r="BQ89" i="3"/>
  <c r="BB89" i="3"/>
  <c r="BF89" i="3"/>
  <c r="BJ88" i="3"/>
  <c r="BK88" i="3"/>
  <c r="Y92" i="3"/>
  <c r="Z92" i="3"/>
  <c r="BD89" i="3"/>
  <c r="BC90" i="3"/>
  <c r="BG90" i="3"/>
  <c r="BH90" i="3"/>
  <c r="BI90" i="3"/>
  <c r="BB90" i="3"/>
  <c r="BM93" i="3"/>
  <c r="BF90" i="3"/>
  <c r="BJ89" i="3"/>
  <c r="BK89" i="3"/>
  <c r="AG93" i="3"/>
  <c r="AY91" i="3"/>
  <c r="AW92" i="3"/>
  <c r="AN93" i="3"/>
  <c r="X93" i="3"/>
  <c r="AU92" i="3"/>
  <c r="AX92" i="3"/>
  <c r="BA91" i="3"/>
  <c r="AV91" i="3"/>
  <c r="B94" i="3"/>
  <c r="AQ94" i="3"/>
  <c r="AR94" i="3"/>
  <c r="A95" i="3"/>
  <c r="C94" i="3"/>
  <c r="AK94" i="3"/>
  <c r="R94" i="3"/>
  <c r="AM94" i="3"/>
  <c r="Q94" i="3"/>
  <c r="S94" i="3"/>
  <c r="AD94" i="3"/>
  <c r="P94" i="3"/>
  <c r="M94" i="3"/>
  <c r="U94" i="3"/>
  <c r="O94" i="3"/>
  <c r="AE94" i="3"/>
  <c r="AF94" i="3"/>
  <c r="V94" i="3"/>
  <c r="D94" i="3"/>
  <c r="G94" i="3"/>
  <c r="H94" i="3"/>
  <c r="F94" i="3"/>
  <c r="T94" i="3"/>
  <c r="AT92" i="3"/>
  <c r="Y93" i="3"/>
  <c r="Z93" i="3"/>
  <c r="BN93" i="3"/>
  <c r="AO93" i="3"/>
  <c r="AH93" i="3"/>
  <c r="BM94" i="3"/>
  <c r="BD90" i="3"/>
  <c r="AN94" i="3"/>
  <c r="AY92" i="3"/>
  <c r="BN94" i="3"/>
  <c r="AU93" i="3"/>
  <c r="BC91" i="3"/>
  <c r="BG91" i="3"/>
  <c r="BH91" i="3"/>
  <c r="BI91" i="3"/>
  <c r="AT93" i="3"/>
  <c r="AW93" i="3"/>
  <c r="AG94" i="3"/>
  <c r="AV92" i="3"/>
  <c r="BA92" i="3"/>
  <c r="BB91" i="3"/>
  <c r="BF91" i="3"/>
  <c r="BJ90" i="3"/>
  <c r="BK90" i="3"/>
  <c r="BQ91" i="3"/>
  <c r="AX93" i="3"/>
  <c r="AH94" i="3"/>
  <c r="X94" i="3"/>
  <c r="A96" i="3"/>
  <c r="B95" i="3"/>
  <c r="AQ95" i="3"/>
  <c r="AR95" i="3"/>
  <c r="D95" i="3"/>
  <c r="C95" i="3"/>
  <c r="AK95" i="3"/>
  <c r="AM95" i="3"/>
  <c r="S95" i="3"/>
  <c r="Q95" i="3"/>
  <c r="O95" i="3"/>
  <c r="AD95" i="3"/>
  <c r="M95" i="3"/>
  <c r="AF95" i="3"/>
  <c r="V95" i="3"/>
  <c r="U95" i="3"/>
  <c r="P95" i="3"/>
  <c r="AE95" i="3"/>
  <c r="R95" i="3"/>
  <c r="G95" i="3"/>
  <c r="H95" i="3"/>
  <c r="F95" i="3"/>
  <c r="T95" i="3"/>
  <c r="Y94" i="3"/>
  <c r="Z94" i="3"/>
  <c r="AO94" i="3"/>
  <c r="BD91" i="3"/>
  <c r="BC92" i="3"/>
  <c r="BG92" i="3"/>
  <c r="BH92" i="3"/>
  <c r="BI92" i="3"/>
  <c r="AG95" i="3"/>
  <c r="AV93" i="3"/>
  <c r="BN95" i="3"/>
  <c r="BM95" i="3"/>
  <c r="AT94" i="3"/>
  <c r="AW94" i="3"/>
  <c r="AN95" i="3"/>
  <c r="AU94" i="3"/>
  <c r="AY93" i="3"/>
  <c r="Y95" i="3"/>
  <c r="Z95" i="3"/>
  <c r="BA93" i="3"/>
  <c r="BF93" i="3"/>
  <c r="BB92" i="3"/>
  <c r="BF92" i="3"/>
  <c r="BJ91" i="3"/>
  <c r="BK91" i="3"/>
  <c r="BQ92" i="3"/>
  <c r="AH95" i="3"/>
  <c r="X95" i="3"/>
  <c r="AX94" i="3"/>
  <c r="A97" i="3"/>
  <c r="AR96" i="3"/>
  <c r="B96" i="3"/>
  <c r="AQ96" i="3"/>
  <c r="C96" i="3"/>
  <c r="AM96" i="3"/>
  <c r="AK96" i="3"/>
  <c r="S96" i="3"/>
  <c r="R96" i="3"/>
  <c r="Q96" i="3"/>
  <c r="AD96" i="3"/>
  <c r="P96" i="3"/>
  <c r="M96" i="3"/>
  <c r="AE96" i="3"/>
  <c r="AF96" i="3"/>
  <c r="V96" i="3"/>
  <c r="O96" i="3"/>
  <c r="U96" i="3"/>
  <c r="D96" i="3"/>
  <c r="F96" i="3"/>
  <c r="G96" i="3"/>
  <c r="H96" i="3"/>
  <c r="T96" i="3"/>
  <c r="AO95" i="3"/>
  <c r="BD92" i="3"/>
  <c r="BN96" i="3"/>
  <c r="BC93" i="3"/>
  <c r="BD93" i="3"/>
  <c r="BM96" i="3"/>
  <c r="AV94" i="3"/>
  <c r="BA94" i="3"/>
  <c r="BF94" i="3"/>
  <c r="AN96" i="3"/>
  <c r="AX95" i="3"/>
  <c r="AG96" i="3"/>
  <c r="AT95" i="3"/>
  <c r="BQ93" i="3"/>
  <c r="BB93" i="3"/>
  <c r="Y96" i="3"/>
  <c r="Z96" i="3"/>
  <c r="AQ97" i="3"/>
  <c r="AR97" i="3"/>
  <c r="B97" i="3"/>
  <c r="A98" i="3"/>
  <c r="D97" i="3"/>
  <c r="C97" i="3"/>
  <c r="AM97" i="3"/>
  <c r="AK97" i="3"/>
  <c r="R97" i="3"/>
  <c r="T97" i="3"/>
  <c r="AD97" i="3"/>
  <c r="P97" i="3"/>
  <c r="M97" i="3"/>
  <c r="AF97" i="3"/>
  <c r="V97" i="3"/>
  <c r="U97" i="3"/>
  <c r="O97" i="3"/>
  <c r="AE97" i="3"/>
  <c r="Q97" i="3"/>
  <c r="G97" i="3"/>
  <c r="H97" i="3"/>
  <c r="F97" i="3"/>
  <c r="S97" i="3"/>
  <c r="AY94" i="3"/>
  <c r="AU95" i="3"/>
  <c r="AH96" i="3"/>
  <c r="AO96" i="3"/>
  <c r="X96" i="3"/>
  <c r="AW95" i="3"/>
  <c r="BJ92" i="3"/>
  <c r="BK92" i="3"/>
  <c r="BB94" i="3"/>
  <c r="BG93" i="3"/>
  <c r="BH93" i="3"/>
  <c r="BI93" i="3"/>
  <c r="BC94" i="3"/>
  <c r="BG94" i="3"/>
  <c r="BH94" i="3"/>
  <c r="BI94" i="3"/>
  <c r="BQ94" i="3"/>
  <c r="BM97" i="3"/>
  <c r="BN97" i="3"/>
  <c r="AV95" i="3"/>
  <c r="AY95" i="3"/>
  <c r="AG97" i="3"/>
  <c r="AX96" i="3"/>
  <c r="AO97" i="3"/>
  <c r="X97" i="3"/>
  <c r="B98" i="3"/>
  <c r="AQ98" i="3"/>
  <c r="AR98" i="3"/>
  <c r="A99" i="3"/>
  <c r="D98" i="3"/>
  <c r="R98" i="3"/>
  <c r="AM98" i="3"/>
  <c r="AK98" i="3"/>
  <c r="AD98" i="3"/>
  <c r="AE98" i="3"/>
  <c r="O98" i="3"/>
  <c r="V98" i="3"/>
  <c r="U98" i="3"/>
  <c r="AF98" i="3"/>
  <c r="M98" i="3"/>
  <c r="Q98" i="3"/>
  <c r="C98" i="3"/>
  <c r="G98" i="3"/>
  <c r="H98" i="3"/>
  <c r="F98" i="3"/>
  <c r="S98" i="3"/>
  <c r="P98" i="3"/>
  <c r="T98" i="3"/>
  <c r="BA95" i="3"/>
  <c r="AW96" i="3"/>
  <c r="Y97" i="3"/>
  <c r="Z97" i="3"/>
  <c r="BJ93" i="3"/>
  <c r="BK93" i="3"/>
  <c r="AU96" i="3"/>
  <c r="AH97" i="3"/>
  <c r="AN97" i="3"/>
  <c r="AT96" i="3"/>
  <c r="BM98" i="3"/>
  <c r="BD94" i="3"/>
  <c r="BN98" i="3"/>
  <c r="BC95" i="3"/>
  <c r="BD95" i="3"/>
  <c r="AU97" i="3"/>
  <c r="AX97" i="3"/>
  <c r="AY96" i="3"/>
  <c r="AO98" i="3"/>
  <c r="A100" i="3"/>
  <c r="B99" i="3"/>
  <c r="AQ99" i="3"/>
  <c r="AR99" i="3"/>
  <c r="D99" i="3"/>
  <c r="AK99" i="3"/>
  <c r="T99" i="3"/>
  <c r="S99" i="3"/>
  <c r="AM99" i="3"/>
  <c r="Q99" i="3"/>
  <c r="R99" i="3"/>
  <c r="P99" i="3"/>
  <c r="AD99" i="3"/>
  <c r="O99" i="3"/>
  <c r="AE99" i="3"/>
  <c r="V99" i="3"/>
  <c r="U99" i="3"/>
  <c r="M99" i="3"/>
  <c r="AF99" i="3"/>
  <c r="F99" i="3"/>
  <c r="G99" i="3"/>
  <c r="H99" i="3"/>
  <c r="C99" i="3"/>
  <c r="AV96" i="3"/>
  <c r="BA96" i="3"/>
  <c r="BF95" i="3"/>
  <c r="BJ94" i="3"/>
  <c r="BK94" i="3"/>
  <c r="BQ95" i="3"/>
  <c r="BB95" i="3"/>
  <c r="AT97" i="3"/>
  <c r="AG98" i="3"/>
  <c r="AW97" i="3"/>
  <c r="Y98" i="3"/>
  <c r="Z98" i="3"/>
  <c r="X98" i="3"/>
  <c r="AH98" i="3"/>
  <c r="AN98" i="3"/>
  <c r="BN99" i="3"/>
  <c r="AT98" i="3"/>
  <c r="BG95" i="3"/>
  <c r="BH95" i="3"/>
  <c r="BI95" i="3"/>
  <c r="BM99" i="3"/>
  <c r="AY97" i="3"/>
  <c r="BC96" i="3"/>
  <c r="BD96" i="3"/>
  <c r="AO99" i="3"/>
  <c r="BQ96" i="3"/>
  <c r="BB96" i="3"/>
  <c r="BF96" i="3"/>
  <c r="BJ95" i="3"/>
  <c r="BA97" i="3"/>
  <c r="AV97" i="3"/>
  <c r="Y99" i="3"/>
  <c r="Z99" i="3"/>
  <c r="A101" i="3"/>
  <c r="AR100" i="3"/>
  <c r="B100" i="3"/>
  <c r="AQ100" i="3"/>
  <c r="D100" i="3"/>
  <c r="C100" i="3"/>
  <c r="AK100" i="3"/>
  <c r="AM100" i="3"/>
  <c r="T100" i="3"/>
  <c r="S100" i="3"/>
  <c r="R100" i="3"/>
  <c r="AD100" i="3"/>
  <c r="Q100" i="3"/>
  <c r="O100" i="3"/>
  <c r="P100" i="3"/>
  <c r="M100" i="3"/>
  <c r="V100" i="3"/>
  <c r="AF100" i="3"/>
  <c r="AE100" i="3"/>
  <c r="U100" i="3"/>
  <c r="F100" i="3"/>
  <c r="G100" i="3"/>
  <c r="H100" i="3"/>
  <c r="AW98" i="3"/>
  <c r="X99" i="3"/>
  <c r="AX98" i="3"/>
  <c r="AU98" i="3"/>
  <c r="AG99" i="3"/>
  <c r="AH99" i="3"/>
  <c r="AN99" i="3"/>
  <c r="BK95" i="3"/>
  <c r="AV98" i="3"/>
  <c r="BN100" i="3"/>
  <c r="BM100" i="3"/>
  <c r="AO100" i="3"/>
  <c r="BC97" i="3"/>
  <c r="BG97" i="3"/>
  <c r="BH97" i="3"/>
  <c r="BI97" i="3"/>
  <c r="BG96" i="3"/>
  <c r="BH96" i="3"/>
  <c r="BI96" i="3"/>
  <c r="AT99" i="3"/>
  <c r="AG100" i="3"/>
  <c r="BA98" i="3"/>
  <c r="BQ98" i="3"/>
  <c r="AY98" i="3"/>
  <c r="AW99" i="3"/>
  <c r="AU99" i="3"/>
  <c r="AX99" i="3"/>
  <c r="AH100" i="3"/>
  <c r="AN100" i="3"/>
  <c r="X100" i="3"/>
  <c r="Y100" i="3"/>
  <c r="Z100" i="3"/>
  <c r="AQ101" i="3"/>
  <c r="B101" i="3"/>
  <c r="AR101" i="3"/>
  <c r="A102" i="3"/>
  <c r="C101" i="3"/>
  <c r="R101" i="3"/>
  <c r="AM101" i="3"/>
  <c r="AK101" i="3"/>
  <c r="Q101" i="3"/>
  <c r="AD101" i="3"/>
  <c r="O101" i="3"/>
  <c r="P101" i="3"/>
  <c r="AF101" i="3"/>
  <c r="AE101" i="3"/>
  <c r="U101" i="3"/>
  <c r="V101" i="3"/>
  <c r="M101" i="3"/>
  <c r="D101" i="3"/>
  <c r="F101" i="3"/>
  <c r="G101" i="3"/>
  <c r="H101" i="3"/>
  <c r="T101" i="3"/>
  <c r="S101" i="3"/>
  <c r="BB97" i="3"/>
  <c r="BQ97" i="3"/>
  <c r="BF97" i="3"/>
  <c r="BJ96" i="3"/>
  <c r="BM101" i="3"/>
  <c r="BN101" i="3"/>
  <c r="BD97" i="3"/>
  <c r="BK96" i="3"/>
  <c r="BC98" i="3"/>
  <c r="BD98" i="3"/>
  <c r="AT100" i="3"/>
  <c r="AV99" i="3"/>
  <c r="BB98" i="3"/>
  <c r="AW100" i="3"/>
  <c r="AU100" i="3"/>
  <c r="AN101" i="3"/>
  <c r="BF98" i="3"/>
  <c r="BJ97" i="3"/>
  <c r="BK97" i="3"/>
  <c r="AX100" i="3"/>
  <c r="BA99" i="3"/>
  <c r="BQ99" i="3"/>
  <c r="Y101" i="3"/>
  <c r="Z101" i="3"/>
  <c r="B102" i="3"/>
  <c r="AQ102" i="3"/>
  <c r="AR102" i="3"/>
  <c r="A103" i="3"/>
  <c r="C102" i="3"/>
  <c r="AM102" i="3"/>
  <c r="AK102" i="3"/>
  <c r="T102" i="3"/>
  <c r="Q102" i="3"/>
  <c r="O102" i="3"/>
  <c r="R102" i="3"/>
  <c r="AD102" i="3"/>
  <c r="P102" i="3"/>
  <c r="AE102" i="3"/>
  <c r="M102" i="3"/>
  <c r="AF102" i="3"/>
  <c r="V102" i="3"/>
  <c r="U102" i="3"/>
  <c r="G102" i="3"/>
  <c r="H102" i="3"/>
  <c r="D102" i="3"/>
  <c r="F102" i="3"/>
  <c r="S102" i="3"/>
  <c r="X101" i="3"/>
  <c r="AG101" i="3"/>
  <c r="AH101" i="3"/>
  <c r="AO101" i="3"/>
  <c r="AY99" i="3"/>
  <c r="BM102" i="3"/>
  <c r="BG98" i="3"/>
  <c r="BH98" i="3"/>
  <c r="BI98" i="3"/>
  <c r="AV100" i="3"/>
  <c r="BC99" i="3"/>
  <c r="BD99" i="3"/>
  <c r="AY100" i="3"/>
  <c r="BN102" i="3"/>
  <c r="AH102" i="3"/>
  <c r="BA100" i="3"/>
  <c r="BB100" i="3"/>
  <c r="AX101" i="3"/>
  <c r="BF99" i="3"/>
  <c r="BJ98" i="3"/>
  <c r="AO102" i="3"/>
  <c r="BB99" i="3"/>
  <c r="Y102" i="3"/>
  <c r="Z102" i="3"/>
  <c r="A104" i="3"/>
  <c r="B103" i="3"/>
  <c r="AQ103" i="3"/>
  <c r="AR103" i="3"/>
  <c r="D103" i="3"/>
  <c r="AK103" i="3"/>
  <c r="AM103" i="3"/>
  <c r="S103" i="3"/>
  <c r="R103" i="3"/>
  <c r="AD103" i="3"/>
  <c r="P103" i="3"/>
  <c r="O103" i="3"/>
  <c r="AE103" i="3"/>
  <c r="AF103" i="3"/>
  <c r="M103" i="3"/>
  <c r="V103" i="3"/>
  <c r="U103" i="3"/>
  <c r="Q103" i="3"/>
  <c r="C103" i="3"/>
  <c r="F103" i="3"/>
  <c r="G103" i="3"/>
  <c r="H103" i="3"/>
  <c r="T103" i="3"/>
  <c r="AW101" i="3"/>
  <c r="X102" i="3"/>
  <c r="AG102" i="3"/>
  <c r="AN102" i="3"/>
  <c r="AT101" i="3"/>
  <c r="AU101" i="3"/>
  <c r="BN103" i="3"/>
  <c r="BK98" i="3"/>
  <c r="BC100" i="3"/>
  <c r="BG100" i="3"/>
  <c r="BH100" i="3"/>
  <c r="BI100" i="3"/>
  <c r="BG99" i="3"/>
  <c r="BH99" i="3"/>
  <c r="BI99" i="3"/>
  <c r="BQ100" i="3"/>
  <c r="BM103" i="3"/>
  <c r="BF100" i="3"/>
  <c r="BJ99" i="3"/>
  <c r="AY101" i="3"/>
  <c r="AW102" i="3"/>
  <c r="AO103" i="3"/>
  <c r="AT102" i="3"/>
  <c r="AX102" i="3"/>
  <c r="AH103" i="3"/>
  <c r="Y103" i="3"/>
  <c r="Z103" i="3"/>
  <c r="A105" i="3"/>
  <c r="AR104" i="3"/>
  <c r="B104" i="3"/>
  <c r="AQ104" i="3"/>
  <c r="D104" i="3"/>
  <c r="R104" i="3"/>
  <c r="Q104" i="3"/>
  <c r="AM104" i="3"/>
  <c r="AK104" i="3"/>
  <c r="S104" i="3"/>
  <c r="AD104" i="3"/>
  <c r="P104" i="3"/>
  <c r="O104" i="3"/>
  <c r="AE104" i="3"/>
  <c r="M104" i="3"/>
  <c r="AF104" i="3"/>
  <c r="V104" i="3"/>
  <c r="U104" i="3"/>
  <c r="G104" i="3"/>
  <c r="H104" i="3"/>
  <c r="F104" i="3"/>
  <c r="C104" i="3"/>
  <c r="T104" i="3"/>
  <c r="X103" i="3"/>
  <c r="AG103" i="3"/>
  <c r="AN103" i="3"/>
  <c r="BA101" i="3"/>
  <c r="AV101" i="3"/>
  <c r="AU102" i="3"/>
  <c r="BD100" i="3"/>
  <c r="BN104" i="3"/>
  <c r="BK99" i="3"/>
  <c r="BM104" i="3"/>
  <c r="BC101" i="3"/>
  <c r="BD101" i="3"/>
  <c r="AV102" i="3"/>
  <c r="AU103" i="3"/>
  <c r="AG104" i="3"/>
  <c r="AY102" i="3"/>
  <c r="AT103" i="3"/>
  <c r="AX103" i="3"/>
  <c r="AN104" i="3"/>
  <c r="BA102" i="3"/>
  <c r="BB102" i="3"/>
  <c r="Y104" i="3"/>
  <c r="Z104" i="3"/>
  <c r="BQ101" i="3"/>
  <c r="BF101" i="3"/>
  <c r="BJ100" i="3"/>
  <c r="BK100" i="3"/>
  <c r="BB101" i="3"/>
  <c r="AQ105" i="3"/>
  <c r="AR105" i="3"/>
  <c r="B105" i="3"/>
  <c r="A106" i="3"/>
  <c r="C105" i="3"/>
  <c r="R105" i="3"/>
  <c r="AK105" i="3"/>
  <c r="AM105" i="3"/>
  <c r="Q105" i="3"/>
  <c r="AD105" i="3"/>
  <c r="O105" i="3"/>
  <c r="P105" i="3"/>
  <c r="M105" i="3"/>
  <c r="AE105" i="3"/>
  <c r="U105" i="3"/>
  <c r="V105" i="3"/>
  <c r="AF105" i="3"/>
  <c r="D105" i="3"/>
  <c r="G105" i="3"/>
  <c r="H105" i="3"/>
  <c r="F105" i="3"/>
  <c r="S105" i="3"/>
  <c r="T105" i="3"/>
  <c r="AW103" i="3"/>
  <c r="X104" i="3"/>
  <c r="AH104" i="3"/>
  <c r="AO104" i="3"/>
  <c r="BG101" i="3"/>
  <c r="BH101" i="3"/>
  <c r="BI101" i="3"/>
  <c r="BM105" i="3"/>
  <c r="AG105" i="3"/>
  <c r="AN105" i="3"/>
  <c r="AU104" i="3"/>
  <c r="BC102" i="3"/>
  <c r="BG102" i="3"/>
  <c r="BH102" i="3"/>
  <c r="BI102" i="3"/>
  <c r="AT104" i="3"/>
  <c r="AV103" i="3"/>
  <c r="BQ102" i="3"/>
  <c r="BA103" i="3"/>
  <c r="BF103" i="3"/>
  <c r="BF102" i="3"/>
  <c r="BJ101" i="3"/>
  <c r="AW104" i="3"/>
  <c r="Y105" i="3"/>
  <c r="Z105" i="3"/>
  <c r="AX104" i="3"/>
  <c r="AY103" i="3"/>
  <c r="X105" i="3"/>
  <c r="BN105" i="3"/>
  <c r="AO105" i="3"/>
  <c r="B106" i="3"/>
  <c r="AQ106" i="3"/>
  <c r="AR106" i="3"/>
  <c r="A107" i="3"/>
  <c r="D106" i="3"/>
  <c r="AM106" i="3"/>
  <c r="AK106" i="3"/>
  <c r="R106" i="3"/>
  <c r="Q106" i="3"/>
  <c r="S106" i="3"/>
  <c r="AD106" i="3"/>
  <c r="P106" i="3"/>
  <c r="O106" i="3"/>
  <c r="AF106" i="3"/>
  <c r="AE106" i="3"/>
  <c r="V106" i="3"/>
  <c r="M106" i="3"/>
  <c r="U106" i="3"/>
  <c r="C106" i="3"/>
  <c r="G106" i="3"/>
  <c r="H106" i="3"/>
  <c r="F106" i="3"/>
  <c r="T106" i="3"/>
  <c r="AH105" i="3"/>
  <c r="BK101" i="3"/>
  <c r="AV104" i="3"/>
  <c r="BM106" i="3"/>
  <c r="BN106" i="3"/>
  <c r="BD102" i="3"/>
  <c r="BQ103" i="3"/>
  <c r="AN106" i="3"/>
  <c r="AX105" i="3"/>
  <c r="Y106" i="3"/>
  <c r="Z106" i="3"/>
  <c r="BC103" i="3"/>
  <c r="BD103" i="3"/>
  <c r="AY104" i="3"/>
  <c r="BB103" i="3"/>
  <c r="BJ102" i="3"/>
  <c r="BK102" i="3"/>
  <c r="BA104" i="3"/>
  <c r="BQ104" i="3"/>
  <c r="X106" i="3"/>
  <c r="AG106" i="3"/>
  <c r="AH106" i="3"/>
  <c r="AO106" i="3"/>
  <c r="A108" i="3"/>
  <c r="B107" i="3"/>
  <c r="AQ107" i="3"/>
  <c r="AR107" i="3"/>
  <c r="D107" i="3"/>
  <c r="AM107" i="3"/>
  <c r="S107" i="3"/>
  <c r="R107" i="3"/>
  <c r="Q107" i="3"/>
  <c r="C107" i="3"/>
  <c r="AK107" i="3"/>
  <c r="AD107" i="3"/>
  <c r="O107" i="3"/>
  <c r="M107" i="3"/>
  <c r="AF107" i="3"/>
  <c r="AE107" i="3"/>
  <c r="V107" i="3"/>
  <c r="U107" i="3"/>
  <c r="G107" i="3"/>
  <c r="H107" i="3"/>
  <c r="F107" i="3"/>
  <c r="T107" i="3"/>
  <c r="P107" i="3"/>
  <c r="AT105" i="3"/>
  <c r="AW105" i="3"/>
  <c r="AU105" i="3"/>
  <c r="BM107" i="3"/>
  <c r="BN107" i="3"/>
  <c r="BC104" i="3"/>
  <c r="BG104" i="3"/>
  <c r="BH104" i="3"/>
  <c r="BI104" i="3"/>
  <c r="AN107" i="3"/>
  <c r="AY105" i="3"/>
  <c r="BF104" i="3"/>
  <c r="BJ103" i="3"/>
  <c r="BG103" i="3"/>
  <c r="BH103" i="3"/>
  <c r="BI103" i="3"/>
  <c r="AU106" i="3"/>
  <c r="BB104" i="3"/>
  <c r="AG107" i="3"/>
  <c r="AX106" i="3"/>
  <c r="BA105" i="3"/>
  <c r="BQ105" i="3"/>
  <c r="Y107" i="3"/>
  <c r="Z107" i="3"/>
  <c r="AH107" i="3"/>
  <c r="A109" i="3"/>
  <c r="AR108" i="3"/>
  <c r="B108" i="3"/>
  <c r="AQ108" i="3"/>
  <c r="R108" i="3"/>
  <c r="C108" i="3"/>
  <c r="AM108" i="3"/>
  <c r="AK108" i="3"/>
  <c r="Q108" i="3"/>
  <c r="AD108" i="3"/>
  <c r="O108" i="3"/>
  <c r="P108" i="3"/>
  <c r="AE108" i="3"/>
  <c r="M108" i="3"/>
  <c r="AF108" i="3"/>
  <c r="V108" i="3"/>
  <c r="U108" i="3"/>
  <c r="D108" i="3"/>
  <c r="F108" i="3"/>
  <c r="G108" i="3"/>
  <c r="H108" i="3"/>
  <c r="S108" i="3"/>
  <c r="T108" i="3"/>
  <c r="X107" i="3"/>
  <c r="AV105" i="3"/>
  <c r="AO107" i="3"/>
  <c r="AT106" i="3"/>
  <c r="AW106" i="3"/>
  <c r="BN108" i="3"/>
  <c r="BD104" i="3"/>
  <c r="AU107" i="3"/>
  <c r="BK103" i="3"/>
  <c r="BC105" i="3"/>
  <c r="BG105" i="3"/>
  <c r="BH105" i="3"/>
  <c r="BI105" i="3"/>
  <c r="AY106" i="3"/>
  <c r="AW107" i="3"/>
  <c r="AO108" i="3"/>
  <c r="BF105" i="3"/>
  <c r="BJ104" i="3"/>
  <c r="BK104" i="3"/>
  <c r="BB105" i="3"/>
  <c r="AV106" i="3"/>
  <c r="BA106" i="3"/>
  <c r="AQ109" i="3"/>
  <c r="B109" i="3"/>
  <c r="AR109" i="3"/>
  <c r="A110" i="3"/>
  <c r="AM109" i="3"/>
  <c r="T109" i="3"/>
  <c r="Q109" i="3"/>
  <c r="D109" i="3"/>
  <c r="AK109" i="3"/>
  <c r="S109" i="3"/>
  <c r="P109" i="3"/>
  <c r="R109" i="3"/>
  <c r="AD109" i="3"/>
  <c r="O109" i="3"/>
  <c r="M109" i="3"/>
  <c r="AF109" i="3"/>
  <c r="U109" i="3"/>
  <c r="AE109" i="3"/>
  <c r="V109" i="3"/>
  <c r="C109" i="3"/>
  <c r="F109" i="3"/>
  <c r="G109" i="3"/>
  <c r="H109" i="3"/>
  <c r="X108" i="3"/>
  <c r="BM108" i="3"/>
  <c r="AH108" i="3"/>
  <c r="AG108" i="3"/>
  <c r="AN108" i="3"/>
  <c r="AT107" i="3"/>
  <c r="Y108" i="3"/>
  <c r="Z108" i="3"/>
  <c r="AX107" i="3"/>
  <c r="BN109" i="3"/>
  <c r="BD105" i="3"/>
  <c r="BM109" i="3"/>
  <c r="AO109" i="3"/>
  <c r="AY107" i="3"/>
  <c r="BC106" i="3"/>
  <c r="BG106" i="3"/>
  <c r="BH106" i="3"/>
  <c r="BI106" i="3"/>
  <c r="AW108" i="3"/>
  <c r="AT108" i="3"/>
  <c r="AH109" i="3"/>
  <c r="Y109" i="3"/>
  <c r="Z109" i="3"/>
  <c r="B110" i="3"/>
  <c r="AQ110" i="3"/>
  <c r="AR110" i="3"/>
  <c r="A111" i="3"/>
  <c r="C110" i="3"/>
  <c r="D110" i="3"/>
  <c r="AM110" i="3"/>
  <c r="AK110" i="3"/>
  <c r="T110" i="3"/>
  <c r="Q110" i="3"/>
  <c r="S110" i="3"/>
  <c r="R110" i="3"/>
  <c r="AD110" i="3"/>
  <c r="P110" i="3"/>
  <c r="O110" i="3"/>
  <c r="AE110" i="3"/>
  <c r="AF110" i="3"/>
  <c r="V110" i="3"/>
  <c r="M110" i="3"/>
  <c r="U110" i="3"/>
  <c r="F110" i="3"/>
  <c r="G110" i="3"/>
  <c r="H110" i="3"/>
  <c r="BQ106" i="3"/>
  <c r="BF106" i="3"/>
  <c r="BJ105" i="3"/>
  <c r="BK105" i="3"/>
  <c r="BB106" i="3"/>
  <c r="AU108" i="3"/>
  <c r="AN109" i="3"/>
  <c r="AX108" i="3"/>
  <c r="X109" i="3"/>
  <c r="AG109" i="3"/>
  <c r="AV107" i="3"/>
  <c r="BA107" i="3"/>
  <c r="BN110" i="3"/>
  <c r="BM110" i="3"/>
  <c r="BD106" i="3"/>
  <c r="BA108" i="3"/>
  <c r="BQ108" i="3"/>
  <c r="AV108" i="3"/>
  <c r="BC107" i="3"/>
  <c r="BD107" i="3"/>
  <c r="AX109" i="3"/>
  <c r="AN110" i="3"/>
  <c r="AU109" i="3"/>
  <c r="AW109" i="3"/>
  <c r="BB107" i="3"/>
  <c r="BQ107" i="3"/>
  <c r="BF107" i="3"/>
  <c r="BJ106" i="3"/>
  <c r="BK106" i="3"/>
  <c r="Y110" i="3"/>
  <c r="Z110" i="3"/>
  <c r="A112" i="3"/>
  <c r="B111" i="3"/>
  <c r="AQ111" i="3"/>
  <c r="AR111" i="3"/>
  <c r="AK111" i="3"/>
  <c r="R111" i="3"/>
  <c r="AM111" i="3"/>
  <c r="C111" i="3"/>
  <c r="AD111" i="3"/>
  <c r="T111" i="3"/>
  <c r="Q111" i="3"/>
  <c r="O111" i="3"/>
  <c r="P111" i="3"/>
  <c r="AE111" i="3"/>
  <c r="AF111" i="3"/>
  <c r="M111" i="3"/>
  <c r="V111" i="3"/>
  <c r="U111" i="3"/>
  <c r="D111" i="3"/>
  <c r="G111" i="3"/>
  <c r="H111" i="3"/>
  <c r="F111" i="3"/>
  <c r="S111" i="3"/>
  <c r="AH110" i="3"/>
  <c r="AT109" i="3"/>
  <c r="AY108" i="3"/>
  <c r="AG110" i="3"/>
  <c r="AO110" i="3"/>
  <c r="X110" i="3"/>
  <c r="AN111" i="3"/>
  <c r="BB108" i="3"/>
  <c r="BC108" i="3"/>
  <c r="BD108" i="3"/>
  <c r="BF108" i="3"/>
  <c r="BJ107" i="3"/>
  <c r="BG107" i="3"/>
  <c r="BH107" i="3"/>
  <c r="BI107" i="3"/>
  <c r="AY109" i="3"/>
  <c r="AT110" i="3"/>
  <c r="BM111" i="3"/>
  <c r="AH111" i="3"/>
  <c r="A113" i="3"/>
  <c r="AR112" i="3"/>
  <c r="B112" i="3"/>
  <c r="AQ112" i="3"/>
  <c r="D112" i="3"/>
  <c r="C112" i="3"/>
  <c r="S112" i="3"/>
  <c r="Q112" i="3"/>
  <c r="AM112" i="3"/>
  <c r="AK112" i="3"/>
  <c r="AD112" i="3"/>
  <c r="P112" i="3"/>
  <c r="T112" i="3"/>
  <c r="R112" i="3"/>
  <c r="O112" i="3"/>
  <c r="AE112" i="3"/>
  <c r="M112" i="3"/>
  <c r="AF112" i="3"/>
  <c r="U112" i="3"/>
  <c r="V112" i="3"/>
  <c r="G112" i="3"/>
  <c r="H112" i="3"/>
  <c r="F112" i="3"/>
  <c r="AV109" i="3"/>
  <c r="BA109" i="3"/>
  <c r="Y111" i="3"/>
  <c r="Z111" i="3"/>
  <c r="BN111" i="3"/>
  <c r="AX110" i="3"/>
  <c r="AU110" i="3"/>
  <c r="AW110" i="3"/>
  <c r="X111" i="3"/>
  <c r="AG111" i="3"/>
  <c r="AO111" i="3"/>
  <c r="BM112" i="3"/>
  <c r="BN112" i="3"/>
  <c r="BK107" i="3"/>
  <c r="AV110" i="3"/>
  <c r="BG108" i="3"/>
  <c r="BH108" i="3"/>
  <c r="BI108" i="3"/>
  <c r="BC109" i="3"/>
  <c r="BG109" i="3"/>
  <c r="BH109" i="3"/>
  <c r="BI109" i="3"/>
  <c r="AT111" i="3"/>
  <c r="AO112" i="3"/>
  <c r="AY110" i="3"/>
  <c r="AG112" i="3"/>
  <c r="AX111" i="3"/>
  <c r="BA110" i="3"/>
  <c r="BQ110" i="3"/>
  <c r="Y112" i="3"/>
  <c r="Z112" i="3"/>
  <c r="AQ113" i="3"/>
  <c r="AR113" i="3"/>
  <c r="B113" i="3"/>
  <c r="A114" i="3"/>
  <c r="D113" i="3"/>
  <c r="AM113" i="3"/>
  <c r="R113" i="3"/>
  <c r="AK113" i="3"/>
  <c r="Q113" i="3"/>
  <c r="S113" i="3"/>
  <c r="AD113" i="3"/>
  <c r="O113" i="3"/>
  <c r="M113" i="3"/>
  <c r="AF113" i="3"/>
  <c r="P113" i="3"/>
  <c r="AE113" i="3"/>
  <c r="V113" i="3"/>
  <c r="U113" i="3"/>
  <c r="F113" i="3"/>
  <c r="G113" i="3"/>
  <c r="H113" i="3"/>
  <c r="C113" i="3"/>
  <c r="T113" i="3"/>
  <c r="AW111" i="3"/>
  <c r="AU111" i="3"/>
  <c r="AH112" i="3"/>
  <c r="AN112" i="3"/>
  <c r="BF109" i="3"/>
  <c r="BJ108" i="3"/>
  <c r="BQ109" i="3"/>
  <c r="BB109" i="3"/>
  <c r="X112" i="3"/>
  <c r="BK108" i="3"/>
  <c r="AO113" i="3"/>
  <c r="AT112" i="3"/>
  <c r="BD109" i="3"/>
  <c r="BC110" i="3"/>
  <c r="BD110" i="3"/>
  <c r="AU112" i="3"/>
  <c r="AV111" i="3"/>
  <c r="BB110" i="3"/>
  <c r="BN113" i="3"/>
  <c r="AW112" i="3"/>
  <c r="AY111" i="3"/>
  <c r="BA111" i="3"/>
  <c r="BQ111" i="3"/>
  <c r="AG113" i="3"/>
  <c r="X113" i="3"/>
  <c r="BF110" i="3"/>
  <c r="BJ109" i="3"/>
  <c r="BK109" i="3"/>
  <c r="Y113" i="3"/>
  <c r="Z113" i="3"/>
  <c r="B114" i="3"/>
  <c r="AQ114" i="3"/>
  <c r="AR114" i="3"/>
  <c r="A115" i="3"/>
  <c r="T114" i="3"/>
  <c r="C114" i="3"/>
  <c r="AM114" i="3"/>
  <c r="AK114" i="3"/>
  <c r="P114" i="3"/>
  <c r="Q114" i="3"/>
  <c r="AD114" i="3"/>
  <c r="O114" i="3"/>
  <c r="AE114" i="3"/>
  <c r="AF114" i="3"/>
  <c r="M114" i="3"/>
  <c r="U114" i="3"/>
  <c r="V114" i="3"/>
  <c r="R114" i="3"/>
  <c r="D114" i="3"/>
  <c r="G114" i="3"/>
  <c r="H114" i="3"/>
  <c r="F114" i="3"/>
  <c r="S114" i="3"/>
  <c r="AN113" i="3"/>
  <c r="AX112" i="3"/>
  <c r="BM113" i="3"/>
  <c r="AH113" i="3"/>
  <c r="AY112" i="3"/>
  <c r="BC111" i="3"/>
  <c r="BD111" i="3"/>
  <c r="AV112" i="3"/>
  <c r="BG110" i="3"/>
  <c r="BH110" i="3"/>
  <c r="BI110" i="3"/>
  <c r="BM114" i="3"/>
  <c r="BN114" i="3"/>
  <c r="BB111" i="3"/>
  <c r="BF111" i="3"/>
  <c r="BJ110" i="3"/>
  <c r="BK110" i="3"/>
  <c r="AO114" i="3"/>
  <c r="AX113" i="3"/>
  <c r="AW113" i="3"/>
  <c r="AU113" i="3"/>
  <c r="AT113" i="3"/>
  <c r="X114" i="3"/>
  <c r="Y114" i="3"/>
  <c r="Z114" i="3"/>
  <c r="BA112" i="3"/>
  <c r="AG114" i="3"/>
  <c r="AH114" i="3"/>
  <c r="AN114" i="3"/>
  <c r="A116" i="3"/>
  <c r="B115" i="3"/>
  <c r="AQ115" i="3"/>
  <c r="AR115" i="3"/>
  <c r="C115" i="3"/>
  <c r="AK115" i="3"/>
  <c r="S115" i="3"/>
  <c r="AM115" i="3"/>
  <c r="Q115" i="3"/>
  <c r="AD115" i="3"/>
  <c r="R115" i="3"/>
  <c r="P115" i="3"/>
  <c r="M115" i="3"/>
  <c r="AE115" i="3"/>
  <c r="O115" i="3"/>
  <c r="AF115" i="3"/>
  <c r="V115" i="3"/>
  <c r="U115" i="3"/>
  <c r="D115" i="3"/>
  <c r="G115" i="3"/>
  <c r="H115" i="3"/>
  <c r="F115" i="3"/>
  <c r="T115" i="3"/>
  <c r="BM115" i="3"/>
  <c r="BC112" i="3"/>
  <c r="BG112" i="3"/>
  <c r="BH112" i="3"/>
  <c r="BI112" i="3"/>
  <c r="BG111" i="3"/>
  <c r="BH111" i="3"/>
  <c r="BI111" i="3"/>
  <c r="BN115" i="3"/>
  <c r="AV113" i="3"/>
  <c r="AY113" i="3"/>
  <c r="AN115" i="3"/>
  <c r="BA113" i="3"/>
  <c r="BF113" i="3"/>
  <c r="Y115" i="3"/>
  <c r="Z115" i="3"/>
  <c r="AT114" i="3"/>
  <c r="AU114" i="3"/>
  <c r="AX114" i="3"/>
  <c r="BB112" i="3"/>
  <c r="BF112" i="3"/>
  <c r="BQ112" i="3"/>
  <c r="AG115" i="3"/>
  <c r="AH115" i="3"/>
  <c r="AO115" i="3"/>
  <c r="A117" i="3"/>
  <c r="AR116" i="3"/>
  <c r="B116" i="3"/>
  <c r="AQ116" i="3"/>
  <c r="C116" i="3"/>
  <c r="AK116" i="3"/>
  <c r="S116" i="3"/>
  <c r="R116" i="3"/>
  <c r="AM116" i="3"/>
  <c r="Q116" i="3"/>
  <c r="AD116" i="3"/>
  <c r="P116" i="3"/>
  <c r="O116" i="3"/>
  <c r="M116" i="3"/>
  <c r="AE116" i="3"/>
  <c r="AF116" i="3"/>
  <c r="U116" i="3"/>
  <c r="V116" i="3"/>
  <c r="G116" i="3"/>
  <c r="H116" i="3"/>
  <c r="F116" i="3"/>
  <c r="D116" i="3"/>
  <c r="T116" i="3"/>
  <c r="X115" i="3"/>
  <c r="AW114" i="3"/>
  <c r="BD112" i="3"/>
  <c r="BB113" i="3"/>
  <c r="BM116" i="3"/>
  <c r="BC113" i="3"/>
  <c r="BD113" i="3"/>
  <c r="AT115" i="3"/>
  <c r="AY114" i="3"/>
  <c r="BQ113" i="3"/>
  <c r="AO116" i="3"/>
  <c r="AV114" i="3"/>
  <c r="AU115" i="3"/>
  <c r="AX115" i="3"/>
  <c r="Y116" i="3"/>
  <c r="Z116" i="3"/>
  <c r="BJ112" i="3"/>
  <c r="BK112" i="3"/>
  <c r="BJ111" i="3"/>
  <c r="BK111" i="3"/>
  <c r="BA114" i="3"/>
  <c r="AQ117" i="3"/>
  <c r="B117" i="3"/>
  <c r="AR117" i="3"/>
  <c r="A118" i="3"/>
  <c r="C117" i="3"/>
  <c r="AM117" i="3"/>
  <c r="AK117" i="3"/>
  <c r="T117" i="3"/>
  <c r="R117" i="3"/>
  <c r="Q117" i="3"/>
  <c r="P117" i="3"/>
  <c r="AD117" i="3"/>
  <c r="O117" i="3"/>
  <c r="AE117" i="3"/>
  <c r="AF117" i="3"/>
  <c r="M117" i="3"/>
  <c r="U117" i="3"/>
  <c r="V117" i="3"/>
  <c r="D117" i="3"/>
  <c r="G117" i="3"/>
  <c r="H117" i="3"/>
  <c r="F117" i="3"/>
  <c r="S117" i="3"/>
  <c r="BN116" i="3"/>
  <c r="AG116" i="3"/>
  <c r="AH116" i="3"/>
  <c r="AN116" i="3"/>
  <c r="X116" i="3"/>
  <c r="AW115" i="3"/>
  <c r="BM117" i="3"/>
  <c r="BG113" i="3"/>
  <c r="BH113" i="3"/>
  <c r="BI113" i="3"/>
  <c r="AV115" i="3"/>
  <c r="BC114" i="3"/>
  <c r="BD114" i="3"/>
  <c r="AO117" i="3"/>
  <c r="AY115" i="3"/>
  <c r="AX116" i="3"/>
  <c r="AH117" i="3"/>
  <c r="B118" i="3"/>
  <c r="AQ118" i="3"/>
  <c r="AR118" i="3"/>
  <c r="A119" i="3"/>
  <c r="D118" i="3"/>
  <c r="AM118" i="3"/>
  <c r="Q118" i="3"/>
  <c r="C118" i="3"/>
  <c r="AK118" i="3"/>
  <c r="S118" i="3"/>
  <c r="R118" i="3"/>
  <c r="AD118" i="3"/>
  <c r="O118" i="3"/>
  <c r="M118" i="3"/>
  <c r="U118" i="3"/>
  <c r="P118" i="3"/>
  <c r="AE118" i="3"/>
  <c r="AF118" i="3"/>
  <c r="V118" i="3"/>
  <c r="F118" i="3"/>
  <c r="G118" i="3"/>
  <c r="H118" i="3"/>
  <c r="T118" i="3"/>
  <c r="BB114" i="3"/>
  <c r="BF114" i="3"/>
  <c r="BJ113" i="3"/>
  <c r="BK113" i="3"/>
  <c r="BQ114" i="3"/>
  <c r="AW116" i="3"/>
  <c r="X117" i="3"/>
  <c r="BN117" i="3"/>
  <c r="AG117" i="3"/>
  <c r="AN117" i="3"/>
  <c r="AU116" i="3"/>
  <c r="Y117" i="3"/>
  <c r="Z117" i="3"/>
  <c r="AT116" i="3"/>
  <c r="BA115" i="3"/>
  <c r="BN118" i="3"/>
  <c r="BM118" i="3"/>
  <c r="BC115" i="3"/>
  <c r="BD115" i="3"/>
  <c r="BG114" i="3"/>
  <c r="BH114" i="3"/>
  <c r="BI114" i="3"/>
  <c r="AT117" i="3"/>
  <c r="AX117" i="3"/>
  <c r="AY116" i="3"/>
  <c r="Y118" i="3"/>
  <c r="Z118" i="3"/>
  <c r="AU117" i="3"/>
  <c r="AN118" i="3"/>
  <c r="BA116" i="3"/>
  <c r="BF116" i="3"/>
  <c r="BB115" i="3"/>
  <c r="BF115" i="3"/>
  <c r="BJ114" i="3"/>
  <c r="BQ115" i="3"/>
  <c r="AH118" i="3"/>
  <c r="AV116" i="3"/>
  <c r="AW117" i="3"/>
  <c r="AG118" i="3"/>
  <c r="AO118" i="3"/>
  <c r="A120" i="3"/>
  <c r="B119" i="3"/>
  <c r="AQ119" i="3"/>
  <c r="AR119" i="3"/>
  <c r="D119" i="3"/>
  <c r="C119" i="3"/>
  <c r="T119" i="3"/>
  <c r="S119" i="3"/>
  <c r="AM119" i="3"/>
  <c r="AK119" i="3"/>
  <c r="Q119" i="3"/>
  <c r="R119" i="3"/>
  <c r="AD119" i="3"/>
  <c r="P119" i="3"/>
  <c r="AE119" i="3"/>
  <c r="V119" i="3"/>
  <c r="O119" i="3"/>
  <c r="M119" i="3"/>
  <c r="AF119" i="3"/>
  <c r="U119" i="3"/>
  <c r="F119" i="3"/>
  <c r="G119" i="3"/>
  <c r="H119" i="3"/>
  <c r="X118" i="3"/>
  <c r="BK114" i="3"/>
  <c r="AO119" i="3"/>
  <c r="BN119" i="3"/>
  <c r="BM119" i="3"/>
  <c r="BG115" i="3"/>
  <c r="BH115" i="3"/>
  <c r="BI115" i="3"/>
  <c r="AY117" i="3"/>
  <c r="AV117" i="3"/>
  <c r="BC116" i="3"/>
  <c r="BD116" i="3"/>
  <c r="BQ116" i="3"/>
  <c r="BA117" i="3"/>
  <c r="BF117" i="3"/>
  <c r="BJ116" i="3"/>
  <c r="BB116" i="3"/>
  <c r="AN119" i="3"/>
  <c r="AU118" i="3"/>
  <c r="Y119" i="3"/>
  <c r="Z119" i="3"/>
  <c r="A121" i="3"/>
  <c r="AR120" i="3"/>
  <c r="B120" i="3"/>
  <c r="AQ120" i="3"/>
  <c r="AM120" i="3"/>
  <c r="T120" i="3"/>
  <c r="AK120" i="3"/>
  <c r="R120" i="3"/>
  <c r="Q120" i="3"/>
  <c r="AD120" i="3"/>
  <c r="P120" i="3"/>
  <c r="O120" i="3"/>
  <c r="M120" i="3"/>
  <c r="AF120" i="3"/>
  <c r="V120" i="3"/>
  <c r="U120" i="3"/>
  <c r="AE120" i="3"/>
  <c r="C120" i="3"/>
  <c r="G120" i="3"/>
  <c r="H120" i="3"/>
  <c r="F120" i="3"/>
  <c r="D120" i="3"/>
  <c r="S120" i="3"/>
  <c r="AT118" i="3"/>
  <c r="AX118" i="3"/>
  <c r="BJ115" i="3"/>
  <c r="AG119" i="3"/>
  <c r="AH119" i="3"/>
  <c r="X119" i="3"/>
  <c r="AW118" i="3"/>
  <c r="BB117" i="3"/>
  <c r="BK115" i="3"/>
  <c r="BM120" i="3"/>
  <c r="AO120" i="3"/>
  <c r="BC117" i="3"/>
  <c r="BG117" i="3"/>
  <c r="BH117" i="3"/>
  <c r="BI117" i="3"/>
  <c r="BG116" i="3"/>
  <c r="BH116" i="3"/>
  <c r="BI116" i="3"/>
  <c r="BK116" i="3"/>
  <c r="BQ117" i="3"/>
  <c r="AT119" i="3"/>
  <c r="X120" i="3"/>
  <c r="AX119" i="3"/>
  <c r="AG120" i="3"/>
  <c r="AY118" i="3"/>
  <c r="AV118" i="3"/>
  <c r="BA118" i="3"/>
  <c r="Y120" i="3"/>
  <c r="Z120" i="3"/>
  <c r="AQ121" i="3"/>
  <c r="AR121" i="3"/>
  <c r="B121" i="3"/>
  <c r="A122" i="3"/>
  <c r="C121" i="3"/>
  <c r="AK121" i="3"/>
  <c r="Q121" i="3"/>
  <c r="AM121" i="3"/>
  <c r="T121" i="3"/>
  <c r="P121" i="3"/>
  <c r="S121" i="3"/>
  <c r="AD121" i="3"/>
  <c r="O121" i="3"/>
  <c r="AE121" i="3"/>
  <c r="M121" i="3"/>
  <c r="AF121" i="3"/>
  <c r="V121" i="3"/>
  <c r="U121" i="3"/>
  <c r="F121" i="3"/>
  <c r="R121" i="3"/>
  <c r="D121" i="3"/>
  <c r="G121" i="3"/>
  <c r="H121" i="3"/>
  <c r="AU119" i="3"/>
  <c r="AW119" i="3"/>
  <c r="BN120" i="3"/>
  <c r="AN120" i="3"/>
  <c r="AH120" i="3"/>
  <c r="AV119" i="3"/>
  <c r="AN121" i="3"/>
  <c r="BM121" i="3"/>
  <c r="BN121" i="3"/>
  <c r="BD117" i="3"/>
  <c r="AT120" i="3"/>
  <c r="AG121" i="3"/>
  <c r="BA119" i="3"/>
  <c r="BF119" i="3"/>
  <c r="AW120" i="3"/>
  <c r="AY119" i="3"/>
  <c r="BC118" i="3"/>
  <c r="BG118" i="3"/>
  <c r="BH118" i="3"/>
  <c r="BI118" i="3"/>
  <c r="Y121" i="3"/>
  <c r="Z121" i="3"/>
  <c r="AX120" i="3"/>
  <c r="X121" i="3"/>
  <c r="AU120" i="3"/>
  <c r="B122" i="3"/>
  <c r="AQ122" i="3"/>
  <c r="AR122" i="3"/>
  <c r="A123" i="3"/>
  <c r="C122" i="3"/>
  <c r="S122" i="3"/>
  <c r="AM122" i="3"/>
  <c r="AK122" i="3"/>
  <c r="T122" i="3"/>
  <c r="O122" i="3"/>
  <c r="P122" i="3"/>
  <c r="R122" i="3"/>
  <c r="AD122" i="3"/>
  <c r="AE122" i="3"/>
  <c r="U122" i="3"/>
  <c r="M122" i="3"/>
  <c r="AF122" i="3"/>
  <c r="V122" i="3"/>
  <c r="F122" i="3"/>
  <c r="G122" i="3"/>
  <c r="H122" i="3"/>
  <c r="Q122" i="3"/>
  <c r="D122" i="3"/>
  <c r="BB118" i="3"/>
  <c r="BQ118" i="3"/>
  <c r="BF118" i="3"/>
  <c r="BJ117" i="3"/>
  <c r="BK117" i="3"/>
  <c r="AH121" i="3"/>
  <c r="AO121" i="3"/>
  <c r="BM122" i="3"/>
  <c r="BC119" i="3"/>
  <c r="BG119" i="3"/>
  <c r="BH119" i="3"/>
  <c r="BI119" i="3"/>
  <c r="BN122" i="3"/>
  <c r="BB119" i="3"/>
  <c r="BD118" i="3"/>
  <c r="BQ119" i="3"/>
  <c r="BA120" i="3"/>
  <c r="BQ120" i="3"/>
  <c r="AY120" i="3"/>
  <c r="AX121" i="3"/>
  <c r="AO122" i="3"/>
  <c r="AV120" i="3"/>
  <c r="AG122" i="3"/>
  <c r="AH122" i="3"/>
  <c r="AN122" i="3"/>
  <c r="X122" i="3"/>
  <c r="AT121" i="3"/>
  <c r="Y122" i="3"/>
  <c r="Z122" i="3"/>
  <c r="A124" i="3"/>
  <c r="B123" i="3"/>
  <c r="AQ123" i="3"/>
  <c r="AR123" i="3"/>
  <c r="C123" i="3"/>
  <c r="AM123" i="3"/>
  <c r="AK123" i="3"/>
  <c r="R123" i="3"/>
  <c r="AD123" i="3"/>
  <c r="S123" i="3"/>
  <c r="Q123" i="3"/>
  <c r="P123" i="3"/>
  <c r="AE123" i="3"/>
  <c r="O123" i="3"/>
  <c r="V123" i="3"/>
  <c r="AF123" i="3"/>
  <c r="M123" i="3"/>
  <c r="U123" i="3"/>
  <c r="D123" i="3"/>
  <c r="F123" i="3"/>
  <c r="G123" i="3"/>
  <c r="H123" i="3"/>
  <c r="T123" i="3"/>
  <c r="BJ118" i="3"/>
  <c r="BK118" i="3"/>
  <c r="AU121" i="3"/>
  <c r="AW121" i="3"/>
  <c r="BN123" i="3"/>
  <c r="BD119" i="3"/>
  <c r="AU122" i="3"/>
  <c r="BB120" i="3"/>
  <c r="BM123" i="3"/>
  <c r="BF120" i="3"/>
  <c r="BJ119" i="3"/>
  <c r="BK119" i="3"/>
  <c r="BC120" i="3"/>
  <c r="BD120" i="3"/>
  <c r="AY121" i="3"/>
  <c r="AN123" i="3"/>
  <c r="AX122" i="3"/>
  <c r="AW122" i="3"/>
  <c r="Y123" i="3"/>
  <c r="Z123" i="3"/>
  <c r="A125" i="3"/>
  <c r="AR124" i="3"/>
  <c r="B124" i="3"/>
  <c r="AQ124" i="3"/>
  <c r="D124" i="3"/>
  <c r="AM124" i="3"/>
  <c r="T124" i="3"/>
  <c r="AK124" i="3"/>
  <c r="AD124" i="3"/>
  <c r="P124" i="3"/>
  <c r="AE124" i="3"/>
  <c r="M124" i="3"/>
  <c r="AF124" i="3"/>
  <c r="V124" i="3"/>
  <c r="U124" i="3"/>
  <c r="O124" i="3"/>
  <c r="C124" i="3"/>
  <c r="G124" i="3"/>
  <c r="H124" i="3"/>
  <c r="R124" i="3"/>
  <c r="Q124" i="3"/>
  <c r="F124" i="3"/>
  <c r="S124" i="3"/>
  <c r="AG123" i="3"/>
  <c r="AH123" i="3"/>
  <c r="AO123" i="3"/>
  <c r="X123" i="3"/>
  <c r="AT122" i="3"/>
  <c r="BA121" i="3"/>
  <c r="AV121" i="3"/>
  <c r="BM124" i="3"/>
  <c r="AO124" i="3"/>
  <c r="BN124" i="3"/>
  <c r="AY122" i="3"/>
  <c r="BG120" i="3"/>
  <c r="BH120" i="3"/>
  <c r="BI120" i="3"/>
  <c r="AU123" i="3"/>
  <c r="BC121" i="3"/>
  <c r="BD121" i="3"/>
  <c r="AT123" i="3"/>
  <c r="X124" i="3"/>
  <c r="BA122" i="3"/>
  <c r="AV122" i="3"/>
  <c r="Y124" i="3"/>
  <c r="Z124" i="3"/>
  <c r="AQ125" i="3"/>
  <c r="B125" i="3"/>
  <c r="AR125" i="3"/>
  <c r="A126" i="3"/>
  <c r="AM125" i="3"/>
  <c r="S125" i="3"/>
  <c r="AK125" i="3"/>
  <c r="R125" i="3"/>
  <c r="Q125" i="3"/>
  <c r="AD125" i="3"/>
  <c r="P125" i="3"/>
  <c r="O125" i="3"/>
  <c r="V125" i="3"/>
  <c r="U125" i="3"/>
  <c r="AE125" i="3"/>
  <c r="AF125" i="3"/>
  <c r="M125" i="3"/>
  <c r="C125" i="3"/>
  <c r="D125" i="3"/>
  <c r="G125" i="3"/>
  <c r="H125" i="3"/>
  <c r="F125" i="3"/>
  <c r="T125" i="3"/>
  <c r="AW123" i="3"/>
  <c r="AN124" i="3"/>
  <c r="AX123" i="3"/>
  <c r="AG124" i="3"/>
  <c r="AH124" i="3"/>
  <c r="BB121" i="3"/>
  <c r="BF121" i="3"/>
  <c r="BQ121" i="3"/>
  <c r="AV123" i="3"/>
  <c r="AO125" i="3"/>
  <c r="BC122" i="3"/>
  <c r="BD122" i="3"/>
  <c r="BN125" i="3"/>
  <c r="BG121" i="3"/>
  <c r="BH121" i="3"/>
  <c r="BI121" i="3"/>
  <c r="AW124" i="3"/>
  <c r="AH125" i="3"/>
  <c r="AT124" i="3"/>
  <c r="X125" i="3"/>
  <c r="BJ120" i="3"/>
  <c r="BK120" i="3"/>
  <c r="BF122" i="3"/>
  <c r="BJ121" i="3"/>
  <c r="BB122" i="3"/>
  <c r="BQ122" i="3"/>
  <c r="Y125" i="3"/>
  <c r="Z125" i="3"/>
  <c r="AU124" i="3"/>
  <c r="AX124" i="3"/>
  <c r="AY123" i="3"/>
  <c r="BM125" i="3"/>
  <c r="AG125" i="3"/>
  <c r="AN125" i="3"/>
  <c r="BA123" i="3"/>
  <c r="B126" i="3"/>
  <c r="AQ126" i="3"/>
  <c r="AR126" i="3"/>
  <c r="A127" i="3"/>
  <c r="C126" i="3"/>
  <c r="AM126" i="3"/>
  <c r="R126" i="3"/>
  <c r="D126" i="3"/>
  <c r="AK126" i="3"/>
  <c r="Q126" i="3"/>
  <c r="P126" i="3"/>
  <c r="S126" i="3"/>
  <c r="AD126" i="3"/>
  <c r="O126" i="3"/>
  <c r="AE126" i="3"/>
  <c r="M126" i="3"/>
  <c r="AF126" i="3"/>
  <c r="U126" i="3"/>
  <c r="V126" i="3"/>
  <c r="G126" i="3"/>
  <c r="H126" i="3"/>
  <c r="F126" i="3"/>
  <c r="BM126" i="3"/>
  <c r="T126" i="3"/>
  <c r="BN126" i="3"/>
  <c r="BC123" i="3"/>
  <c r="BG123" i="3"/>
  <c r="BH123" i="3"/>
  <c r="BI123" i="3"/>
  <c r="AT125" i="3"/>
  <c r="BK121" i="3"/>
  <c r="BG122" i="3"/>
  <c r="BH122" i="3"/>
  <c r="BI122" i="3"/>
  <c r="AX125" i="3"/>
  <c r="AH126" i="3"/>
  <c r="BA124" i="3"/>
  <c r="BB124" i="3"/>
  <c r="AV124" i="3"/>
  <c r="AW125" i="3"/>
  <c r="AN126" i="3"/>
  <c r="AY124" i="3"/>
  <c r="A128" i="3"/>
  <c r="B127" i="3"/>
  <c r="AQ127" i="3"/>
  <c r="AR127" i="3"/>
  <c r="AM127" i="3"/>
  <c r="AK127" i="3"/>
  <c r="S127" i="3"/>
  <c r="Q127" i="3"/>
  <c r="AD127" i="3"/>
  <c r="O127" i="3"/>
  <c r="P127" i="3"/>
  <c r="AF127" i="3"/>
  <c r="M127" i="3"/>
  <c r="U127" i="3"/>
  <c r="V127" i="3"/>
  <c r="AE127" i="3"/>
  <c r="G127" i="3"/>
  <c r="H127" i="3"/>
  <c r="F127" i="3"/>
  <c r="R127" i="3"/>
  <c r="C127" i="3"/>
  <c r="D127" i="3"/>
  <c r="T127" i="3"/>
  <c r="BB123" i="3"/>
  <c r="BF123" i="3"/>
  <c r="BJ122" i="3"/>
  <c r="BQ123" i="3"/>
  <c r="Y126" i="3"/>
  <c r="Z126" i="3"/>
  <c r="AG126" i="3"/>
  <c r="AO126" i="3"/>
  <c r="X126" i="3"/>
  <c r="AU125" i="3"/>
  <c r="BD123" i="3"/>
  <c r="BK122" i="3"/>
  <c r="AY125" i="3"/>
  <c r="BN127" i="3"/>
  <c r="AN127" i="3"/>
  <c r="BF124" i="3"/>
  <c r="BJ123" i="3"/>
  <c r="BK123" i="3"/>
  <c r="BA125" i="3"/>
  <c r="BF125" i="3"/>
  <c r="BQ124" i="3"/>
  <c r="BC124" i="3"/>
  <c r="BD124" i="3"/>
  <c r="AU126" i="3"/>
  <c r="AW126" i="3"/>
  <c r="AT126" i="3"/>
  <c r="AX126" i="3"/>
  <c r="AV125" i="3"/>
  <c r="Y127" i="3"/>
  <c r="Z127" i="3"/>
  <c r="X127" i="3"/>
  <c r="BM127" i="3"/>
  <c r="AG127" i="3"/>
  <c r="AH127" i="3"/>
  <c r="AO127" i="3"/>
  <c r="A129" i="3"/>
  <c r="AR128" i="3"/>
  <c r="B128" i="3"/>
  <c r="AQ128" i="3"/>
  <c r="AK128" i="3"/>
  <c r="AM128" i="3"/>
  <c r="D128" i="3"/>
  <c r="R128" i="3"/>
  <c r="Q128" i="3"/>
  <c r="AD128" i="3"/>
  <c r="P128" i="3"/>
  <c r="O128" i="3"/>
  <c r="AE128" i="3"/>
  <c r="AF128" i="3"/>
  <c r="U128" i="3"/>
  <c r="V128" i="3"/>
  <c r="M128" i="3"/>
  <c r="G128" i="3"/>
  <c r="H128" i="3"/>
  <c r="C128" i="3"/>
  <c r="F128" i="3"/>
  <c r="S128" i="3"/>
  <c r="T128" i="3"/>
  <c r="BC125" i="3"/>
  <c r="BG125" i="3"/>
  <c r="BH125" i="3"/>
  <c r="BI125" i="3"/>
  <c r="AO128" i="3"/>
  <c r="BJ124" i="3"/>
  <c r="AY126" i="3"/>
  <c r="BG124" i="3"/>
  <c r="BH124" i="3"/>
  <c r="BI124" i="3"/>
  <c r="BQ125" i="3"/>
  <c r="AU127" i="3"/>
  <c r="BB125" i="3"/>
  <c r="AG128" i="3"/>
  <c r="AT127" i="3"/>
  <c r="X128" i="3"/>
  <c r="Y128" i="3"/>
  <c r="Z128" i="3"/>
  <c r="BM128" i="3"/>
  <c r="BN128" i="3"/>
  <c r="AH128" i="3"/>
  <c r="AN128" i="3"/>
  <c r="AX127" i="3"/>
  <c r="AQ129" i="3"/>
  <c r="AR129" i="3"/>
  <c r="B129" i="3"/>
  <c r="A130" i="3"/>
  <c r="C129" i="3"/>
  <c r="D129" i="3"/>
  <c r="AK129" i="3"/>
  <c r="T129" i="3"/>
  <c r="AM129" i="3"/>
  <c r="Q129" i="3"/>
  <c r="AD129" i="3"/>
  <c r="R129" i="3"/>
  <c r="P129" i="3"/>
  <c r="O129" i="3"/>
  <c r="AE129" i="3"/>
  <c r="M129" i="3"/>
  <c r="V129" i="3"/>
  <c r="AF129" i="3"/>
  <c r="U129" i="3"/>
  <c r="F129" i="3"/>
  <c r="G129" i="3"/>
  <c r="H129" i="3"/>
  <c r="S129" i="3"/>
  <c r="AV126" i="3"/>
  <c r="BA126" i="3"/>
  <c r="AW127" i="3"/>
  <c r="BK124" i="3"/>
  <c r="BD125" i="3"/>
  <c r="BN129" i="3"/>
  <c r="AN129" i="3"/>
  <c r="BM129" i="3"/>
  <c r="AY127" i="3"/>
  <c r="BC126" i="3"/>
  <c r="BG126" i="3"/>
  <c r="BH126" i="3"/>
  <c r="BI126" i="3"/>
  <c r="AT128" i="3"/>
  <c r="AW128" i="3"/>
  <c r="AV127" i="3"/>
  <c r="AG129" i="3"/>
  <c r="BB126" i="3"/>
  <c r="BQ126" i="3"/>
  <c r="BF126" i="3"/>
  <c r="BJ125" i="3"/>
  <c r="BK125" i="3"/>
  <c r="Y129" i="3"/>
  <c r="Z129" i="3"/>
  <c r="B130" i="3"/>
  <c r="AQ130" i="3"/>
  <c r="AR130" i="3"/>
  <c r="A131" i="3"/>
  <c r="D130" i="3"/>
  <c r="AK130" i="3"/>
  <c r="AM130" i="3"/>
  <c r="R130" i="3"/>
  <c r="Q130" i="3"/>
  <c r="O130" i="3"/>
  <c r="AD130" i="3"/>
  <c r="AE130" i="3"/>
  <c r="V130" i="3"/>
  <c r="U130" i="3"/>
  <c r="M130" i="3"/>
  <c r="AF130" i="3"/>
  <c r="F130" i="3"/>
  <c r="C130" i="3"/>
  <c r="G130" i="3"/>
  <c r="H130" i="3"/>
  <c r="T130" i="3"/>
  <c r="S130" i="3"/>
  <c r="P130" i="3"/>
  <c r="X129" i="3"/>
  <c r="AH129" i="3"/>
  <c r="BA127" i="3"/>
  <c r="AU128" i="3"/>
  <c r="AX128" i="3"/>
  <c r="AO129" i="3"/>
  <c r="BN130" i="3"/>
  <c r="BD126" i="3"/>
  <c r="BC127" i="3"/>
  <c r="BD127" i="3"/>
  <c r="BM130" i="3"/>
  <c r="AY128" i="3"/>
  <c r="AV128" i="3"/>
  <c r="AN130" i="3"/>
  <c r="X130" i="3"/>
  <c r="AH130" i="3"/>
  <c r="AQ131" i="3"/>
  <c r="B131" i="3"/>
  <c r="A132" i="3"/>
  <c r="AR131" i="3"/>
  <c r="C131" i="3"/>
  <c r="AK131" i="3"/>
  <c r="AM131" i="3"/>
  <c r="S131" i="3"/>
  <c r="T131" i="3"/>
  <c r="Q131" i="3"/>
  <c r="R131" i="3"/>
  <c r="P131" i="3"/>
  <c r="AD131" i="3"/>
  <c r="AF131" i="3"/>
  <c r="AE131" i="3"/>
  <c r="V131" i="3"/>
  <c r="U131" i="3"/>
  <c r="O131" i="3"/>
  <c r="M131" i="3"/>
  <c r="D131" i="3"/>
  <c r="F131" i="3"/>
  <c r="G131" i="3"/>
  <c r="H131" i="3"/>
  <c r="BA128" i="3"/>
  <c r="AX129" i="3"/>
  <c r="AU129" i="3"/>
  <c r="AW129" i="3"/>
  <c r="AT129" i="3"/>
  <c r="Y130" i="3"/>
  <c r="Z130" i="3"/>
  <c r="AG130" i="3"/>
  <c r="AO130" i="3"/>
  <c r="BQ127" i="3"/>
  <c r="BB127" i="3"/>
  <c r="BF127" i="3"/>
  <c r="BJ126" i="3"/>
  <c r="BK126" i="3"/>
  <c r="BM131" i="3"/>
  <c r="BN131" i="3"/>
  <c r="BG127" i="3"/>
  <c r="BH127" i="3"/>
  <c r="BI127" i="3"/>
  <c r="AU130" i="3"/>
  <c r="AG131" i="3"/>
  <c r="BC128" i="3"/>
  <c r="BD128" i="3"/>
  <c r="AO131" i="3"/>
  <c r="AY129" i="3"/>
  <c r="AT130" i="3"/>
  <c r="AX130" i="3"/>
  <c r="AW130" i="3"/>
  <c r="AN131" i="3"/>
  <c r="Y131" i="3"/>
  <c r="Z131" i="3"/>
  <c r="BA129" i="3"/>
  <c r="AV129" i="3"/>
  <c r="BQ128" i="3"/>
  <c r="BF128" i="3"/>
  <c r="BJ127" i="3"/>
  <c r="BB128" i="3"/>
  <c r="A133" i="3"/>
  <c r="B132" i="3"/>
  <c r="AR132" i="3"/>
  <c r="AQ132" i="3"/>
  <c r="C132" i="3"/>
  <c r="D132" i="3"/>
  <c r="AM132" i="3"/>
  <c r="AK132" i="3"/>
  <c r="T132" i="3"/>
  <c r="AD132" i="3"/>
  <c r="R132" i="3"/>
  <c r="Q132" i="3"/>
  <c r="O132" i="3"/>
  <c r="P132" i="3"/>
  <c r="M132" i="3"/>
  <c r="AE132" i="3"/>
  <c r="U132" i="3"/>
  <c r="V132" i="3"/>
  <c r="AF132" i="3"/>
  <c r="G132" i="3"/>
  <c r="H132" i="3"/>
  <c r="F132" i="3"/>
  <c r="S132" i="3"/>
  <c r="AH131" i="3"/>
  <c r="X131" i="3"/>
  <c r="BM132" i="3"/>
  <c r="BK127" i="3"/>
  <c r="BN132" i="3"/>
  <c r="AV130" i="3"/>
  <c r="BC129" i="3"/>
  <c r="BG129" i="3"/>
  <c r="BH129" i="3"/>
  <c r="BI129" i="3"/>
  <c r="BG128" i="3"/>
  <c r="BH128" i="3"/>
  <c r="BI128" i="3"/>
  <c r="AX131" i="3"/>
  <c r="AG132" i="3"/>
  <c r="BA130" i="3"/>
  <c r="BB130" i="3"/>
  <c r="AY130" i="3"/>
  <c r="AO132" i="3"/>
  <c r="AU131" i="3"/>
  <c r="AW131" i="3"/>
  <c r="X132" i="3"/>
  <c r="AR133" i="3"/>
  <c r="B133" i="3"/>
  <c r="AQ133" i="3"/>
  <c r="A134" i="3"/>
  <c r="C133" i="3"/>
  <c r="R133" i="3"/>
  <c r="Q133" i="3"/>
  <c r="AK133" i="3"/>
  <c r="AM133" i="3"/>
  <c r="AD133" i="3"/>
  <c r="P133" i="3"/>
  <c r="AE133" i="3"/>
  <c r="O133" i="3"/>
  <c r="V133" i="3"/>
  <c r="U133" i="3"/>
  <c r="M133" i="3"/>
  <c r="AF133" i="3"/>
  <c r="F133" i="3"/>
  <c r="D133" i="3"/>
  <c r="G133" i="3"/>
  <c r="H133" i="3"/>
  <c r="S133" i="3"/>
  <c r="T133" i="3"/>
  <c r="AN132" i="3"/>
  <c r="AT131" i="3"/>
  <c r="Y132" i="3"/>
  <c r="Z132" i="3"/>
  <c r="BQ129" i="3"/>
  <c r="BB129" i="3"/>
  <c r="BF129" i="3"/>
  <c r="BJ128" i="3"/>
  <c r="AH132" i="3"/>
  <c r="BD129" i="3"/>
  <c r="BK128" i="3"/>
  <c r="BC130" i="3"/>
  <c r="BD130" i="3"/>
  <c r="AY131" i="3"/>
  <c r="AN133" i="3"/>
  <c r="BM133" i="3"/>
  <c r="AX132" i="3"/>
  <c r="BN133" i="3"/>
  <c r="BQ130" i="3"/>
  <c r="BF130" i="3"/>
  <c r="BJ129" i="3"/>
  <c r="BK129" i="3"/>
  <c r="AU132" i="3"/>
  <c r="AW132" i="3"/>
  <c r="AT132" i="3"/>
  <c r="BA131" i="3"/>
  <c r="AV131" i="3"/>
  <c r="Y133" i="3"/>
  <c r="Z133" i="3"/>
  <c r="X133" i="3"/>
  <c r="AR134" i="3"/>
  <c r="B134" i="3"/>
  <c r="AQ134" i="3"/>
  <c r="A135" i="3"/>
  <c r="AM134" i="3"/>
  <c r="S134" i="3"/>
  <c r="T134" i="3"/>
  <c r="AK134" i="3"/>
  <c r="R134" i="3"/>
  <c r="AD134" i="3"/>
  <c r="P134" i="3"/>
  <c r="O134" i="3"/>
  <c r="AE134" i="3"/>
  <c r="AF134" i="3"/>
  <c r="V134" i="3"/>
  <c r="M134" i="3"/>
  <c r="U134" i="3"/>
  <c r="C134" i="3"/>
  <c r="D134" i="3"/>
  <c r="Q134" i="3"/>
  <c r="F134" i="3"/>
  <c r="G134" i="3"/>
  <c r="H134" i="3"/>
  <c r="AG133" i="3"/>
  <c r="AH133" i="3"/>
  <c r="AO133" i="3"/>
  <c r="BG130" i="3"/>
  <c r="BH130" i="3"/>
  <c r="BI130" i="3"/>
  <c r="AV132" i="3"/>
  <c r="BC131" i="3"/>
  <c r="BD131" i="3"/>
  <c r="BM134" i="3"/>
  <c r="AY132" i="3"/>
  <c r="AN134" i="3"/>
  <c r="BA132" i="3"/>
  <c r="BB132" i="3"/>
  <c r="AX133" i="3"/>
  <c r="AG134" i="3"/>
  <c r="Y134" i="3"/>
  <c r="Z134" i="3"/>
  <c r="BN134" i="3"/>
  <c r="AQ135" i="3"/>
  <c r="B135" i="3"/>
  <c r="A136" i="3"/>
  <c r="AR135" i="3"/>
  <c r="C135" i="3"/>
  <c r="AK135" i="3"/>
  <c r="AM135" i="3"/>
  <c r="S135" i="3"/>
  <c r="Q135" i="3"/>
  <c r="R135" i="3"/>
  <c r="AD135" i="3"/>
  <c r="P135" i="3"/>
  <c r="O135" i="3"/>
  <c r="M135" i="3"/>
  <c r="AF135" i="3"/>
  <c r="AE135" i="3"/>
  <c r="V135" i="3"/>
  <c r="U135" i="3"/>
  <c r="D135" i="3"/>
  <c r="G135" i="3"/>
  <c r="H135" i="3"/>
  <c r="F135" i="3"/>
  <c r="T135" i="3"/>
  <c r="BQ131" i="3"/>
  <c r="BB131" i="3"/>
  <c r="BF131" i="3"/>
  <c r="BJ130" i="3"/>
  <c r="AW133" i="3"/>
  <c r="X134" i="3"/>
  <c r="AH134" i="3"/>
  <c r="AO134" i="3"/>
  <c r="AT133" i="3"/>
  <c r="AU133" i="3"/>
  <c r="BM135" i="3"/>
  <c r="BK130" i="3"/>
  <c r="AU134" i="3"/>
  <c r="BC132" i="3"/>
  <c r="BD132" i="3"/>
  <c r="BG131" i="3"/>
  <c r="BH131" i="3"/>
  <c r="BI131" i="3"/>
  <c r="AX134" i="3"/>
  <c r="BN135" i="3"/>
  <c r="AO135" i="3"/>
  <c r="BQ132" i="3"/>
  <c r="BF132" i="3"/>
  <c r="BJ131" i="3"/>
  <c r="AY133" i="3"/>
  <c r="Y135" i="3"/>
  <c r="Z135" i="3"/>
  <c r="AG135" i="3"/>
  <c r="AN135" i="3"/>
  <c r="BA133" i="3"/>
  <c r="BF133" i="3"/>
  <c r="AV133" i="3"/>
  <c r="AT134" i="3"/>
  <c r="AW134" i="3"/>
  <c r="A137" i="3"/>
  <c r="B136" i="3"/>
  <c r="AR136" i="3"/>
  <c r="AQ136" i="3"/>
  <c r="D136" i="3"/>
  <c r="AK136" i="3"/>
  <c r="R136" i="3"/>
  <c r="AM136" i="3"/>
  <c r="S136" i="3"/>
  <c r="Q136" i="3"/>
  <c r="AD136" i="3"/>
  <c r="P136" i="3"/>
  <c r="AE136" i="3"/>
  <c r="AF136" i="3"/>
  <c r="M136" i="3"/>
  <c r="O136" i="3"/>
  <c r="U136" i="3"/>
  <c r="V136" i="3"/>
  <c r="C136" i="3"/>
  <c r="F136" i="3"/>
  <c r="G136" i="3"/>
  <c r="H136" i="3"/>
  <c r="T136" i="3"/>
  <c r="AH135" i="3"/>
  <c r="X135" i="3"/>
  <c r="BN136" i="3"/>
  <c r="BK131" i="3"/>
  <c r="AV134" i="3"/>
  <c r="BG132" i="3"/>
  <c r="BH132" i="3"/>
  <c r="BI132" i="3"/>
  <c r="AY134" i="3"/>
  <c r="AN136" i="3"/>
  <c r="BJ132" i="3"/>
  <c r="AX135" i="3"/>
  <c r="BC133" i="3"/>
  <c r="BD133" i="3"/>
  <c r="AT135" i="3"/>
  <c r="BA134" i="3"/>
  <c r="BQ134" i="3"/>
  <c r="AG136" i="3"/>
  <c r="BB133" i="3"/>
  <c r="BQ133" i="3"/>
  <c r="AU135" i="3"/>
  <c r="AW135" i="3"/>
  <c r="X136" i="3"/>
  <c r="AH136" i="3"/>
  <c r="Y136" i="3"/>
  <c r="Z136" i="3"/>
  <c r="BM136" i="3"/>
  <c r="AO136" i="3"/>
  <c r="AR137" i="3"/>
  <c r="B137" i="3"/>
  <c r="AQ137" i="3"/>
  <c r="A138" i="3"/>
  <c r="D137" i="3"/>
  <c r="AK137" i="3"/>
  <c r="S137" i="3"/>
  <c r="C137" i="3"/>
  <c r="AM137" i="3"/>
  <c r="R137" i="3"/>
  <c r="Q137" i="3"/>
  <c r="AD137" i="3"/>
  <c r="P137" i="3"/>
  <c r="O137" i="3"/>
  <c r="AF137" i="3"/>
  <c r="V137" i="3"/>
  <c r="AE137" i="3"/>
  <c r="M137" i="3"/>
  <c r="U137" i="3"/>
  <c r="F137" i="3"/>
  <c r="BM137" i="3"/>
  <c r="G137" i="3"/>
  <c r="H137" i="3"/>
  <c r="BN137" i="3"/>
  <c r="T137" i="3"/>
  <c r="BK132" i="3"/>
  <c r="BC134" i="3"/>
  <c r="BD134" i="3"/>
  <c r="AY135" i="3"/>
  <c r="BG133" i="3"/>
  <c r="BH133" i="3"/>
  <c r="BI133" i="3"/>
  <c r="AV135" i="3"/>
  <c r="AU136" i="3"/>
  <c r="AT136" i="3"/>
  <c r="BB134" i="3"/>
  <c r="BF134" i="3"/>
  <c r="BJ133" i="3"/>
  <c r="AW136" i="3"/>
  <c r="AO137" i="3"/>
  <c r="BA135" i="3"/>
  <c r="BB135" i="3"/>
  <c r="Y137" i="3"/>
  <c r="Z137" i="3"/>
  <c r="AG137" i="3"/>
  <c r="AH137" i="3"/>
  <c r="AN137" i="3"/>
  <c r="AX136" i="3"/>
  <c r="AR138" i="3"/>
  <c r="B138" i="3"/>
  <c r="AQ138" i="3"/>
  <c r="A139" i="3"/>
  <c r="AK138" i="3"/>
  <c r="R138" i="3"/>
  <c r="AM138" i="3"/>
  <c r="Q138" i="3"/>
  <c r="AD138" i="3"/>
  <c r="P138" i="3"/>
  <c r="AE138" i="3"/>
  <c r="U138" i="3"/>
  <c r="V138" i="3"/>
  <c r="O138" i="3"/>
  <c r="M138" i="3"/>
  <c r="AF138" i="3"/>
  <c r="F138" i="3"/>
  <c r="C138" i="3"/>
  <c r="D138" i="3"/>
  <c r="G138" i="3"/>
  <c r="H138" i="3"/>
  <c r="T138" i="3"/>
  <c r="S138" i="3"/>
  <c r="X137" i="3"/>
  <c r="BG134" i="3"/>
  <c r="BH134" i="3"/>
  <c r="BI134" i="3"/>
  <c r="BC135" i="3"/>
  <c r="BD135" i="3"/>
  <c r="BK133" i="3"/>
  <c r="AN138" i="3"/>
  <c r="AV136" i="3"/>
  <c r="BM138" i="3"/>
  <c r="BA136" i="3"/>
  <c r="BB136" i="3"/>
  <c r="BQ135" i="3"/>
  <c r="AG138" i="3"/>
  <c r="BF135" i="3"/>
  <c r="BJ134" i="3"/>
  <c r="AT137" i="3"/>
  <c r="AU137" i="3"/>
  <c r="Y138" i="3"/>
  <c r="Z138" i="3"/>
  <c r="AH138" i="3"/>
  <c r="AO138" i="3"/>
  <c r="AX137" i="3"/>
  <c r="AY136" i="3"/>
  <c r="AQ139" i="3"/>
  <c r="B139" i="3"/>
  <c r="A140" i="3"/>
  <c r="AR139" i="3"/>
  <c r="C139" i="3"/>
  <c r="R139" i="3"/>
  <c r="D139" i="3"/>
  <c r="AK139" i="3"/>
  <c r="AM139" i="3"/>
  <c r="S139" i="3"/>
  <c r="T139" i="3"/>
  <c r="AD139" i="3"/>
  <c r="O139" i="3"/>
  <c r="M139" i="3"/>
  <c r="AE139" i="3"/>
  <c r="AF139" i="3"/>
  <c r="V139" i="3"/>
  <c r="U139" i="3"/>
  <c r="Q139" i="3"/>
  <c r="F139" i="3"/>
  <c r="G139" i="3"/>
  <c r="H139" i="3"/>
  <c r="P139" i="3"/>
  <c r="X138" i="3"/>
  <c r="BN138" i="3"/>
  <c r="AW137" i="3"/>
  <c r="BK134" i="3"/>
  <c r="BG135" i="3"/>
  <c r="BH135" i="3"/>
  <c r="BI135" i="3"/>
  <c r="BN139" i="3"/>
  <c r="AY137" i="3"/>
  <c r="BC136" i="3"/>
  <c r="BG136" i="3"/>
  <c r="BH136" i="3"/>
  <c r="BI136" i="3"/>
  <c r="BF136" i="3"/>
  <c r="BJ135" i="3"/>
  <c r="BK135" i="3"/>
  <c r="BQ136" i="3"/>
  <c r="BM139" i="3"/>
  <c r="AV137" i="3"/>
  <c r="AU138" i="3"/>
  <c r="AT138" i="3"/>
  <c r="AO139" i="3"/>
  <c r="AW138" i="3"/>
  <c r="Y139" i="3"/>
  <c r="Z139" i="3"/>
  <c r="A141" i="3"/>
  <c r="B140" i="3"/>
  <c r="AR140" i="3"/>
  <c r="AQ140" i="3"/>
  <c r="AM140" i="3"/>
  <c r="AK140" i="3"/>
  <c r="C140" i="3"/>
  <c r="R140" i="3"/>
  <c r="Q140" i="3"/>
  <c r="AD140" i="3"/>
  <c r="O140" i="3"/>
  <c r="M140" i="3"/>
  <c r="P140" i="3"/>
  <c r="AE140" i="3"/>
  <c r="AF140" i="3"/>
  <c r="V140" i="3"/>
  <c r="U140" i="3"/>
  <c r="D140" i="3"/>
  <c r="F140" i="3"/>
  <c r="G140" i="3"/>
  <c r="H140" i="3"/>
  <c r="S140" i="3"/>
  <c r="T140" i="3"/>
  <c r="AH139" i="3"/>
  <c r="AG139" i="3"/>
  <c r="AN139" i="3"/>
  <c r="X139" i="3"/>
  <c r="AX138" i="3"/>
  <c r="BA137" i="3"/>
  <c r="BM140" i="3"/>
  <c r="BN140" i="3"/>
  <c r="BD136" i="3"/>
  <c r="BC137" i="3"/>
  <c r="BD137" i="3"/>
  <c r="AV138" i="3"/>
  <c r="AT139" i="3"/>
  <c r="AY138" i="3"/>
  <c r="AN140" i="3"/>
  <c r="BF137" i="3"/>
  <c r="BQ137" i="3"/>
  <c r="BB137" i="3"/>
  <c r="AU139" i="3"/>
  <c r="AW139" i="3"/>
  <c r="AX139" i="3"/>
  <c r="X140" i="3"/>
  <c r="BA138" i="3"/>
  <c r="Y140" i="3"/>
  <c r="Z140" i="3"/>
  <c r="AG140" i="3"/>
  <c r="AH140" i="3"/>
  <c r="AO140" i="3"/>
  <c r="AR141" i="3"/>
  <c r="B141" i="3"/>
  <c r="AQ141" i="3"/>
  <c r="A142" i="3"/>
  <c r="D141" i="3"/>
  <c r="AK141" i="3"/>
  <c r="C141" i="3"/>
  <c r="AM141" i="3"/>
  <c r="T141" i="3"/>
  <c r="R141" i="3"/>
  <c r="P141" i="3"/>
  <c r="Q141" i="3"/>
  <c r="AD141" i="3"/>
  <c r="O141" i="3"/>
  <c r="M141" i="3"/>
  <c r="AF141" i="3"/>
  <c r="AE141" i="3"/>
  <c r="V141" i="3"/>
  <c r="U141" i="3"/>
  <c r="F141" i="3"/>
  <c r="G141" i="3"/>
  <c r="H141" i="3"/>
  <c r="S141" i="3"/>
  <c r="BN141" i="3"/>
  <c r="BG137" i="3"/>
  <c r="BH137" i="3"/>
  <c r="BI137" i="3"/>
  <c r="BC138" i="3"/>
  <c r="BG138" i="3"/>
  <c r="BH138" i="3"/>
  <c r="BI138" i="3"/>
  <c r="AV139" i="3"/>
  <c r="BM141" i="3"/>
  <c r="AN141" i="3"/>
  <c r="AO141" i="3"/>
  <c r="AX140" i="3"/>
  <c r="AR142" i="3"/>
  <c r="B142" i="3"/>
  <c r="AQ142" i="3"/>
  <c r="A143" i="3"/>
  <c r="AM142" i="3"/>
  <c r="AK142" i="3"/>
  <c r="T142" i="3"/>
  <c r="R142" i="3"/>
  <c r="Q142" i="3"/>
  <c r="AD142" i="3"/>
  <c r="P142" i="3"/>
  <c r="O142" i="3"/>
  <c r="AE142" i="3"/>
  <c r="M142" i="3"/>
  <c r="V142" i="3"/>
  <c r="AF142" i="3"/>
  <c r="U142" i="3"/>
  <c r="C142" i="3"/>
  <c r="D142" i="3"/>
  <c r="G142" i="3"/>
  <c r="H142" i="3"/>
  <c r="F142" i="3"/>
  <c r="S142" i="3"/>
  <c r="Y141" i="3"/>
  <c r="Z141" i="3"/>
  <c r="BJ136" i="3"/>
  <c r="BK136" i="3"/>
  <c r="AU140" i="3"/>
  <c r="AT140" i="3"/>
  <c r="AG141" i="3"/>
  <c r="AH141" i="3"/>
  <c r="AW140" i="3"/>
  <c r="AY139" i="3"/>
  <c r="BA139" i="3"/>
  <c r="BF138" i="3"/>
  <c r="BJ137" i="3"/>
  <c r="BQ138" i="3"/>
  <c r="BB138" i="3"/>
  <c r="X141" i="3"/>
  <c r="BK137" i="3"/>
  <c r="BD138" i="3"/>
  <c r="BC139" i="3"/>
  <c r="BG139" i="3"/>
  <c r="BH139" i="3"/>
  <c r="BI139" i="3"/>
  <c r="BM142" i="3"/>
  <c r="AW141" i="3"/>
  <c r="AG142" i="3"/>
  <c r="AY140" i="3"/>
  <c r="AN142" i="3"/>
  <c r="BB139" i="3"/>
  <c r="BF139" i="3"/>
  <c r="BJ138" i="3"/>
  <c r="BK138" i="3"/>
  <c r="BQ139" i="3"/>
  <c r="AV140" i="3"/>
  <c r="BA140" i="3"/>
  <c r="AQ143" i="3"/>
  <c r="B143" i="3"/>
  <c r="A144" i="3"/>
  <c r="AR143" i="3"/>
  <c r="D143" i="3"/>
  <c r="AK143" i="3"/>
  <c r="AM143" i="3"/>
  <c r="T143" i="3"/>
  <c r="C143" i="3"/>
  <c r="R143" i="3"/>
  <c r="Q143" i="3"/>
  <c r="S143" i="3"/>
  <c r="AD143" i="3"/>
  <c r="P143" i="3"/>
  <c r="O143" i="3"/>
  <c r="M143" i="3"/>
  <c r="AE143" i="3"/>
  <c r="AF143" i="3"/>
  <c r="V143" i="3"/>
  <c r="U143" i="3"/>
  <c r="F143" i="3"/>
  <c r="G143" i="3"/>
  <c r="H143" i="3"/>
  <c r="AU141" i="3"/>
  <c r="AT141" i="3"/>
  <c r="AX141" i="3"/>
  <c r="X142" i="3"/>
  <c r="BN142" i="3"/>
  <c r="AH142" i="3"/>
  <c r="AO142" i="3"/>
  <c r="Y142" i="3"/>
  <c r="Z142" i="3"/>
  <c r="BM143" i="3"/>
  <c r="BD139" i="3"/>
  <c r="AN143" i="3"/>
  <c r="AG143" i="3"/>
  <c r="AY141" i="3"/>
  <c r="BC140" i="3"/>
  <c r="BD140" i="3"/>
  <c r="AT142" i="3"/>
  <c r="AX142" i="3"/>
  <c r="Y143" i="3"/>
  <c r="Z143" i="3"/>
  <c r="A145" i="3"/>
  <c r="B144" i="3"/>
  <c r="AR144" i="3"/>
  <c r="AQ144" i="3"/>
  <c r="C144" i="3"/>
  <c r="T144" i="3"/>
  <c r="AK144" i="3"/>
  <c r="AM144" i="3"/>
  <c r="R144" i="3"/>
  <c r="P144" i="3"/>
  <c r="AD144" i="3"/>
  <c r="AF144" i="3"/>
  <c r="O144" i="3"/>
  <c r="M144" i="3"/>
  <c r="AE144" i="3"/>
  <c r="U144" i="3"/>
  <c r="V144" i="3"/>
  <c r="G144" i="3"/>
  <c r="H144" i="3"/>
  <c r="F144" i="3"/>
  <c r="Q144" i="3"/>
  <c r="D144" i="3"/>
  <c r="S144" i="3"/>
  <c r="BQ140" i="3"/>
  <c r="BF140" i="3"/>
  <c r="BJ139" i="3"/>
  <c r="BK139" i="3"/>
  <c r="BB140" i="3"/>
  <c r="AU142" i="3"/>
  <c r="AW142" i="3"/>
  <c r="BN143" i="3"/>
  <c r="AH143" i="3"/>
  <c r="AO143" i="3"/>
  <c r="BA141" i="3"/>
  <c r="AV141" i="3"/>
  <c r="X143" i="3"/>
  <c r="BC141" i="3"/>
  <c r="BD141" i="3"/>
  <c r="BG140" i="3"/>
  <c r="BH140" i="3"/>
  <c r="BI140" i="3"/>
  <c r="BM144" i="3"/>
  <c r="AT143" i="3"/>
  <c r="AY142" i="3"/>
  <c r="AN144" i="3"/>
  <c r="AG144" i="3"/>
  <c r="AX143" i="3"/>
  <c r="AO144" i="3"/>
  <c r="AU143" i="3"/>
  <c r="AW143" i="3"/>
  <c r="BA142" i="3"/>
  <c r="BB142" i="3"/>
  <c r="Y144" i="3"/>
  <c r="Z144" i="3"/>
  <c r="AR145" i="3"/>
  <c r="B145" i="3"/>
  <c r="AQ145" i="3"/>
  <c r="A146" i="3"/>
  <c r="D145" i="3"/>
  <c r="Q145" i="3"/>
  <c r="R145" i="3"/>
  <c r="C145" i="3"/>
  <c r="AK145" i="3"/>
  <c r="AM145" i="3"/>
  <c r="S145" i="3"/>
  <c r="AD145" i="3"/>
  <c r="O145" i="3"/>
  <c r="P145" i="3"/>
  <c r="M145" i="3"/>
  <c r="AF145" i="3"/>
  <c r="AE145" i="3"/>
  <c r="V145" i="3"/>
  <c r="U145" i="3"/>
  <c r="G145" i="3"/>
  <c r="H145" i="3"/>
  <c r="F145" i="3"/>
  <c r="T145" i="3"/>
  <c r="AH144" i="3"/>
  <c r="AV142" i="3"/>
  <c r="BF141" i="3"/>
  <c r="BJ140" i="3"/>
  <c r="BK140" i="3"/>
  <c r="BB141" i="3"/>
  <c r="BQ141" i="3"/>
  <c r="X144" i="3"/>
  <c r="BN144" i="3"/>
  <c r="BG141" i="3"/>
  <c r="BH141" i="3"/>
  <c r="BI141" i="3"/>
  <c r="BC142" i="3"/>
  <c r="BG142" i="3"/>
  <c r="BH142" i="3"/>
  <c r="BI142" i="3"/>
  <c r="AV143" i="3"/>
  <c r="BM145" i="3"/>
  <c r="AX144" i="3"/>
  <c r="AG145" i="3"/>
  <c r="BA143" i="3"/>
  <c r="BQ143" i="3"/>
  <c r="AO145" i="3"/>
  <c r="BQ142" i="3"/>
  <c r="AY143" i="3"/>
  <c r="BF142" i="3"/>
  <c r="BJ141" i="3"/>
  <c r="BK141" i="3"/>
  <c r="AR146" i="3"/>
  <c r="B146" i="3"/>
  <c r="AQ146" i="3"/>
  <c r="A147" i="3"/>
  <c r="AM146" i="3"/>
  <c r="AK146" i="3"/>
  <c r="T146" i="3"/>
  <c r="AD146" i="3"/>
  <c r="Q146" i="3"/>
  <c r="P146" i="3"/>
  <c r="AE146" i="3"/>
  <c r="AF146" i="3"/>
  <c r="O146" i="3"/>
  <c r="M146" i="3"/>
  <c r="U146" i="3"/>
  <c r="V146" i="3"/>
  <c r="R146" i="3"/>
  <c r="C146" i="3"/>
  <c r="F146" i="3"/>
  <c r="D146" i="3"/>
  <c r="G146" i="3"/>
  <c r="H146" i="3"/>
  <c r="S146" i="3"/>
  <c r="AU144" i="3"/>
  <c r="AT144" i="3"/>
  <c r="AW144" i="3"/>
  <c r="Y145" i="3"/>
  <c r="Z145" i="3"/>
  <c r="BN145" i="3"/>
  <c r="AH145" i="3"/>
  <c r="AN145" i="3"/>
  <c r="X145" i="3"/>
  <c r="BD142" i="3"/>
  <c r="BC143" i="3"/>
  <c r="BD143" i="3"/>
  <c r="AY144" i="3"/>
  <c r="BN146" i="3"/>
  <c r="BM146" i="3"/>
  <c r="AT145" i="3"/>
  <c r="BB143" i="3"/>
  <c r="BF143" i="3"/>
  <c r="BJ142" i="3"/>
  <c r="BK142" i="3"/>
  <c r="AN146" i="3"/>
  <c r="AW145" i="3"/>
  <c r="AG146" i="3"/>
  <c r="AV144" i="3"/>
  <c r="BA144" i="3"/>
  <c r="Y146" i="3"/>
  <c r="Z146" i="3"/>
  <c r="AQ147" i="3"/>
  <c r="B147" i="3"/>
  <c r="A148" i="3"/>
  <c r="AR147" i="3"/>
  <c r="D147" i="3"/>
  <c r="AM147" i="3"/>
  <c r="AK147" i="3"/>
  <c r="C147" i="3"/>
  <c r="S147" i="3"/>
  <c r="R147" i="3"/>
  <c r="Q147" i="3"/>
  <c r="AD147" i="3"/>
  <c r="P147" i="3"/>
  <c r="O147" i="3"/>
  <c r="AE147" i="3"/>
  <c r="AF147" i="3"/>
  <c r="M147" i="3"/>
  <c r="V147" i="3"/>
  <c r="U147" i="3"/>
  <c r="G147" i="3"/>
  <c r="H147" i="3"/>
  <c r="F147" i="3"/>
  <c r="T147" i="3"/>
  <c r="AX145" i="3"/>
  <c r="AU145" i="3"/>
  <c r="X146" i="3"/>
  <c r="AH146" i="3"/>
  <c r="AO146" i="3"/>
  <c r="BG143" i="3"/>
  <c r="BH143" i="3"/>
  <c r="BI143" i="3"/>
  <c r="BC144" i="3"/>
  <c r="BG144" i="3"/>
  <c r="BH144" i="3"/>
  <c r="BI144" i="3"/>
  <c r="AY145" i="3"/>
  <c r="BN147" i="3"/>
  <c r="AU146" i="3"/>
  <c r="AT146" i="3"/>
  <c r="AN147" i="3"/>
  <c r="AH147" i="3"/>
  <c r="Y147" i="3"/>
  <c r="Z147" i="3"/>
  <c r="AW146" i="3"/>
  <c r="BA145" i="3"/>
  <c r="BQ145" i="3"/>
  <c r="A149" i="3"/>
  <c r="B148" i="3"/>
  <c r="AR148" i="3"/>
  <c r="AQ148" i="3"/>
  <c r="D148" i="3"/>
  <c r="AM148" i="3"/>
  <c r="S148" i="3"/>
  <c r="R148" i="3"/>
  <c r="AK148" i="3"/>
  <c r="Q148" i="3"/>
  <c r="AD148" i="3"/>
  <c r="P148" i="3"/>
  <c r="O148" i="3"/>
  <c r="AE148" i="3"/>
  <c r="M148" i="3"/>
  <c r="AF148" i="3"/>
  <c r="U148" i="3"/>
  <c r="V148" i="3"/>
  <c r="C148" i="3"/>
  <c r="F148" i="3"/>
  <c r="G148" i="3"/>
  <c r="H148" i="3"/>
  <c r="T148" i="3"/>
  <c r="AX146" i="3"/>
  <c r="AV145" i="3"/>
  <c r="BM147" i="3"/>
  <c r="AG147" i="3"/>
  <c r="AO147" i="3"/>
  <c r="BF144" i="3"/>
  <c r="BJ143" i="3"/>
  <c r="BQ144" i="3"/>
  <c r="BB144" i="3"/>
  <c r="X147" i="3"/>
  <c r="BN148" i="3"/>
  <c r="BK143" i="3"/>
  <c r="BD144" i="3"/>
  <c r="BC145" i="3"/>
  <c r="BD145" i="3"/>
  <c r="AU147" i="3"/>
  <c r="AV146" i="3"/>
  <c r="BM148" i="3"/>
  <c r="AT147" i="3"/>
  <c r="AX147" i="3"/>
  <c r="BA146" i="3"/>
  <c r="BQ146" i="3"/>
  <c r="AG148" i="3"/>
  <c r="AN148" i="3"/>
  <c r="BF145" i="3"/>
  <c r="BJ144" i="3"/>
  <c r="BK144" i="3"/>
  <c r="Y148" i="3"/>
  <c r="Z148" i="3"/>
  <c r="BB145" i="3"/>
  <c r="AY146" i="3"/>
  <c r="AR149" i="3"/>
  <c r="B149" i="3"/>
  <c r="AQ149" i="3"/>
  <c r="A150" i="3"/>
  <c r="AK149" i="3"/>
  <c r="T149" i="3"/>
  <c r="S149" i="3"/>
  <c r="AM149" i="3"/>
  <c r="R149" i="3"/>
  <c r="Q149" i="3"/>
  <c r="P149" i="3"/>
  <c r="AD149" i="3"/>
  <c r="O149" i="3"/>
  <c r="M149" i="3"/>
  <c r="AE149" i="3"/>
  <c r="AF149" i="3"/>
  <c r="U149" i="3"/>
  <c r="V149" i="3"/>
  <c r="D149" i="3"/>
  <c r="F149" i="3"/>
  <c r="C149" i="3"/>
  <c r="G149" i="3"/>
  <c r="H149" i="3"/>
  <c r="AH148" i="3"/>
  <c r="AW147" i="3"/>
  <c r="X148" i="3"/>
  <c r="AO148" i="3"/>
  <c r="BC146" i="3"/>
  <c r="BD146" i="3"/>
  <c r="BG145" i="3"/>
  <c r="BH145" i="3"/>
  <c r="BI145" i="3"/>
  <c r="AV147" i="3"/>
  <c r="BF146" i="3"/>
  <c r="BJ145" i="3"/>
  <c r="AY147" i="3"/>
  <c r="BB146" i="3"/>
  <c r="AW148" i="3"/>
  <c r="AX148" i="3"/>
  <c r="AO149" i="3"/>
  <c r="X149" i="3"/>
  <c r="Y149" i="3"/>
  <c r="Z149" i="3"/>
  <c r="AR150" i="3"/>
  <c r="B150" i="3"/>
  <c r="AQ150" i="3"/>
  <c r="A151" i="3"/>
  <c r="D150" i="3"/>
  <c r="C150" i="3"/>
  <c r="AM150" i="3"/>
  <c r="S150" i="3"/>
  <c r="Q150" i="3"/>
  <c r="AK150" i="3"/>
  <c r="R150" i="3"/>
  <c r="AD150" i="3"/>
  <c r="O150" i="3"/>
  <c r="P150" i="3"/>
  <c r="AE150" i="3"/>
  <c r="AF150" i="3"/>
  <c r="U150" i="3"/>
  <c r="M150" i="3"/>
  <c r="V150" i="3"/>
  <c r="G150" i="3"/>
  <c r="H150" i="3"/>
  <c r="F150" i="3"/>
  <c r="T150" i="3"/>
  <c r="AU148" i="3"/>
  <c r="AT148" i="3"/>
  <c r="BN149" i="3"/>
  <c r="BM149" i="3"/>
  <c r="AG149" i="3"/>
  <c r="AH149" i="3"/>
  <c r="AN149" i="3"/>
  <c r="BA147" i="3"/>
  <c r="BG146" i="3"/>
  <c r="BH146" i="3"/>
  <c r="BI146" i="3"/>
  <c r="AY148" i="3"/>
  <c r="BK145" i="3"/>
  <c r="BC147" i="3"/>
  <c r="BG147" i="3"/>
  <c r="BH147" i="3"/>
  <c r="BI147" i="3"/>
  <c r="BN150" i="3"/>
  <c r="AT149" i="3"/>
  <c r="AW149" i="3"/>
  <c r="AV148" i="3"/>
  <c r="BF147" i="3"/>
  <c r="BJ146" i="3"/>
  <c r="BK146" i="3"/>
  <c r="BB147" i="3"/>
  <c r="BQ147" i="3"/>
  <c r="AO150" i="3"/>
  <c r="AN150" i="3"/>
  <c r="AX149" i="3"/>
  <c r="BA148" i="3"/>
  <c r="BM150" i="3"/>
  <c r="AG150" i="3"/>
  <c r="AQ151" i="3"/>
  <c r="B151" i="3"/>
  <c r="A152" i="3"/>
  <c r="AR151" i="3"/>
  <c r="D151" i="3"/>
  <c r="AM151" i="3"/>
  <c r="AK151" i="3"/>
  <c r="Q151" i="3"/>
  <c r="T151" i="3"/>
  <c r="R151" i="3"/>
  <c r="AD151" i="3"/>
  <c r="P151" i="3"/>
  <c r="O151" i="3"/>
  <c r="AE151" i="3"/>
  <c r="AF151" i="3"/>
  <c r="M151" i="3"/>
  <c r="V151" i="3"/>
  <c r="U151" i="3"/>
  <c r="C151" i="3"/>
  <c r="G151" i="3"/>
  <c r="H151" i="3"/>
  <c r="F151" i="3"/>
  <c r="S151" i="3"/>
  <c r="AU149" i="3"/>
  <c r="Y150" i="3"/>
  <c r="Z150" i="3"/>
  <c r="AH150" i="3"/>
  <c r="X150" i="3"/>
  <c r="BC148" i="3"/>
  <c r="BG148" i="3"/>
  <c r="BH148" i="3"/>
  <c r="BI148" i="3"/>
  <c r="BD147" i="3"/>
  <c r="BM151" i="3"/>
  <c r="BN151" i="3"/>
  <c r="AX150" i="3"/>
  <c r="BA149" i="3"/>
  <c r="BQ149" i="3"/>
  <c r="AO151" i="3"/>
  <c r="AN151" i="3"/>
  <c r="AY149" i="3"/>
  <c r="AG151" i="3"/>
  <c r="X151" i="3"/>
  <c r="Y151" i="3"/>
  <c r="Z151" i="3"/>
  <c r="A153" i="3"/>
  <c r="B152" i="3"/>
  <c r="AR152" i="3"/>
  <c r="AQ152" i="3"/>
  <c r="C152" i="3"/>
  <c r="AK152" i="3"/>
  <c r="AM152" i="3"/>
  <c r="Q152" i="3"/>
  <c r="AD152" i="3"/>
  <c r="T152" i="3"/>
  <c r="R152" i="3"/>
  <c r="P152" i="3"/>
  <c r="M152" i="3"/>
  <c r="AE152" i="3"/>
  <c r="AF152" i="3"/>
  <c r="V152" i="3"/>
  <c r="U152" i="3"/>
  <c r="O152" i="3"/>
  <c r="D152" i="3"/>
  <c r="G152" i="3"/>
  <c r="H152" i="3"/>
  <c r="F152" i="3"/>
  <c r="S152" i="3"/>
  <c r="BF148" i="3"/>
  <c r="BJ147" i="3"/>
  <c r="BK147" i="3"/>
  <c r="BB148" i="3"/>
  <c r="BQ148" i="3"/>
  <c r="AV149" i="3"/>
  <c r="AH151" i="3"/>
  <c r="AU150" i="3"/>
  <c r="AW150" i="3"/>
  <c r="AT150" i="3"/>
  <c r="BM152" i="3"/>
  <c r="AY150" i="3"/>
  <c r="BD148" i="3"/>
  <c r="AV150" i="3"/>
  <c r="BN152" i="3"/>
  <c r="BC149" i="3"/>
  <c r="BD149" i="3"/>
  <c r="BB149" i="3"/>
  <c r="AG152" i="3"/>
  <c r="AX151" i="3"/>
  <c r="BF149" i="3"/>
  <c r="BJ148" i="3"/>
  <c r="BK148" i="3"/>
  <c r="AO152" i="3"/>
  <c r="X152" i="3"/>
  <c r="Y152" i="3"/>
  <c r="Z152" i="3"/>
  <c r="AR153" i="3"/>
  <c r="B153" i="3"/>
  <c r="AQ153" i="3"/>
  <c r="A154" i="3"/>
  <c r="D153" i="3"/>
  <c r="C153" i="3"/>
  <c r="S153" i="3"/>
  <c r="T153" i="3"/>
  <c r="AM153" i="3"/>
  <c r="AK153" i="3"/>
  <c r="Q153" i="3"/>
  <c r="P153" i="3"/>
  <c r="AD153" i="3"/>
  <c r="O153" i="3"/>
  <c r="M153" i="3"/>
  <c r="U153" i="3"/>
  <c r="AE153" i="3"/>
  <c r="AF153" i="3"/>
  <c r="V153" i="3"/>
  <c r="R153" i="3"/>
  <c r="F153" i="3"/>
  <c r="G153" i="3"/>
  <c r="H153" i="3"/>
  <c r="BA150" i="3"/>
  <c r="AW151" i="3"/>
  <c r="AU151" i="3"/>
  <c r="AH152" i="3"/>
  <c r="AN152" i="3"/>
  <c r="AT151" i="3"/>
  <c r="BC150" i="3"/>
  <c r="BG150" i="3"/>
  <c r="BH150" i="3"/>
  <c r="BI150" i="3"/>
  <c r="BM153" i="3"/>
  <c r="BN153" i="3"/>
  <c r="AU152" i="3"/>
  <c r="BG149" i="3"/>
  <c r="BH149" i="3"/>
  <c r="BI149" i="3"/>
  <c r="AY151" i="3"/>
  <c r="AO153" i="3"/>
  <c r="AH153" i="3"/>
  <c r="BQ150" i="3"/>
  <c r="BF150" i="3"/>
  <c r="BJ149" i="3"/>
  <c r="BB150" i="3"/>
  <c r="Y153" i="3"/>
  <c r="Z153" i="3"/>
  <c r="AX152" i="3"/>
  <c r="AG153" i="3"/>
  <c r="AN153" i="3"/>
  <c r="AT152" i="3"/>
  <c r="AV151" i="3"/>
  <c r="BA151" i="3"/>
  <c r="AR154" i="3"/>
  <c r="B154" i="3"/>
  <c r="AQ154" i="3"/>
  <c r="A155" i="3"/>
  <c r="D154" i="3"/>
  <c r="AK154" i="3"/>
  <c r="T154" i="3"/>
  <c r="AM154" i="3"/>
  <c r="S154" i="3"/>
  <c r="R154" i="3"/>
  <c r="Q154" i="3"/>
  <c r="P154" i="3"/>
  <c r="AD154" i="3"/>
  <c r="AE154" i="3"/>
  <c r="U154" i="3"/>
  <c r="O154" i="3"/>
  <c r="AF154" i="3"/>
  <c r="M154" i="3"/>
  <c r="V154" i="3"/>
  <c r="C154" i="3"/>
  <c r="F154" i="3"/>
  <c r="G154" i="3"/>
  <c r="H154" i="3"/>
  <c r="X153" i="3"/>
  <c r="AW152" i="3"/>
  <c r="BD150" i="3"/>
  <c r="AN154" i="3"/>
  <c r="AT153" i="3"/>
  <c r="BK149" i="3"/>
  <c r="BN154" i="3"/>
  <c r="BC151" i="3"/>
  <c r="BG151" i="3"/>
  <c r="BH151" i="3"/>
  <c r="BI151" i="3"/>
  <c r="BM154" i="3"/>
  <c r="AU153" i="3"/>
  <c r="AY152" i="3"/>
  <c r="AX153" i="3"/>
  <c r="AH154" i="3"/>
  <c r="AQ155" i="3"/>
  <c r="B155" i="3"/>
  <c r="A156" i="3"/>
  <c r="AR155" i="3"/>
  <c r="C155" i="3"/>
  <c r="AM155" i="3"/>
  <c r="AK155" i="3"/>
  <c r="Q155" i="3"/>
  <c r="AD155" i="3"/>
  <c r="P155" i="3"/>
  <c r="R155" i="3"/>
  <c r="O155" i="3"/>
  <c r="AE155" i="3"/>
  <c r="AF155" i="3"/>
  <c r="V155" i="3"/>
  <c r="U155" i="3"/>
  <c r="M155" i="3"/>
  <c r="G155" i="3"/>
  <c r="H155" i="3"/>
  <c r="F155" i="3"/>
  <c r="D155" i="3"/>
  <c r="T155" i="3"/>
  <c r="S155" i="3"/>
  <c r="BQ151" i="3"/>
  <c r="BB151" i="3"/>
  <c r="BF151" i="3"/>
  <c r="BJ150" i="3"/>
  <c r="BK150" i="3"/>
  <c r="BA152" i="3"/>
  <c r="AV152" i="3"/>
  <c r="X154" i="3"/>
  <c r="AG154" i="3"/>
  <c r="AO154" i="3"/>
  <c r="AW153" i="3"/>
  <c r="Y154" i="3"/>
  <c r="Z154" i="3"/>
  <c r="BM155" i="3"/>
  <c r="BD151" i="3"/>
  <c r="AV153" i="3"/>
  <c r="AY153" i="3"/>
  <c r="AT154" i="3"/>
  <c r="AU154" i="3"/>
  <c r="BC152" i="3"/>
  <c r="BG152" i="3"/>
  <c r="BH152" i="3"/>
  <c r="BI152" i="3"/>
  <c r="AX154" i="3"/>
  <c r="AN155" i="3"/>
  <c r="BA153" i="3"/>
  <c r="BB153" i="3"/>
  <c r="X155" i="3"/>
  <c r="A157" i="3"/>
  <c r="B156" i="3"/>
  <c r="AR156" i="3"/>
  <c r="AQ156" i="3"/>
  <c r="C156" i="3"/>
  <c r="AM156" i="3"/>
  <c r="AK156" i="3"/>
  <c r="S156" i="3"/>
  <c r="T156" i="3"/>
  <c r="AD156" i="3"/>
  <c r="Q156" i="3"/>
  <c r="P156" i="3"/>
  <c r="O156" i="3"/>
  <c r="AE156" i="3"/>
  <c r="V156" i="3"/>
  <c r="U156" i="3"/>
  <c r="M156" i="3"/>
  <c r="AF156" i="3"/>
  <c r="R156" i="3"/>
  <c r="F156" i="3"/>
  <c r="D156" i="3"/>
  <c r="G156" i="3"/>
  <c r="H156" i="3"/>
  <c r="AW154" i="3"/>
  <c r="Y155" i="3"/>
  <c r="Z155" i="3"/>
  <c r="AG155" i="3"/>
  <c r="AH155" i="3"/>
  <c r="AO155" i="3"/>
  <c r="BF152" i="3"/>
  <c r="BJ151" i="3"/>
  <c r="BK151" i="3"/>
  <c r="BB152" i="3"/>
  <c r="BQ152" i="3"/>
  <c r="BN155" i="3"/>
  <c r="AY154" i="3"/>
  <c r="BC153" i="3"/>
  <c r="BG153" i="3"/>
  <c r="BH153" i="3"/>
  <c r="BI153" i="3"/>
  <c r="AV154" i="3"/>
  <c r="BN156" i="3"/>
  <c r="BM156" i="3"/>
  <c r="AH156" i="3"/>
  <c r="BD152" i="3"/>
  <c r="AO156" i="3"/>
  <c r="BF153" i="3"/>
  <c r="BJ152" i="3"/>
  <c r="BK152" i="3"/>
  <c r="BQ153" i="3"/>
  <c r="AW155" i="3"/>
  <c r="AG156" i="3"/>
  <c r="AN156" i="3"/>
  <c r="Y156" i="3"/>
  <c r="Z156" i="3"/>
  <c r="AR157" i="3"/>
  <c r="B157" i="3"/>
  <c r="AQ157" i="3"/>
  <c r="A158" i="3"/>
  <c r="C157" i="3"/>
  <c r="AK157" i="3"/>
  <c r="AM157" i="3"/>
  <c r="R157" i="3"/>
  <c r="AD157" i="3"/>
  <c r="P157" i="3"/>
  <c r="O157" i="3"/>
  <c r="M157" i="3"/>
  <c r="AE157" i="3"/>
  <c r="V157" i="3"/>
  <c r="U157" i="3"/>
  <c r="AF157" i="3"/>
  <c r="Q157" i="3"/>
  <c r="D157" i="3"/>
  <c r="G157" i="3"/>
  <c r="H157" i="3"/>
  <c r="F157" i="3"/>
  <c r="S157" i="3"/>
  <c r="T157" i="3"/>
  <c r="AT155" i="3"/>
  <c r="AU155" i="3"/>
  <c r="AX155" i="3"/>
  <c r="X156" i="3"/>
  <c r="BA154" i="3"/>
  <c r="BD153" i="3"/>
  <c r="BC154" i="3"/>
  <c r="BD154" i="3"/>
  <c r="BM157" i="3"/>
  <c r="BN157" i="3"/>
  <c r="AW156" i="3"/>
  <c r="AT156" i="3"/>
  <c r="AG157" i="3"/>
  <c r="AU156" i="3"/>
  <c r="AN157" i="3"/>
  <c r="AX156" i="3"/>
  <c r="X157" i="3"/>
  <c r="AV155" i="3"/>
  <c r="BA155" i="3"/>
  <c r="AH157" i="3"/>
  <c r="AY155" i="3"/>
  <c r="BQ154" i="3"/>
  <c r="BF154" i="3"/>
  <c r="BJ153" i="3"/>
  <c r="BK153" i="3"/>
  <c r="BB154" i="3"/>
  <c r="AR158" i="3"/>
  <c r="B158" i="3"/>
  <c r="AQ158" i="3"/>
  <c r="A159" i="3"/>
  <c r="AM158" i="3"/>
  <c r="R158" i="3"/>
  <c r="AK158" i="3"/>
  <c r="S158" i="3"/>
  <c r="Q158" i="3"/>
  <c r="AD158" i="3"/>
  <c r="O158" i="3"/>
  <c r="P158" i="3"/>
  <c r="M158" i="3"/>
  <c r="AF158" i="3"/>
  <c r="AE158" i="3"/>
  <c r="V158" i="3"/>
  <c r="U158" i="3"/>
  <c r="C158" i="3"/>
  <c r="D158" i="3"/>
  <c r="G158" i="3"/>
  <c r="H158" i="3"/>
  <c r="F158" i="3"/>
  <c r="T158" i="3"/>
  <c r="Y157" i="3"/>
  <c r="Z157" i="3"/>
  <c r="AO157" i="3"/>
  <c r="BG154" i="3"/>
  <c r="BH154" i="3"/>
  <c r="BI154" i="3"/>
  <c r="AV156" i="3"/>
  <c r="AO158" i="3"/>
  <c r="BM158" i="3"/>
  <c r="AY156" i="3"/>
  <c r="AG158" i="3"/>
  <c r="AT157" i="3"/>
  <c r="BA156" i="3"/>
  <c r="BF156" i="3"/>
  <c r="AW157" i="3"/>
  <c r="AQ159" i="3"/>
  <c r="B159" i="3"/>
  <c r="A160" i="3"/>
  <c r="AR159" i="3"/>
  <c r="D159" i="3"/>
  <c r="C159" i="3"/>
  <c r="AK159" i="3"/>
  <c r="AM159" i="3"/>
  <c r="S159" i="3"/>
  <c r="Q159" i="3"/>
  <c r="AD159" i="3"/>
  <c r="M159" i="3"/>
  <c r="AE159" i="3"/>
  <c r="O159" i="3"/>
  <c r="AF159" i="3"/>
  <c r="U159" i="3"/>
  <c r="V159" i="3"/>
  <c r="P159" i="3"/>
  <c r="R159" i="3"/>
  <c r="G159" i="3"/>
  <c r="H159" i="3"/>
  <c r="F159" i="3"/>
  <c r="T159" i="3"/>
  <c r="AN158" i="3"/>
  <c r="Y158" i="3"/>
  <c r="Z158" i="3"/>
  <c r="BN158" i="3"/>
  <c r="X158" i="3"/>
  <c r="AH158" i="3"/>
  <c r="AU157" i="3"/>
  <c r="BC155" i="3"/>
  <c r="BB155" i="3"/>
  <c r="BQ155" i="3"/>
  <c r="BF155" i="3"/>
  <c r="BJ154" i="3"/>
  <c r="BK154" i="3"/>
  <c r="AX157" i="3"/>
  <c r="BC156" i="3"/>
  <c r="BD156" i="3"/>
  <c r="BB156" i="3"/>
  <c r="AU158" i="3"/>
  <c r="BQ156" i="3"/>
  <c r="BM159" i="3"/>
  <c r="AY157" i="3"/>
  <c r="AV157" i="3"/>
  <c r="AG159" i="3"/>
  <c r="AO159" i="3"/>
  <c r="AW158" i="3"/>
  <c r="BD155" i="3"/>
  <c r="BG155" i="3"/>
  <c r="BH155" i="3"/>
  <c r="BI155" i="3"/>
  <c r="AX158" i="3"/>
  <c r="AT158" i="3"/>
  <c r="BJ155" i="3"/>
  <c r="Y159" i="3"/>
  <c r="Z159" i="3"/>
  <c r="BN159" i="3"/>
  <c r="AN159" i="3"/>
  <c r="X159" i="3"/>
  <c r="BA157" i="3"/>
  <c r="A161" i="3"/>
  <c r="B160" i="3"/>
  <c r="AR160" i="3"/>
  <c r="AQ160" i="3"/>
  <c r="AM160" i="3"/>
  <c r="S160" i="3"/>
  <c r="C160" i="3"/>
  <c r="AK160" i="3"/>
  <c r="Q160" i="3"/>
  <c r="R160" i="3"/>
  <c r="AD160" i="3"/>
  <c r="P160" i="3"/>
  <c r="O160" i="3"/>
  <c r="M160" i="3"/>
  <c r="AE160" i="3"/>
  <c r="AF160" i="3"/>
  <c r="V160" i="3"/>
  <c r="U160" i="3"/>
  <c r="D160" i="3"/>
  <c r="G160" i="3"/>
  <c r="H160" i="3"/>
  <c r="F160" i="3"/>
  <c r="T160" i="3"/>
  <c r="AH159" i="3"/>
  <c r="BM160" i="3"/>
  <c r="BG156" i="3"/>
  <c r="BH156" i="3"/>
  <c r="BI156" i="3"/>
  <c r="BK155" i="3"/>
  <c r="AO160" i="3"/>
  <c r="BC157" i="3"/>
  <c r="BG157" i="3"/>
  <c r="BH157" i="3"/>
  <c r="BI157" i="3"/>
  <c r="BN160" i="3"/>
  <c r="AX159" i="3"/>
  <c r="AY158" i="3"/>
  <c r="AU159" i="3"/>
  <c r="Y160" i="3"/>
  <c r="Z160" i="3"/>
  <c r="AR161" i="3"/>
  <c r="B161" i="3"/>
  <c r="AQ161" i="3"/>
  <c r="A162" i="3"/>
  <c r="D161" i="3"/>
  <c r="S161" i="3"/>
  <c r="AM161" i="3"/>
  <c r="AK161" i="3"/>
  <c r="T161" i="3"/>
  <c r="Q161" i="3"/>
  <c r="R161" i="3"/>
  <c r="AD161" i="3"/>
  <c r="P161" i="3"/>
  <c r="V161" i="3"/>
  <c r="O161" i="3"/>
  <c r="AE161" i="3"/>
  <c r="M161" i="3"/>
  <c r="AF161" i="3"/>
  <c r="U161" i="3"/>
  <c r="C161" i="3"/>
  <c r="G161" i="3"/>
  <c r="H161" i="3"/>
  <c r="F161" i="3"/>
  <c r="AV158" i="3"/>
  <c r="BA158" i="3"/>
  <c r="AG160" i="3"/>
  <c r="AH160" i="3"/>
  <c r="X160" i="3"/>
  <c r="AN160" i="3"/>
  <c r="AT159" i="3"/>
  <c r="AW159" i="3"/>
  <c r="BF157" i="3"/>
  <c r="BJ156" i="3"/>
  <c r="BQ157" i="3"/>
  <c r="BB157" i="3"/>
  <c r="BN161" i="3"/>
  <c r="BK156" i="3"/>
  <c r="BM161" i="3"/>
  <c r="BD157" i="3"/>
  <c r="AY159" i="3"/>
  <c r="BC158" i="3"/>
  <c r="BD158" i="3"/>
  <c r="AN161" i="3"/>
  <c r="AT160" i="3"/>
  <c r="BB158" i="3"/>
  <c r="BF158" i="3"/>
  <c r="BJ157" i="3"/>
  <c r="BK157" i="3"/>
  <c r="BQ158" i="3"/>
  <c r="AR162" i="3"/>
  <c r="B162" i="3"/>
  <c r="AQ162" i="3"/>
  <c r="A163" i="3"/>
  <c r="C162" i="3"/>
  <c r="AK162" i="3"/>
  <c r="S162" i="3"/>
  <c r="R162" i="3"/>
  <c r="Q162" i="3"/>
  <c r="AM162" i="3"/>
  <c r="D162" i="3"/>
  <c r="AD162" i="3"/>
  <c r="O162" i="3"/>
  <c r="M162" i="3"/>
  <c r="AE162" i="3"/>
  <c r="V162" i="3"/>
  <c r="AF162" i="3"/>
  <c r="U162" i="3"/>
  <c r="G162" i="3"/>
  <c r="H162" i="3"/>
  <c r="F162" i="3"/>
  <c r="P162" i="3"/>
  <c r="T162" i="3"/>
  <c r="AU160" i="3"/>
  <c r="AW160" i="3"/>
  <c r="X161" i="3"/>
  <c r="AG161" i="3"/>
  <c r="AH161" i="3"/>
  <c r="AO161" i="3"/>
  <c r="BA159" i="3"/>
  <c r="AV159" i="3"/>
  <c r="Y161" i="3"/>
  <c r="Z161" i="3"/>
  <c r="AX160" i="3"/>
  <c r="BN162" i="3"/>
  <c r="AN162" i="3"/>
  <c r="BC159" i="3"/>
  <c r="BD159" i="3"/>
  <c r="AV160" i="3"/>
  <c r="BG158" i="3"/>
  <c r="BH158" i="3"/>
  <c r="BI158" i="3"/>
  <c r="AT161" i="3"/>
  <c r="AX161" i="3"/>
  <c r="AG162" i="3"/>
  <c r="Y162" i="3"/>
  <c r="Z162" i="3"/>
  <c r="AQ163" i="3"/>
  <c r="B163" i="3"/>
  <c r="A164" i="3"/>
  <c r="AR163" i="3"/>
  <c r="C163" i="3"/>
  <c r="AM163" i="3"/>
  <c r="T163" i="3"/>
  <c r="Q163" i="3"/>
  <c r="AK163" i="3"/>
  <c r="R163" i="3"/>
  <c r="P163" i="3"/>
  <c r="AD163" i="3"/>
  <c r="M163" i="3"/>
  <c r="AF163" i="3"/>
  <c r="V163" i="3"/>
  <c r="O163" i="3"/>
  <c r="AE163" i="3"/>
  <c r="U163" i="3"/>
  <c r="F163" i="3"/>
  <c r="D163" i="3"/>
  <c r="G163" i="3"/>
  <c r="H163" i="3"/>
  <c r="S163" i="3"/>
  <c r="X162" i="3"/>
  <c r="AU161" i="3"/>
  <c r="AW161" i="3"/>
  <c r="AY160" i="3"/>
  <c r="BM162" i="3"/>
  <c r="AH162" i="3"/>
  <c r="AO162" i="3"/>
  <c r="BA160" i="3"/>
  <c r="BQ159" i="3"/>
  <c r="BF159" i="3"/>
  <c r="BJ158" i="3"/>
  <c r="BK158" i="3"/>
  <c r="BB159" i="3"/>
  <c r="BM163" i="3"/>
  <c r="BG159" i="3"/>
  <c r="BH159" i="3"/>
  <c r="BI159" i="3"/>
  <c r="AT162" i="3"/>
  <c r="BC160" i="3"/>
  <c r="BG160" i="3"/>
  <c r="BH160" i="3"/>
  <c r="BI160" i="3"/>
  <c r="AV161" i="3"/>
  <c r="BN163" i="3"/>
  <c r="AG163" i="3"/>
  <c r="BA161" i="3"/>
  <c r="BF161" i="3"/>
  <c r="AY161" i="3"/>
  <c r="AO163" i="3"/>
  <c r="AX162" i="3"/>
  <c r="BQ160" i="3"/>
  <c r="BB160" i="3"/>
  <c r="BF160" i="3"/>
  <c r="BJ159" i="3"/>
  <c r="BK159" i="3"/>
  <c r="Y163" i="3"/>
  <c r="Z163" i="3"/>
  <c r="AU162" i="3"/>
  <c r="X163" i="3"/>
  <c r="AH163" i="3"/>
  <c r="AN163" i="3"/>
  <c r="A165" i="3"/>
  <c r="B164" i="3"/>
  <c r="AR164" i="3"/>
  <c r="AQ164" i="3"/>
  <c r="C164" i="3"/>
  <c r="AM164" i="3"/>
  <c r="T164" i="3"/>
  <c r="AK164" i="3"/>
  <c r="R164" i="3"/>
  <c r="Q164" i="3"/>
  <c r="AD164" i="3"/>
  <c r="P164" i="3"/>
  <c r="M164" i="3"/>
  <c r="U164" i="3"/>
  <c r="V164" i="3"/>
  <c r="O164" i="3"/>
  <c r="AF164" i="3"/>
  <c r="AE164" i="3"/>
  <c r="D164" i="3"/>
  <c r="G164" i="3"/>
  <c r="H164" i="3"/>
  <c r="F164" i="3"/>
  <c r="S164" i="3"/>
  <c r="AW162" i="3"/>
  <c r="BM164" i="3"/>
  <c r="BD160" i="3"/>
  <c r="AV162" i="3"/>
  <c r="BC161" i="3"/>
  <c r="BG161" i="3"/>
  <c r="BH161" i="3"/>
  <c r="BI161" i="3"/>
  <c r="AO164" i="3"/>
  <c r="AY162" i="3"/>
  <c r="BN164" i="3"/>
  <c r="AX163" i="3"/>
  <c r="BB161" i="3"/>
  <c r="AU163" i="3"/>
  <c r="AT163" i="3"/>
  <c r="AG164" i="3"/>
  <c r="BQ161" i="3"/>
  <c r="X164" i="3"/>
  <c r="Y164" i="3"/>
  <c r="Z164" i="3"/>
  <c r="AR165" i="3"/>
  <c r="B165" i="3"/>
  <c r="AQ165" i="3"/>
  <c r="A166" i="3"/>
  <c r="AM165" i="3"/>
  <c r="R165" i="3"/>
  <c r="C165" i="3"/>
  <c r="AK165" i="3"/>
  <c r="Q165" i="3"/>
  <c r="AD165" i="3"/>
  <c r="S165" i="3"/>
  <c r="P165" i="3"/>
  <c r="O165" i="3"/>
  <c r="AE165" i="3"/>
  <c r="U165" i="3"/>
  <c r="V165" i="3"/>
  <c r="M165" i="3"/>
  <c r="AF165" i="3"/>
  <c r="D165" i="3"/>
  <c r="G165" i="3"/>
  <c r="H165" i="3"/>
  <c r="F165" i="3"/>
  <c r="T165" i="3"/>
  <c r="AH164" i="3"/>
  <c r="BA162" i="3"/>
  <c r="AN164" i="3"/>
  <c r="AW163" i="3"/>
  <c r="BJ160" i="3"/>
  <c r="BK160" i="3"/>
  <c r="BD161" i="3"/>
  <c r="BM165" i="3"/>
  <c r="BC162" i="3"/>
  <c r="BG162" i="3"/>
  <c r="BH162" i="3"/>
  <c r="BI162" i="3"/>
  <c r="BN165" i="3"/>
  <c r="AT164" i="3"/>
  <c r="AY163" i="3"/>
  <c r="AV163" i="3"/>
  <c r="AW164" i="3"/>
  <c r="AU164" i="3"/>
  <c r="Y165" i="3"/>
  <c r="Z165" i="3"/>
  <c r="AO165" i="3"/>
  <c r="BQ162" i="3"/>
  <c r="BF162" i="3"/>
  <c r="BB162" i="3"/>
  <c r="BA163" i="3"/>
  <c r="AX164" i="3"/>
  <c r="X165" i="3"/>
  <c r="AN165" i="3"/>
  <c r="AR166" i="3"/>
  <c r="B166" i="3"/>
  <c r="AQ166" i="3"/>
  <c r="A167" i="3"/>
  <c r="C166" i="3"/>
  <c r="D166" i="3"/>
  <c r="AK166" i="3"/>
  <c r="Q166" i="3"/>
  <c r="AM166" i="3"/>
  <c r="AD166" i="3"/>
  <c r="T166" i="3"/>
  <c r="R166" i="3"/>
  <c r="P166" i="3"/>
  <c r="M166" i="3"/>
  <c r="AE166" i="3"/>
  <c r="V166" i="3"/>
  <c r="U166" i="3"/>
  <c r="O166" i="3"/>
  <c r="AF166" i="3"/>
  <c r="G166" i="3"/>
  <c r="H166" i="3"/>
  <c r="F166" i="3"/>
  <c r="S166" i="3"/>
  <c r="AG165" i="3"/>
  <c r="AH165" i="3"/>
  <c r="BM166" i="3"/>
  <c r="BN166" i="3"/>
  <c r="BD162" i="3"/>
  <c r="AV164" i="3"/>
  <c r="AN166" i="3"/>
  <c r="AY164" i="3"/>
  <c r="BC163" i="3"/>
  <c r="BG163" i="3"/>
  <c r="BH163" i="3"/>
  <c r="BI163" i="3"/>
  <c r="BA164" i="3"/>
  <c r="BQ164" i="3"/>
  <c r="AX165" i="3"/>
  <c r="Y166" i="3"/>
  <c r="Z166" i="3"/>
  <c r="AQ167" i="3"/>
  <c r="B167" i="3"/>
  <c r="A168" i="3"/>
  <c r="AR167" i="3"/>
  <c r="D167" i="3"/>
  <c r="AK167" i="3"/>
  <c r="AM167" i="3"/>
  <c r="R167" i="3"/>
  <c r="P167" i="3"/>
  <c r="Q167" i="3"/>
  <c r="AD167" i="3"/>
  <c r="U167" i="3"/>
  <c r="O167" i="3"/>
  <c r="M167" i="3"/>
  <c r="AF167" i="3"/>
  <c r="AE167" i="3"/>
  <c r="V167" i="3"/>
  <c r="C167" i="3"/>
  <c r="G167" i="3"/>
  <c r="H167" i="3"/>
  <c r="F167" i="3"/>
  <c r="T167" i="3"/>
  <c r="S167" i="3"/>
  <c r="BF163" i="3"/>
  <c r="BJ162" i="3"/>
  <c r="BK162" i="3"/>
  <c r="BQ163" i="3"/>
  <c r="BB163" i="3"/>
  <c r="BJ161" i="3"/>
  <c r="BK161" i="3"/>
  <c r="AW165" i="3"/>
  <c r="X166" i="3"/>
  <c r="AH166" i="3"/>
  <c r="AT165" i="3"/>
  <c r="AG166" i="3"/>
  <c r="AO166" i="3"/>
  <c r="AU165" i="3"/>
  <c r="BM167" i="3"/>
  <c r="BN167" i="3"/>
  <c r="BC164" i="3"/>
  <c r="BD164" i="3"/>
  <c r="BD163" i="3"/>
  <c r="AY165" i="3"/>
  <c r="BB164" i="3"/>
  <c r="BF164" i="3"/>
  <c r="BJ163" i="3"/>
  <c r="BK163" i="3"/>
  <c r="AU166" i="3"/>
  <c r="X167" i="3"/>
  <c r="AG167" i="3"/>
  <c r="BG164" i="3"/>
  <c r="BH164" i="3"/>
  <c r="BI164" i="3"/>
  <c r="AO167" i="3"/>
  <c r="AT166" i="3"/>
  <c r="AV165" i="3"/>
  <c r="BA165" i="3"/>
  <c r="A169" i="3"/>
  <c r="B168" i="3"/>
  <c r="AR168" i="3"/>
  <c r="AQ168" i="3"/>
  <c r="D168" i="3"/>
  <c r="C168" i="3"/>
  <c r="AK168" i="3"/>
  <c r="AM168" i="3"/>
  <c r="S168" i="3"/>
  <c r="R168" i="3"/>
  <c r="AD168" i="3"/>
  <c r="P168" i="3"/>
  <c r="Q168" i="3"/>
  <c r="AF168" i="3"/>
  <c r="AE168" i="3"/>
  <c r="M168" i="3"/>
  <c r="U168" i="3"/>
  <c r="O168" i="3"/>
  <c r="V168" i="3"/>
  <c r="F168" i="3"/>
  <c r="G168" i="3"/>
  <c r="H168" i="3"/>
  <c r="T168" i="3"/>
  <c r="AW166" i="3"/>
  <c r="AX166" i="3"/>
  <c r="Y167" i="3"/>
  <c r="Z167" i="3"/>
  <c r="AH167" i="3"/>
  <c r="AN167" i="3"/>
  <c r="BM168" i="3"/>
  <c r="BC165" i="3"/>
  <c r="BG165" i="3"/>
  <c r="BH165" i="3"/>
  <c r="BI165" i="3"/>
  <c r="AV166" i="3"/>
  <c r="AN168" i="3"/>
  <c r="BN168" i="3"/>
  <c r="AX167" i="3"/>
  <c r="Y168" i="3"/>
  <c r="Z168" i="3"/>
  <c r="BA166" i="3"/>
  <c r="AY166" i="3"/>
  <c r="AR169" i="3"/>
  <c r="B169" i="3"/>
  <c r="AQ169" i="3"/>
  <c r="A170" i="3"/>
  <c r="C169" i="3"/>
  <c r="AM169" i="3"/>
  <c r="AK169" i="3"/>
  <c r="R169" i="3"/>
  <c r="Q169" i="3"/>
  <c r="AD169" i="3"/>
  <c r="S169" i="3"/>
  <c r="P169" i="3"/>
  <c r="O169" i="3"/>
  <c r="V169" i="3"/>
  <c r="U169" i="3"/>
  <c r="M169" i="3"/>
  <c r="AE169" i="3"/>
  <c r="AF169" i="3"/>
  <c r="F169" i="3"/>
  <c r="D169" i="3"/>
  <c r="G169" i="3"/>
  <c r="H169" i="3"/>
  <c r="T169" i="3"/>
  <c r="AW167" i="3"/>
  <c r="AT167" i="3"/>
  <c r="AU167" i="3"/>
  <c r="AG168" i="3"/>
  <c r="AH168" i="3"/>
  <c r="AO168" i="3"/>
  <c r="BF165" i="3"/>
  <c r="BJ164" i="3"/>
  <c r="BK164" i="3"/>
  <c r="BB165" i="3"/>
  <c r="BQ165" i="3"/>
  <c r="X168" i="3"/>
  <c r="BM169" i="3"/>
  <c r="BD165" i="3"/>
  <c r="BC166" i="3"/>
  <c r="BG166" i="3"/>
  <c r="BH166" i="3"/>
  <c r="BI166" i="3"/>
  <c r="BN169" i="3"/>
  <c r="AY167" i="3"/>
  <c r="AU168" i="3"/>
  <c r="AN169" i="3"/>
  <c r="Y169" i="3"/>
  <c r="Z169" i="3"/>
  <c r="AT168" i="3"/>
  <c r="AX168" i="3"/>
  <c r="BQ166" i="3"/>
  <c r="BB166" i="3"/>
  <c r="BF166" i="3"/>
  <c r="BJ165" i="3"/>
  <c r="BK165" i="3"/>
  <c r="AG169" i="3"/>
  <c r="AO169" i="3"/>
  <c r="X169" i="3"/>
  <c r="AV167" i="3"/>
  <c r="BA167" i="3"/>
  <c r="AR170" i="3"/>
  <c r="B170" i="3"/>
  <c r="AQ170" i="3"/>
  <c r="A171" i="3"/>
  <c r="D170" i="3"/>
  <c r="R170" i="3"/>
  <c r="AM170" i="3"/>
  <c r="AK170" i="3"/>
  <c r="O170" i="3"/>
  <c r="Q170" i="3"/>
  <c r="AD170" i="3"/>
  <c r="P170" i="3"/>
  <c r="AE170" i="3"/>
  <c r="AF170" i="3"/>
  <c r="U170" i="3"/>
  <c r="V170" i="3"/>
  <c r="M170" i="3"/>
  <c r="C170" i="3"/>
  <c r="F170" i="3"/>
  <c r="G170" i="3"/>
  <c r="H170" i="3"/>
  <c r="T170" i="3"/>
  <c r="S170" i="3"/>
  <c r="AW168" i="3"/>
  <c r="AH169" i="3"/>
  <c r="BC167" i="3"/>
  <c r="BD167" i="3"/>
  <c r="BD166" i="3"/>
  <c r="AX169" i="3"/>
  <c r="BM170" i="3"/>
  <c r="BN170" i="3"/>
  <c r="AV168" i="3"/>
  <c r="AO170" i="3"/>
  <c r="X170" i="3"/>
  <c r="AY168" i="3"/>
  <c r="Y170" i="3"/>
  <c r="Z170" i="3"/>
  <c r="AG170" i="3"/>
  <c r="AH170" i="3"/>
  <c r="AN170" i="3"/>
  <c r="AU169" i="3"/>
  <c r="AQ171" i="3"/>
  <c r="B171" i="3"/>
  <c r="A172" i="3"/>
  <c r="AR171" i="3"/>
  <c r="S171" i="3"/>
  <c r="R171" i="3"/>
  <c r="AM171" i="3"/>
  <c r="AK171" i="3"/>
  <c r="Q171" i="3"/>
  <c r="AD171" i="3"/>
  <c r="O171" i="3"/>
  <c r="M171" i="3"/>
  <c r="AE171" i="3"/>
  <c r="AF171" i="3"/>
  <c r="U171" i="3"/>
  <c r="V171" i="3"/>
  <c r="C171" i="3"/>
  <c r="D171" i="3"/>
  <c r="F171" i="3"/>
  <c r="G171" i="3"/>
  <c r="H171" i="3"/>
  <c r="T171" i="3"/>
  <c r="P171" i="3"/>
  <c r="BF167" i="3"/>
  <c r="BJ166" i="3"/>
  <c r="BK166" i="3"/>
  <c r="BB167" i="3"/>
  <c r="BQ167" i="3"/>
  <c r="AT169" i="3"/>
  <c r="AW169" i="3"/>
  <c r="BA168" i="3"/>
  <c r="AY169" i="3"/>
  <c r="BG167" i="3"/>
  <c r="BH167" i="3"/>
  <c r="BI167" i="3"/>
  <c r="BN171" i="3"/>
  <c r="BM171" i="3"/>
  <c r="AT170" i="3"/>
  <c r="BC168" i="3"/>
  <c r="AG171" i="3"/>
  <c r="AN171" i="3"/>
  <c r="AX170" i="3"/>
  <c r="BF168" i="3"/>
  <c r="BJ167" i="3"/>
  <c r="BK167" i="3"/>
  <c r="BB168" i="3"/>
  <c r="BQ168" i="3"/>
  <c r="BA169" i="3"/>
  <c r="AV169" i="3"/>
  <c r="Y171" i="3"/>
  <c r="Z171" i="3"/>
  <c r="AH171" i="3"/>
  <c r="AO171" i="3"/>
  <c r="AU170" i="3"/>
  <c r="AW170" i="3"/>
  <c r="A173" i="3"/>
  <c r="B172" i="3"/>
  <c r="AR172" i="3"/>
  <c r="AQ172" i="3"/>
  <c r="C172" i="3"/>
  <c r="AK172" i="3"/>
  <c r="AM172" i="3"/>
  <c r="S172" i="3"/>
  <c r="R172" i="3"/>
  <c r="D172" i="3"/>
  <c r="Q172" i="3"/>
  <c r="AD172" i="3"/>
  <c r="O172" i="3"/>
  <c r="AF172" i="3"/>
  <c r="M172" i="3"/>
  <c r="U172" i="3"/>
  <c r="P172" i="3"/>
  <c r="AE172" i="3"/>
  <c r="V172" i="3"/>
  <c r="G172" i="3"/>
  <c r="H172" i="3"/>
  <c r="F172" i="3"/>
  <c r="T172" i="3"/>
  <c r="X171" i="3"/>
  <c r="BM172" i="3"/>
  <c r="BC169" i="3"/>
  <c r="BD169" i="3"/>
  <c r="BN172" i="3"/>
  <c r="AV170" i="3"/>
  <c r="AT171" i="3"/>
  <c r="BG168" i="3"/>
  <c r="BH168" i="3"/>
  <c r="BI168" i="3"/>
  <c r="BD168" i="3"/>
  <c r="BA170" i="3"/>
  <c r="BF170" i="3"/>
  <c r="AW171" i="3"/>
  <c r="AY170" i="3"/>
  <c r="AO172" i="3"/>
  <c r="AX171" i="3"/>
  <c r="AU171" i="3"/>
  <c r="Y172" i="3"/>
  <c r="Z172" i="3"/>
  <c r="AR173" i="3"/>
  <c r="B173" i="3"/>
  <c r="AQ173" i="3"/>
  <c r="A174" i="3"/>
  <c r="AK173" i="3"/>
  <c r="AM173" i="3"/>
  <c r="T173" i="3"/>
  <c r="AD173" i="3"/>
  <c r="P173" i="3"/>
  <c r="R173" i="3"/>
  <c r="O173" i="3"/>
  <c r="AE173" i="3"/>
  <c r="AF173" i="3"/>
  <c r="M173" i="3"/>
  <c r="U173" i="3"/>
  <c r="V173" i="3"/>
  <c r="Q173" i="3"/>
  <c r="C173" i="3"/>
  <c r="D173" i="3"/>
  <c r="G173" i="3"/>
  <c r="H173" i="3"/>
  <c r="F173" i="3"/>
  <c r="S173" i="3"/>
  <c r="AN172" i="3"/>
  <c r="X172" i="3"/>
  <c r="AH172" i="3"/>
  <c r="AG172" i="3"/>
  <c r="BQ169" i="3"/>
  <c r="BF169" i="3"/>
  <c r="BJ168" i="3"/>
  <c r="BK168" i="3"/>
  <c r="BB169" i="3"/>
  <c r="BG169" i="3"/>
  <c r="BH169" i="3"/>
  <c r="BI169" i="3"/>
  <c r="BC170" i="3"/>
  <c r="BD170" i="3"/>
  <c r="BB170" i="3"/>
  <c r="BQ170" i="3"/>
  <c r="BM173" i="3"/>
  <c r="AO173" i="3"/>
  <c r="BA171" i="3"/>
  <c r="BF171" i="3"/>
  <c r="BJ170" i="3"/>
  <c r="AV171" i="3"/>
  <c r="AY171" i="3"/>
  <c r="AX172" i="3"/>
  <c r="Y173" i="3"/>
  <c r="Z173" i="3"/>
  <c r="BN173" i="3"/>
  <c r="AR174" i="3"/>
  <c r="B174" i="3"/>
  <c r="AQ174" i="3"/>
  <c r="A175" i="3"/>
  <c r="D174" i="3"/>
  <c r="T174" i="3"/>
  <c r="C174" i="3"/>
  <c r="AK174" i="3"/>
  <c r="AM174" i="3"/>
  <c r="Q174" i="3"/>
  <c r="S174" i="3"/>
  <c r="R174" i="3"/>
  <c r="AD174" i="3"/>
  <c r="O174" i="3"/>
  <c r="P174" i="3"/>
  <c r="AE174" i="3"/>
  <c r="M174" i="3"/>
  <c r="V174" i="3"/>
  <c r="U174" i="3"/>
  <c r="AF174" i="3"/>
  <c r="G174" i="3"/>
  <c r="H174" i="3"/>
  <c r="F174" i="3"/>
  <c r="AU172" i="3"/>
  <c r="AW172" i="3"/>
  <c r="AT172" i="3"/>
  <c r="X173" i="3"/>
  <c r="AG173" i="3"/>
  <c r="AH173" i="3"/>
  <c r="AN173" i="3"/>
  <c r="BJ169" i="3"/>
  <c r="BN174" i="3"/>
  <c r="BK169" i="3"/>
  <c r="BG170" i="3"/>
  <c r="BH170" i="3"/>
  <c r="BI170" i="3"/>
  <c r="AY172" i="3"/>
  <c r="BK170" i="3"/>
  <c r="BB171" i="3"/>
  <c r="BM174" i="3"/>
  <c r="BQ171" i="3"/>
  <c r="BC171" i="3"/>
  <c r="BD171" i="3"/>
  <c r="AU173" i="3"/>
  <c r="AT173" i="3"/>
  <c r="AH174" i="3"/>
  <c r="AN174" i="3"/>
  <c r="BA172" i="3"/>
  <c r="BQ172" i="3"/>
  <c r="Y174" i="3"/>
  <c r="Z174" i="3"/>
  <c r="AX173" i="3"/>
  <c r="X174" i="3"/>
  <c r="AQ175" i="3"/>
  <c r="B175" i="3"/>
  <c r="A176" i="3"/>
  <c r="AR175" i="3"/>
  <c r="D175" i="3"/>
  <c r="AK175" i="3"/>
  <c r="AM175" i="3"/>
  <c r="S175" i="3"/>
  <c r="R175" i="3"/>
  <c r="T175" i="3"/>
  <c r="AD175" i="3"/>
  <c r="P175" i="3"/>
  <c r="O175" i="3"/>
  <c r="AE175" i="3"/>
  <c r="M175" i="3"/>
  <c r="AF175" i="3"/>
  <c r="U175" i="3"/>
  <c r="V175" i="3"/>
  <c r="F175" i="3"/>
  <c r="Q175" i="3"/>
  <c r="C175" i="3"/>
  <c r="G175" i="3"/>
  <c r="H175" i="3"/>
  <c r="AW173" i="3"/>
  <c r="AV172" i="3"/>
  <c r="AG174" i="3"/>
  <c r="AO174" i="3"/>
  <c r="BC172" i="3"/>
  <c r="BG172" i="3"/>
  <c r="BH172" i="3"/>
  <c r="BI172" i="3"/>
  <c r="BB172" i="3"/>
  <c r="BN175" i="3"/>
  <c r="AV173" i="3"/>
  <c r="BG171" i="3"/>
  <c r="BH171" i="3"/>
  <c r="BI171" i="3"/>
  <c r="AG175" i="3"/>
  <c r="AY173" i="3"/>
  <c r="AO175" i="3"/>
  <c r="BF172" i="3"/>
  <c r="BJ171" i="3"/>
  <c r="BK171" i="3"/>
  <c r="AX174" i="3"/>
  <c r="Y175" i="3"/>
  <c r="Z175" i="3"/>
  <c r="A177" i="3"/>
  <c r="B176" i="3"/>
  <c r="AR176" i="3"/>
  <c r="AQ176" i="3"/>
  <c r="D176" i="3"/>
  <c r="AM176" i="3"/>
  <c r="AK176" i="3"/>
  <c r="T176" i="3"/>
  <c r="Q176" i="3"/>
  <c r="P176" i="3"/>
  <c r="R176" i="3"/>
  <c r="AD176" i="3"/>
  <c r="O176" i="3"/>
  <c r="AE176" i="3"/>
  <c r="M176" i="3"/>
  <c r="AF176" i="3"/>
  <c r="U176" i="3"/>
  <c r="V176" i="3"/>
  <c r="C176" i="3"/>
  <c r="F176" i="3"/>
  <c r="G176" i="3"/>
  <c r="H176" i="3"/>
  <c r="S176" i="3"/>
  <c r="AW174" i="3"/>
  <c r="X175" i="3"/>
  <c r="BM175" i="3"/>
  <c r="AH175" i="3"/>
  <c r="AN175" i="3"/>
  <c r="AT174" i="3"/>
  <c r="BA173" i="3"/>
  <c r="AU174" i="3"/>
  <c r="BN176" i="3"/>
  <c r="BD172" i="3"/>
  <c r="AX175" i="3"/>
  <c r="BC173" i="3"/>
  <c r="BG173" i="3"/>
  <c r="BH173" i="3"/>
  <c r="BI173" i="3"/>
  <c r="BM176" i="3"/>
  <c r="AN176" i="3"/>
  <c r="BQ173" i="3"/>
  <c r="BB173" i="3"/>
  <c r="BF173" i="3"/>
  <c r="BJ172" i="3"/>
  <c r="BK172" i="3"/>
  <c r="BA174" i="3"/>
  <c r="AY174" i="3"/>
  <c r="Y176" i="3"/>
  <c r="Z176" i="3"/>
  <c r="AR177" i="3"/>
  <c r="B177" i="3"/>
  <c r="AQ177" i="3"/>
  <c r="A178" i="3"/>
  <c r="R177" i="3"/>
  <c r="AM177" i="3"/>
  <c r="AK177" i="3"/>
  <c r="Q177" i="3"/>
  <c r="AD177" i="3"/>
  <c r="O177" i="3"/>
  <c r="AF177" i="3"/>
  <c r="AE177" i="3"/>
  <c r="P177" i="3"/>
  <c r="M177" i="3"/>
  <c r="V177" i="3"/>
  <c r="U177" i="3"/>
  <c r="D177" i="3"/>
  <c r="G177" i="3"/>
  <c r="H177" i="3"/>
  <c r="C177" i="3"/>
  <c r="F177" i="3"/>
  <c r="S177" i="3"/>
  <c r="T177" i="3"/>
  <c r="AU175" i="3"/>
  <c r="X176" i="3"/>
  <c r="AH176" i="3"/>
  <c r="AT175" i="3"/>
  <c r="AV174" i="3"/>
  <c r="AW175" i="3"/>
  <c r="AO176" i="3"/>
  <c r="AG176" i="3"/>
  <c r="AY175" i="3"/>
  <c r="BD173" i="3"/>
  <c r="BC174" i="3"/>
  <c r="BD174" i="3"/>
  <c r="AO177" i="3"/>
  <c r="AW176" i="3"/>
  <c r="AT176" i="3"/>
  <c r="X177" i="3"/>
  <c r="BA175" i="3"/>
  <c r="AV175" i="3"/>
  <c r="AR178" i="3"/>
  <c r="B178" i="3"/>
  <c r="AQ178" i="3"/>
  <c r="A179" i="3"/>
  <c r="AM178" i="3"/>
  <c r="AK178" i="3"/>
  <c r="S178" i="3"/>
  <c r="T178" i="3"/>
  <c r="C178" i="3"/>
  <c r="Q178" i="3"/>
  <c r="AD178" i="3"/>
  <c r="P178" i="3"/>
  <c r="O178" i="3"/>
  <c r="AE178" i="3"/>
  <c r="AF178" i="3"/>
  <c r="M178" i="3"/>
  <c r="U178" i="3"/>
  <c r="V178" i="3"/>
  <c r="D178" i="3"/>
  <c r="F178" i="3"/>
  <c r="R178" i="3"/>
  <c r="G178" i="3"/>
  <c r="H178" i="3"/>
  <c r="AH177" i="3"/>
  <c r="AU176" i="3"/>
  <c r="Y177" i="3"/>
  <c r="Z177" i="3"/>
  <c r="BM177" i="3"/>
  <c r="BN177" i="3"/>
  <c r="AG177" i="3"/>
  <c r="AN177" i="3"/>
  <c r="BF174" i="3"/>
  <c r="BJ173" i="3"/>
  <c r="BK173" i="3"/>
  <c r="BQ174" i="3"/>
  <c r="BB174" i="3"/>
  <c r="AX176" i="3"/>
  <c r="BC175" i="3"/>
  <c r="BG175" i="3"/>
  <c r="BH175" i="3"/>
  <c r="BI175" i="3"/>
  <c r="BN178" i="3"/>
  <c r="BM178" i="3"/>
  <c r="BG174" i="3"/>
  <c r="BH174" i="3"/>
  <c r="BI174" i="3"/>
  <c r="AT177" i="3"/>
  <c r="AG178" i="3"/>
  <c r="AY176" i="3"/>
  <c r="AW177" i="3"/>
  <c r="AO178" i="3"/>
  <c r="BA176" i="3"/>
  <c r="BB176" i="3"/>
  <c r="AU177" i="3"/>
  <c r="AX177" i="3"/>
  <c r="Y178" i="3"/>
  <c r="Z178" i="3"/>
  <c r="BB175" i="3"/>
  <c r="BF175" i="3"/>
  <c r="BJ174" i="3"/>
  <c r="BQ175" i="3"/>
  <c r="AH178" i="3"/>
  <c r="X178" i="3"/>
  <c r="AN178" i="3"/>
  <c r="AV176" i="3"/>
  <c r="AQ179" i="3"/>
  <c r="B179" i="3"/>
  <c r="A180" i="3"/>
  <c r="AR179" i="3"/>
  <c r="D179" i="3"/>
  <c r="AM179" i="3"/>
  <c r="AK179" i="3"/>
  <c r="S179" i="3"/>
  <c r="Q179" i="3"/>
  <c r="C179" i="3"/>
  <c r="AD179" i="3"/>
  <c r="R179" i="3"/>
  <c r="P179" i="3"/>
  <c r="O179" i="3"/>
  <c r="M179" i="3"/>
  <c r="AE179" i="3"/>
  <c r="AF179" i="3"/>
  <c r="V179" i="3"/>
  <c r="U179" i="3"/>
  <c r="G179" i="3"/>
  <c r="H179" i="3"/>
  <c r="F179" i="3"/>
  <c r="T179" i="3"/>
  <c r="BD175" i="3"/>
  <c r="AV177" i="3"/>
  <c r="AY177" i="3"/>
  <c r="BK174" i="3"/>
  <c r="BM179" i="3"/>
  <c r="BC176" i="3"/>
  <c r="BG176" i="3"/>
  <c r="BH176" i="3"/>
  <c r="BI176" i="3"/>
  <c r="AW178" i="3"/>
  <c r="AO179" i="3"/>
  <c r="AT178" i="3"/>
  <c r="BQ176" i="3"/>
  <c r="BF176" i="3"/>
  <c r="BJ175" i="3"/>
  <c r="BK175" i="3"/>
  <c r="BA177" i="3"/>
  <c r="BF177" i="3"/>
  <c r="Y179" i="3"/>
  <c r="Z179" i="3"/>
  <c r="BN179" i="3"/>
  <c r="AG179" i="3"/>
  <c r="X179" i="3"/>
  <c r="AN179" i="3"/>
  <c r="AU178" i="3"/>
  <c r="A181" i="3"/>
  <c r="B180" i="3"/>
  <c r="AR180" i="3"/>
  <c r="AQ180" i="3"/>
  <c r="D180" i="3"/>
  <c r="S180" i="3"/>
  <c r="R180" i="3"/>
  <c r="AM180" i="3"/>
  <c r="AK180" i="3"/>
  <c r="Q180" i="3"/>
  <c r="P180" i="3"/>
  <c r="AD180" i="3"/>
  <c r="O180" i="3"/>
  <c r="AE180" i="3"/>
  <c r="AF180" i="3"/>
  <c r="M180" i="3"/>
  <c r="U180" i="3"/>
  <c r="V180" i="3"/>
  <c r="G180" i="3"/>
  <c r="H180" i="3"/>
  <c r="C180" i="3"/>
  <c r="F180" i="3"/>
  <c r="T180" i="3"/>
  <c r="AH179" i="3"/>
  <c r="AX178" i="3"/>
  <c r="BD176" i="3"/>
  <c r="BN180" i="3"/>
  <c r="BC177" i="3"/>
  <c r="BG177" i="3"/>
  <c r="BH177" i="3"/>
  <c r="BI177" i="3"/>
  <c r="AU179" i="3"/>
  <c r="AV178" i="3"/>
  <c r="AG180" i="3"/>
  <c r="AY178" i="3"/>
  <c r="AN180" i="3"/>
  <c r="BB177" i="3"/>
  <c r="BQ177" i="3"/>
  <c r="BJ176" i="3"/>
  <c r="BK176" i="3"/>
  <c r="Y180" i="3"/>
  <c r="Z180" i="3"/>
  <c r="AW179" i="3"/>
  <c r="AX179" i="3"/>
  <c r="X180" i="3"/>
  <c r="BM180" i="3"/>
  <c r="AR181" i="3"/>
  <c r="B181" i="3"/>
  <c r="AQ181" i="3"/>
  <c r="A182" i="3"/>
  <c r="D181" i="3"/>
  <c r="AM181" i="3"/>
  <c r="AK181" i="3"/>
  <c r="T181" i="3"/>
  <c r="P181" i="3"/>
  <c r="R181" i="3"/>
  <c r="Q181" i="3"/>
  <c r="AD181" i="3"/>
  <c r="O181" i="3"/>
  <c r="AE181" i="3"/>
  <c r="AF181" i="3"/>
  <c r="M181" i="3"/>
  <c r="U181" i="3"/>
  <c r="V181" i="3"/>
  <c r="C181" i="3"/>
  <c r="G181" i="3"/>
  <c r="H181" i="3"/>
  <c r="F181" i="3"/>
  <c r="S181" i="3"/>
  <c r="BA178" i="3"/>
  <c r="AO180" i="3"/>
  <c r="AH180" i="3"/>
  <c r="AT179" i="3"/>
  <c r="BD177" i="3"/>
  <c r="BM181" i="3"/>
  <c r="BC178" i="3"/>
  <c r="BD178" i="3"/>
  <c r="AT180" i="3"/>
  <c r="BN181" i="3"/>
  <c r="AG181" i="3"/>
  <c r="AN181" i="3"/>
  <c r="AX180" i="3"/>
  <c r="AW180" i="3"/>
  <c r="AU180" i="3"/>
  <c r="X181" i="3"/>
  <c r="AV179" i="3"/>
  <c r="BA179" i="3"/>
  <c r="Y181" i="3"/>
  <c r="Z181" i="3"/>
  <c r="AH181" i="3"/>
  <c r="AO181" i="3"/>
  <c r="AY179" i="3"/>
  <c r="BB178" i="3"/>
  <c r="BF178" i="3"/>
  <c r="BJ177" i="3"/>
  <c r="BK177" i="3"/>
  <c r="BQ178" i="3"/>
  <c r="AR182" i="3"/>
  <c r="B182" i="3"/>
  <c r="AQ182" i="3"/>
  <c r="A183" i="3"/>
  <c r="C182" i="3"/>
  <c r="AK182" i="3"/>
  <c r="AM182" i="3"/>
  <c r="Q182" i="3"/>
  <c r="R182" i="3"/>
  <c r="AD182" i="3"/>
  <c r="O182" i="3"/>
  <c r="M182" i="3"/>
  <c r="AE182" i="3"/>
  <c r="U182" i="3"/>
  <c r="P182" i="3"/>
  <c r="AF182" i="3"/>
  <c r="V182" i="3"/>
  <c r="D182" i="3"/>
  <c r="G182" i="3"/>
  <c r="H182" i="3"/>
  <c r="F182" i="3"/>
  <c r="T182" i="3"/>
  <c r="S182" i="3"/>
  <c r="BG178" i="3"/>
  <c r="BH178" i="3"/>
  <c r="BI178" i="3"/>
  <c r="AV180" i="3"/>
  <c r="AU181" i="3"/>
  <c r="BN182" i="3"/>
  <c r="BM182" i="3"/>
  <c r="BA180" i="3"/>
  <c r="BQ180" i="3"/>
  <c r="AY180" i="3"/>
  <c r="AX181" i="3"/>
  <c r="AN182" i="3"/>
  <c r="AW181" i="3"/>
  <c r="AG182" i="3"/>
  <c r="Y182" i="3"/>
  <c r="Z182" i="3"/>
  <c r="AQ183" i="3"/>
  <c r="B183" i="3"/>
  <c r="A184" i="3"/>
  <c r="AR183" i="3"/>
  <c r="D183" i="3"/>
  <c r="AM183" i="3"/>
  <c r="T183" i="3"/>
  <c r="AK183" i="3"/>
  <c r="R183" i="3"/>
  <c r="AD183" i="3"/>
  <c r="P183" i="3"/>
  <c r="O183" i="3"/>
  <c r="AE183" i="3"/>
  <c r="U183" i="3"/>
  <c r="V183" i="3"/>
  <c r="M183" i="3"/>
  <c r="AF183" i="3"/>
  <c r="C183" i="3"/>
  <c r="Q183" i="3"/>
  <c r="G183" i="3"/>
  <c r="H183" i="3"/>
  <c r="F183" i="3"/>
  <c r="S183" i="3"/>
  <c r="X182" i="3"/>
  <c r="AH182" i="3"/>
  <c r="AO182" i="3"/>
  <c r="AT181" i="3"/>
  <c r="BC179" i="3"/>
  <c r="BQ179" i="3"/>
  <c r="BF179" i="3"/>
  <c r="BJ178" i="3"/>
  <c r="BK178" i="3"/>
  <c r="BB179" i="3"/>
  <c r="BC180" i="3"/>
  <c r="BD180" i="3"/>
  <c r="AY181" i="3"/>
  <c r="AO183" i="3"/>
  <c r="BB180" i="3"/>
  <c r="BN183" i="3"/>
  <c r="BF180" i="3"/>
  <c r="BJ179" i="3"/>
  <c r="AT182" i="3"/>
  <c r="AX182" i="3"/>
  <c r="X183" i="3"/>
  <c r="AV181" i="3"/>
  <c r="BA181" i="3"/>
  <c r="BD179" i="3"/>
  <c r="BG179" i="3"/>
  <c r="BH179" i="3"/>
  <c r="BI179" i="3"/>
  <c r="Y183" i="3"/>
  <c r="Z183" i="3"/>
  <c r="A185" i="3"/>
  <c r="B184" i="3"/>
  <c r="AR184" i="3"/>
  <c r="AQ184" i="3"/>
  <c r="AM184" i="3"/>
  <c r="T184" i="3"/>
  <c r="AK184" i="3"/>
  <c r="S184" i="3"/>
  <c r="R184" i="3"/>
  <c r="Q184" i="3"/>
  <c r="AD184" i="3"/>
  <c r="P184" i="3"/>
  <c r="O184" i="3"/>
  <c r="AE184" i="3"/>
  <c r="AF184" i="3"/>
  <c r="V184" i="3"/>
  <c r="M184" i="3"/>
  <c r="U184" i="3"/>
  <c r="D184" i="3"/>
  <c r="G184" i="3"/>
  <c r="H184" i="3"/>
  <c r="C184" i="3"/>
  <c r="F184" i="3"/>
  <c r="AU182" i="3"/>
  <c r="AW182" i="3"/>
  <c r="BM183" i="3"/>
  <c r="AH183" i="3"/>
  <c r="AG183" i="3"/>
  <c r="AN183" i="3"/>
  <c r="BG180" i="3"/>
  <c r="BH180" i="3"/>
  <c r="BI180" i="3"/>
  <c r="AO184" i="3"/>
  <c r="BC181" i="3"/>
  <c r="BG181" i="3"/>
  <c r="BH181" i="3"/>
  <c r="BI181" i="3"/>
  <c r="BK179" i="3"/>
  <c r="BM184" i="3"/>
  <c r="BN184" i="3"/>
  <c r="AT183" i="3"/>
  <c r="AG184" i="3"/>
  <c r="AY182" i="3"/>
  <c r="AH184" i="3"/>
  <c r="BA182" i="3"/>
  <c r="BF182" i="3"/>
  <c r="Y184" i="3"/>
  <c r="Z184" i="3"/>
  <c r="AR185" i="3"/>
  <c r="B185" i="3"/>
  <c r="AQ185" i="3"/>
  <c r="A186" i="3"/>
  <c r="C185" i="3"/>
  <c r="D185" i="3"/>
  <c r="AK185" i="3"/>
  <c r="AM185" i="3"/>
  <c r="Q185" i="3"/>
  <c r="AD185" i="3"/>
  <c r="P185" i="3"/>
  <c r="T185" i="3"/>
  <c r="O185" i="3"/>
  <c r="M185" i="3"/>
  <c r="AE185" i="3"/>
  <c r="AF185" i="3"/>
  <c r="U185" i="3"/>
  <c r="V185" i="3"/>
  <c r="G185" i="3"/>
  <c r="H185" i="3"/>
  <c r="R185" i="3"/>
  <c r="F185" i="3"/>
  <c r="S185" i="3"/>
  <c r="BD181" i="3"/>
  <c r="AW183" i="3"/>
  <c r="X184" i="3"/>
  <c r="AN184" i="3"/>
  <c r="AV182" i="3"/>
  <c r="AU183" i="3"/>
  <c r="AX183" i="3"/>
  <c r="BB181" i="3"/>
  <c r="BQ181" i="3"/>
  <c r="BF181" i="3"/>
  <c r="BJ180" i="3"/>
  <c r="BM185" i="3"/>
  <c r="BK180" i="3"/>
  <c r="BC182" i="3"/>
  <c r="BD182" i="3"/>
  <c r="AT184" i="3"/>
  <c r="BN185" i="3"/>
  <c r="AW184" i="3"/>
  <c r="AU184" i="3"/>
  <c r="AO185" i="3"/>
  <c r="AX184" i="3"/>
  <c r="AG185" i="3"/>
  <c r="BB182" i="3"/>
  <c r="BQ182" i="3"/>
  <c r="BA183" i="3"/>
  <c r="BQ183" i="3"/>
  <c r="Y185" i="3"/>
  <c r="Z185" i="3"/>
  <c r="AR186" i="3"/>
  <c r="B186" i="3"/>
  <c r="AQ186" i="3"/>
  <c r="A187" i="3"/>
  <c r="AM186" i="3"/>
  <c r="S186" i="3"/>
  <c r="AK186" i="3"/>
  <c r="T186" i="3"/>
  <c r="Q186" i="3"/>
  <c r="R186" i="3"/>
  <c r="AD186" i="3"/>
  <c r="P186" i="3"/>
  <c r="O186" i="3"/>
  <c r="AE186" i="3"/>
  <c r="U186" i="3"/>
  <c r="AF186" i="3"/>
  <c r="M186" i="3"/>
  <c r="V186" i="3"/>
  <c r="D186" i="3"/>
  <c r="G186" i="3"/>
  <c r="H186" i="3"/>
  <c r="C186" i="3"/>
  <c r="F186" i="3"/>
  <c r="AY183" i="3"/>
  <c r="X185" i="3"/>
  <c r="AH185" i="3"/>
  <c r="AN185" i="3"/>
  <c r="BJ181" i="3"/>
  <c r="BK181" i="3"/>
  <c r="AV183" i="3"/>
  <c r="AO186" i="3"/>
  <c r="BG182" i="3"/>
  <c r="BH182" i="3"/>
  <c r="BI182" i="3"/>
  <c r="AV184" i="3"/>
  <c r="BA184" i="3"/>
  <c r="BQ184" i="3"/>
  <c r="AY184" i="3"/>
  <c r="AT185" i="3"/>
  <c r="AW185" i="3"/>
  <c r="BB183" i="3"/>
  <c r="BF183" i="3"/>
  <c r="BJ182" i="3"/>
  <c r="X186" i="3"/>
  <c r="AU185" i="3"/>
  <c r="AX185" i="3"/>
  <c r="AH186" i="3"/>
  <c r="AG186" i="3"/>
  <c r="AQ187" i="3"/>
  <c r="B187" i="3"/>
  <c r="A188" i="3"/>
  <c r="AR187" i="3"/>
  <c r="D187" i="3"/>
  <c r="AK187" i="3"/>
  <c r="AM187" i="3"/>
  <c r="R187" i="3"/>
  <c r="Q187" i="3"/>
  <c r="AD187" i="3"/>
  <c r="P187" i="3"/>
  <c r="O187" i="3"/>
  <c r="M187" i="3"/>
  <c r="V187" i="3"/>
  <c r="U187" i="3"/>
  <c r="AE187" i="3"/>
  <c r="AF187" i="3"/>
  <c r="C187" i="3"/>
  <c r="G187" i="3"/>
  <c r="H187" i="3"/>
  <c r="F187" i="3"/>
  <c r="T187" i="3"/>
  <c r="S187" i="3"/>
  <c r="BC183" i="3"/>
  <c r="BM186" i="3"/>
  <c r="BN186" i="3"/>
  <c r="Y186" i="3"/>
  <c r="Z186" i="3"/>
  <c r="AN186" i="3"/>
  <c r="BK182" i="3"/>
  <c r="BM187" i="3"/>
  <c r="BN187" i="3"/>
  <c r="BC184" i="3"/>
  <c r="BD184" i="3"/>
  <c r="BF184" i="3"/>
  <c r="BJ183" i="3"/>
  <c r="BB184" i="3"/>
  <c r="AN187" i="3"/>
  <c r="AV185" i="3"/>
  <c r="AY185" i="3"/>
  <c r="AU186" i="3"/>
  <c r="AT186" i="3"/>
  <c r="BD183" i="3"/>
  <c r="BG183" i="3"/>
  <c r="BH183" i="3"/>
  <c r="BI183" i="3"/>
  <c r="X187" i="3"/>
  <c r="AG187" i="3"/>
  <c r="AH187" i="3"/>
  <c r="AO187" i="3"/>
  <c r="AW186" i="3"/>
  <c r="BA185" i="3"/>
  <c r="Y187" i="3"/>
  <c r="Z187" i="3"/>
  <c r="A189" i="3"/>
  <c r="B188" i="3"/>
  <c r="AR188" i="3"/>
  <c r="AQ188" i="3"/>
  <c r="D188" i="3"/>
  <c r="AK188" i="3"/>
  <c r="T188" i="3"/>
  <c r="Q188" i="3"/>
  <c r="AM188" i="3"/>
  <c r="S188" i="3"/>
  <c r="AD188" i="3"/>
  <c r="O188" i="3"/>
  <c r="P188" i="3"/>
  <c r="AE188" i="3"/>
  <c r="AF188" i="3"/>
  <c r="V188" i="3"/>
  <c r="U188" i="3"/>
  <c r="M188" i="3"/>
  <c r="C188" i="3"/>
  <c r="F188" i="3"/>
  <c r="R188" i="3"/>
  <c r="G188" i="3"/>
  <c r="H188" i="3"/>
  <c r="AX186" i="3"/>
  <c r="BG184" i="3"/>
  <c r="BH184" i="3"/>
  <c r="BI184" i="3"/>
  <c r="BK183" i="3"/>
  <c r="AN188" i="3"/>
  <c r="BC185" i="3"/>
  <c r="BD185" i="3"/>
  <c r="AV186" i="3"/>
  <c r="AU187" i="3"/>
  <c r="AT187" i="3"/>
  <c r="X188" i="3"/>
  <c r="AR189" i="3"/>
  <c r="B189" i="3"/>
  <c r="AQ189" i="3"/>
  <c r="A190" i="3"/>
  <c r="Q189" i="3"/>
  <c r="D189" i="3"/>
  <c r="AK189" i="3"/>
  <c r="AM189" i="3"/>
  <c r="R189" i="3"/>
  <c r="AD189" i="3"/>
  <c r="P189" i="3"/>
  <c r="M189" i="3"/>
  <c r="V189" i="3"/>
  <c r="O189" i="3"/>
  <c r="AE189" i="3"/>
  <c r="AF189" i="3"/>
  <c r="U189" i="3"/>
  <c r="F189" i="3"/>
  <c r="C189" i="3"/>
  <c r="G189" i="3"/>
  <c r="H189" i="3"/>
  <c r="T189" i="3"/>
  <c r="S189" i="3"/>
  <c r="BQ185" i="3"/>
  <c r="BB185" i="3"/>
  <c r="BF185" i="3"/>
  <c r="BJ184" i="3"/>
  <c r="BK184" i="3"/>
  <c r="AH188" i="3"/>
  <c r="BN188" i="3"/>
  <c r="BM188" i="3"/>
  <c r="AG188" i="3"/>
  <c r="AO188" i="3"/>
  <c r="AX187" i="3"/>
  <c r="Y188" i="3"/>
  <c r="Z188" i="3"/>
  <c r="AY186" i="3"/>
  <c r="AW187" i="3"/>
  <c r="BA186" i="3"/>
  <c r="BN189" i="3"/>
  <c r="BG185" i="3"/>
  <c r="BH185" i="3"/>
  <c r="BI185" i="3"/>
  <c r="BC186" i="3"/>
  <c r="BD186" i="3"/>
  <c r="AO189" i="3"/>
  <c r="AV187" i="3"/>
  <c r="AU188" i="3"/>
  <c r="AW188" i="3"/>
  <c r="AG189" i="3"/>
  <c r="AT188" i="3"/>
  <c r="X189" i="3"/>
  <c r="BA187" i="3"/>
  <c r="BF187" i="3"/>
  <c r="BQ186" i="3"/>
  <c r="BB186" i="3"/>
  <c r="BF186" i="3"/>
  <c r="AY187" i="3"/>
  <c r="Y189" i="3"/>
  <c r="Z189" i="3"/>
  <c r="AR190" i="3"/>
  <c r="B190" i="3"/>
  <c r="AQ190" i="3"/>
  <c r="A191" i="3"/>
  <c r="D190" i="3"/>
  <c r="C190" i="3"/>
  <c r="AM190" i="3"/>
  <c r="S190" i="3"/>
  <c r="R190" i="3"/>
  <c r="AK190" i="3"/>
  <c r="Q190" i="3"/>
  <c r="P190" i="3"/>
  <c r="AD190" i="3"/>
  <c r="O190" i="3"/>
  <c r="AE190" i="3"/>
  <c r="M190" i="3"/>
  <c r="AF190" i="3"/>
  <c r="U190" i="3"/>
  <c r="V190" i="3"/>
  <c r="G190" i="3"/>
  <c r="H190" i="3"/>
  <c r="F190" i="3"/>
  <c r="T190" i="3"/>
  <c r="AX188" i="3"/>
  <c r="BM189" i="3"/>
  <c r="AH189" i="3"/>
  <c r="AN189" i="3"/>
  <c r="BC187" i="3"/>
  <c r="BD187" i="3"/>
  <c r="BG186" i="3"/>
  <c r="BH186" i="3"/>
  <c r="BI186" i="3"/>
  <c r="BN190" i="3"/>
  <c r="AV188" i="3"/>
  <c r="BA188" i="3"/>
  <c r="BQ188" i="3"/>
  <c r="BB187" i="3"/>
  <c r="AO190" i="3"/>
  <c r="BQ187" i="3"/>
  <c r="AX189" i="3"/>
  <c r="AY188" i="3"/>
  <c r="BM190" i="3"/>
  <c r="AG190" i="3"/>
  <c r="AH190" i="3"/>
  <c r="AN190" i="3"/>
  <c r="AU189" i="3"/>
  <c r="AQ191" i="3"/>
  <c r="B191" i="3"/>
  <c r="A192" i="3"/>
  <c r="AR191" i="3"/>
  <c r="AM191" i="3"/>
  <c r="Q191" i="3"/>
  <c r="C191" i="3"/>
  <c r="AK191" i="3"/>
  <c r="AD191" i="3"/>
  <c r="O191" i="3"/>
  <c r="S191" i="3"/>
  <c r="P191" i="3"/>
  <c r="AE191" i="3"/>
  <c r="AF191" i="3"/>
  <c r="V191" i="3"/>
  <c r="M191" i="3"/>
  <c r="U191" i="3"/>
  <c r="F191" i="3"/>
  <c r="R191" i="3"/>
  <c r="D191" i="3"/>
  <c r="G191" i="3"/>
  <c r="H191" i="3"/>
  <c r="T191" i="3"/>
  <c r="BJ186" i="3"/>
  <c r="BK186" i="3"/>
  <c r="BJ185" i="3"/>
  <c r="BK185" i="3"/>
  <c r="Y190" i="3"/>
  <c r="Z190" i="3"/>
  <c r="X190" i="3"/>
  <c r="AT189" i="3"/>
  <c r="AW189" i="3"/>
  <c r="BG187" i="3"/>
  <c r="BH187" i="3"/>
  <c r="BI187" i="3"/>
  <c r="AO191" i="3"/>
  <c r="BM191" i="3"/>
  <c r="BB188" i="3"/>
  <c r="BF188" i="3"/>
  <c r="BJ187" i="3"/>
  <c r="BK187" i="3"/>
  <c r="BC188" i="3"/>
  <c r="BG188" i="3"/>
  <c r="BH188" i="3"/>
  <c r="BI188" i="3"/>
  <c r="AY189" i="3"/>
  <c r="AT190" i="3"/>
  <c r="AU190" i="3"/>
  <c r="Y191" i="3"/>
  <c r="Z191" i="3"/>
  <c r="A193" i="3"/>
  <c r="B192" i="3"/>
  <c r="AR192" i="3"/>
  <c r="AQ192" i="3"/>
  <c r="D192" i="3"/>
  <c r="C192" i="3"/>
  <c r="AM192" i="3"/>
  <c r="AK192" i="3"/>
  <c r="R192" i="3"/>
  <c r="AD192" i="3"/>
  <c r="Q192" i="3"/>
  <c r="P192" i="3"/>
  <c r="O192" i="3"/>
  <c r="V192" i="3"/>
  <c r="AE192" i="3"/>
  <c r="M192" i="3"/>
  <c r="AF192" i="3"/>
  <c r="U192" i="3"/>
  <c r="G192" i="3"/>
  <c r="H192" i="3"/>
  <c r="F192" i="3"/>
  <c r="S192" i="3"/>
  <c r="T192" i="3"/>
  <c r="BN191" i="3"/>
  <c r="AG191" i="3"/>
  <c r="AH191" i="3"/>
  <c r="X191" i="3"/>
  <c r="AN191" i="3"/>
  <c r="AX190" i="3"/>
  <c r="BA189" i="3"/>
  <c r="AV189" i="3"/>
  <c r="AW190" i="3"/>
  <c r="BM192" i="3"/>
  <c r="BN192" i="3"/>
  <c r="BC189" i="3"/>
  <c r="BG189" i="3"/>
  <c r="BH189" i="3"/>
  <c r="BI189" i="3"/>
  <c r="BD188" i="3"/>
  <c r="AV190" i="3"/>
  <c r="AW191" i="3"/>
  <c r="AO192" i="3"/>
  <c r="AH192" i="3"/>
  <c r="AY190" i="3"/>
  <c r="Y192" i="3"/>
  <c r="Z192" i="3"/>
  <c r="AR193" i="3"/>
  <c r="B193" i="3"/>
  <c r="AQ193" i="3"/>
  <c r="A194" i="3"/>
  <c r="AK193" i="3"/>
  <c r="T193" i="3"/>
  <c r="Q193" i="3"/>
  <c r="AM193" i="3"/>
  <c r="C193" i="3"/>
  <c r="S193" i="3"/>
  <c r="R193" i="3"/>
  <c r="AD193" i="3"/>
  <c r="P193" i="3"/>
  <c r="M193" i="3"/>
  <c r="O193" i="3"/>
  <c r="AF193" i="3"/>
  <c r="AE193" i="3"/>
  <c r="V193" i="3"/>
  <c r="U193" i="3"/>
  <c r="D193" i="3"/>
  <c r="F193" i="3"/>
  <c r="G193" i="3"/>
  <c r="H193" i="3"/>
  <c r="AT191" i="3"/>
  <c r="AX191" i="3"/>
  <c r="X192" i="3"/>
  <c r="AG192" i="3"/>
  <c r="AN192" i="3"/>
  <c r="BA190" i="3"/>
  <c r="BB189" i="3"/>
  <c r="BQ189" i="3"/>
  <c r="BF189" i="3"/>
  <c r="BJ188" i="3"/>
  <c r="BK188" i="3"/>
  <c r="AU191" i="3"/>
  <c r="BM193" i="3"/>
  <c r="BD189" i="3"/>
  <c r="BN193" i="3"/>
  <c r="AT192" i="3"/>
  <c r="AY191" i="3"/>
  <c r="BC190" i="3"/>
  <c r="BD190" i="3"/>
  <c r="AN193" i="3"/>
  <c r="AX192" i="3"/>
  <c r="AU192" i="3"/>
  <c r="BA191" i="3"/>
  <c r="AV191" i="3"/>
  <c r="Y193" i="3"/>
  <c r="Z193" i="3"/>
  <c r="AR194" i="3"/>
  <c r="B194" i="3"/>
  <c r="AQ194" i="3"/>
  <c r="A195" i="3"/>
  <c r="C194" i="3"/>
  <c r="AK194" i="3"/>
  <c r="S194" i="3"/>
  <c r="AM194" i="3"/>
  <c r="R194" i="3"/>
  <c r="Q194" i="3"/>
  <c r="AD194" i="3"/>
  <c r="P194" i="3"/>
  <c r="AE194" i="3"/>
  <c r="V194" i="3"/>
  <c r="O194" i="3"/>
  <c r="M194" i="3"/>
  <c r="AF194" i="3"/>
  <c r="U194" i="3"/>
  <c r="G194" i="3"/>
  <c r="H194" i="3"/>
  <c r="F194" i="3"/>
  <c r="D194" i="3"/>
  <c r="T194" i="3"/>
  <c r="BB190" i="3"/>
  <c r="BQ190" i="3"/>
  <c r="BF190" i="3"/>
  <c r="BJ189" i="3"/>
  <c r="BK189" i="3"/>
  <c r="AH193" i="3"/>
  <c r="AW192" i="3"/>
  <c r="AG193" i="3"/>
  <c r="X193" i="3"/>
  <c r="AO193" i="3"/>
  <c r="AN194" i="3"/>
  <c r="BC191" i="3"/>
  <c r="BG191" i="3"/>
  <c r="BH191" i="3"/>
  <c r="BI191" i="3"/>
  <c r="AY192" i="3"/>
  <c r="BG190" i="3"/>
  <c r="BH190" i="3"/>
  <c r="BI190" i="3"/>
  <c r="AV192" i="3"/>
  <c r="BN194" i="3"/>
  <c r="AU193" i="3"/>
  <c r="AT193" i="3"/>
  <c r="BQ191" i="3"/>
  <c r="BF191" i="3"/>
  <c r="BJ190" i="3"/>
  <c r="BB191" i="3"/>
  <c r="AH194" i="3"/>
  <c r="X194" i="3"/>
  <c r="AQ195" i="3"/>
  <c r="B195" i="3"/>
  <c r="A196" i="3"/>
  <c r="AR195" i="3"/>
  <c r="AM195" i="3"/>
  <c r="D195" i="3"/>
  <c r="AK195" i="3"/>
  <c r="R195" i="3"/>
  <c r="T195" i="3"/>
  <c r="P195" i="3"/>
  <c r="S195" i="3"/>
  <c r="Q195" i="3"/>
  <c r="AD195" i="3"/>
  <c r="AE195" i="3"/>
  <c r="O195" i="3"/>
  <c r="M195" i="3"/>
  <c r="AF195" i="3"/>
  <c r="V195" i="3"/>
  <c r="U195" i="3"/>
  <c r="G195" i="3"/>
  <c r="H195" i="3"/>
  <c r="C195" i="3"/>
  <c r="F195" i="3"/>
  <c r="AG194" i="3"/>
  <c r="AW193" i="3"/>
  <c r="AX193" i="3"/>
  <c r="BA192" i="3"/>
  <c r="Y194" i="3"/>
  <c r="Z194" i="3"/>
  <c r="BM194" i="3"/>
  <c r="AO194" i="3"/>
  <c r="BK190" i="3"/>
  <c r="BN195" i="3"/>
  <c r="BD191" i="3"/>
  <c r="BC192" i="3"/>
  <c r="BD192" i="3"/>
  <c r="AO195" i="3"/>
  <c r="AV193" i="3"/>
  <c r="BM195" i="3"/>
  <c r="AU194" i="3"/>
  <c r="AX194" i="3"/>
  <c r="AG195" i="3"/>
  <c r="AY193" i="3"/>
  <c r="BQ192" i="3"/>
  <c r="BF192" i="3"/>
  <c r="BJ191" i="3"/>
  <c r="BK191" i="3"/>
  <c r="BB192" i="3"/>
  <c r="Y195" i="3"/>
  <c r="Z195" i="3"/>
  <c r="AT194" i="3"/>
  <c r="AW194" i="3"/>
  <c r="A197" i="3"/>
  <c r="B196" i="3"/>
  <c r="AR196" i="3"/>
  <c r="AQ196" i="3"/>
  <c r="S196" i="3"/>
  <c r="AM196" i="3"/>
  <c r="AK196" i="3"/>
  <c r="T196" i="3"/>
  <c r="R196" i="3"/>
  <c r="AD196" i="3"/>
  <c r="Q196" i="3"/>
  <c r="P196" i="3"/>
  <c r="M196" i="3"/>
  <c r="V196" i="3"/>
  <c r="U196" i="3"/>
  <c r="O196" i="3"/>
  <c r="AF196" i="3"/>
  <c r="AE196" i="3"/>
  <c r="C196" i="3"/>
  <c r="D196" i="3"/>
  <c r="G196" i="3"/>
  <c r="H196" i="3"/>
  <c r="F196" i="3"/>
  <c r="BA193" i="3"/>
  <c r="X195" i="3"/>
  <c r="AH195" i="3"/>
  <c r="AN195" i="3"/>
  <c r="BG192" i="3"/>
  <c r="BH192" i="3"/>
  <c r="BI192" i="3"/>
  <c r="AG196" i="3"/>
  <c r="BC193" i="3"/>
  <c r="BD193" i="3"/>
  <c r="BM196" i="3"/>
  <c r="AY194" i="3"/>
  <c r="AN196" i="3"/>
  <c r="Y196" i="3"/>
  <c r="Z196" i="3"/>
  <c r="AH196" i="3"/>
  <c r="AU195" i="3"/>
  <c r="AX195" i="3"/>
  <c r="BF193" i="3"/>
  <c r="BJ192" i="3"/>
  <c r="BB193" i="3"/>
  <c r="BQ193" i="3"/>
  <c r="AR197" i="3"/>
  <c r="B197" i="3"/>
  <c r="AQ197" i="3"/>
  <c r="A198" i="3"/>
  <c r="C197" i="3"/>
  <c r="D197" i="3"/>
  <c r="AM197" i="3"/>
  <c r="R197" i="3"/>
  <c r="AK197" i="3"/>
  <c r="Q197" i="3"/>
  <c r="AD197" i="3"/>
  <c r="P197" i="3"/>
  <c r="AE197" i="3"/>
  <c r="V197" i="3"/>
  <c r="O197" i="3"/>
  <c r="M197" i="3"/>
  <c r="AF197" i="3"/>
  <c r="U197" i="3"/>
  <c r="G197" i="3"/>
  <c r="H197" i="3"/>
  <c r="F197" i="3"/>
  <c r="T197" i="3"/>
  <c r="S197" i="3"/>
  <c r="AV194" i="3"/>
  <c r="BA194" i="3"/>
  <c r="AT195" i="3"/>
  <c r="AW195" i="3"/>
  <c r="BN196" i="3"/>
  <c r="X196" i="3"/>
  <c r="AO196" i="3"/>
  <c r="BK192" i="3"/>
  <c r="AO197" i="3"/>
  <c r="BC194" i="3"/>
  <c r="BD194" i="3"/>
  <c r="BG193" i="3"/>
  <c r="BH193" i="3"/>
  <c r="BI193" i="3"/>
  <c r="AU196" i="3"/>
  <c r="BN197" i="3"/>
  <c r="AT196" i="3"/>
  <c r="AW196" i="3"/>
  <c r="Y197" i="3"/>
  <c r="Z197" i="3"/>
  <c r="AV195" i="3"/>
  <c r="BA195" i="3"/>
  <c r="BB194" i="3"/>
  <c r="BQ194" i="3"/>
  <c r="BF194" i="3"/>
  <c r="BJ193" i="3"/>
  <c r="AR198" i="3"/>
  <c r="B198" i="3"/>
  <c r="AQ198" i="3"/>
  <c r="A199" i="3"/>
  <c r="C198" i="3"/>
  <c r="AK198" i="3"/>
  <c r="AM198" i="3"/>
  <c r="T198" i="3"/>
  <c r="Q198" i="3"/>
  <c r="R198" i="3"/>
  <c r="AD198" i="3"/>
  <c r="P198" i="3"/>
  <c r="O198" i="3"/>
  <c r="M198" i="3"/>
  <c r="AE198" i="3"/>
  <c r="AF198" i="3"/>
  <c r="V198" i="3"/>
  <c r="U198" i="3"/>
  <c r="D198" i="3"/>
  <c r="G198" i="3"/>
  <c r="H198" i="3"/>
  <c r="F198" i="3"/>
  <c r="S198" i="3"/>
  <c r="AG197" i="3"/>
  <c r="AH197" i="3"/>
  <c r="AN197" i="3"/>
  <c r="AY195" i="3"/>
  <c r="X197" i="3"/>
  <c r="BM197" i="3"/>
  <c r="AX196" i="3"/>
  <c r="BK193" i="3"/>
  <c r="BM198" i="3"/>
  <c r="BG194" i="3"/>
  <c r="BH194" i="3"/>
  <c r="BI194" i="3"/>
  <c r="AV196" i="3"/>
  <c r="BN198" i="3"/>
  <c r="BA196" i="3"/>
  <c r="BF196" i="3"/>
  <c r="AX197" i="3"/>
  <c r="AH198" i="3"/>
  <c r="X198" i="3"/>
  <c r="Y198" i="3"/>
  <c r="Z198" i="3"/>
  <c r="BF195" i="3"/>
  <c r="BJ194" i="3"/>
  <c r="BK194" i="3"/>
  <c r="BB195" i="3"/>
  <c r="BQ195" i="3"/>
  <c r="AU197" i="3"/>
  <c r="AT197" i="3"/>
  <c r="AW197" i="3"/>
  <c r="AG198" i="3"/>
  <c r="AY196" i="3"/>
  <c r="AN198" i="3"/>
  <c r="AO198" i="3"/>
  <c r="AQ199" i="3"/>
  <c r="B199" i="3"/>
  <c r="A200" i="3"/>
  <c r="AR199" i="3"/>
  <c r="D199" i="3"/>
  <c r="AM199" i="3"/>
  <c r="C199" i="3"/>
  <c r="AK199" i="3"/>
  <c r="R199" i="3"/>
  <c r="P199" i="3"/>
  <c r="S199" i="3"/>
  <c r="AD199" i="3"/>
  <c r="O199" i="3"/>
  <c r="AF199" i="3"/>
  <c r="M199" i="3"/>
  <c r="AE199" i="3"/>
  <c r="V199" i="3"/>
  <c r="U199" i="3"/>
  <c r="Q199" i="3"/>
  <c r="G199" i="3"/>
  <c r="H199" i="3"/>
  <c r="F199" i="3"/>
  <c r="T199" i="3"/>
  <c r="BC195" i="3"/>
  <c r="BM199" i="3"/>
  <c r="BC196" i="3"/>
  <c r="BD196" i="3"/>
  <c r="AG199" i="3"/>
  <c r="AO199" i="3"/>
  <c r="BN199" i="3"/>
  <c r="AY197" i="3"/>
  <c r="BQ196" i="3"/>
  <c r="AU198" i="3"/>
  <c r="BB196" i="3"/>
  <c r="AT198" i="3"/>
  <c r="AX198" i="3"/>
  <c r="Y199" i="3"/>
  <c r="Z199" i="3"/>
  <c r="BD195" i="3"/>
  <c r="BG195" i="3"/>
  <c r="BH195" i="3"/>
  <c r="BI195" i="3"/>
  <c r="A201" i="3"/>
  <c r="B200" i="3"/>
  <c r="AR200" i="3"/>
  <c r="AQ200" i="3"/>
  <c r="AM200" i="3"/>
  <c r="S200" i="3"/>
  <c r="R200" i="3"/>
  <c r="AK200" i="3"/>
  <c r="Q200" i="3"/>
  <c r="P200" i="3"/>
  <c r="AD200" i="3"/>
  <c r="O200" i="3"/>
  <c r="M200" i="3"/>
  <c r="AE200" i="3"/>
  <c r="U200" i="3"/>
  <c r="AF200" i="3"/>
  <c r="V200" i="3"/>
  <c r="C200" i="3"/>
  <c r="D200" i="3"/>
  <c r="F200" i="3"/>
  <c r="G200" i="3"/>
  <c r="H200" i="3"/>
  <c r="T200" i="3"/>
  <c r="BA197" i="3"/>
  <c r="AV197" i="3"/>
  <c r="X199" i="3"/>
  <c r="AW198" i="3"/>
  <c r="AH199" i="3"/>
  <c r="AN199" i="3"/>
  <c r="BJ195" i="3"/>
  <c r="BC197" i="3"/>
  <c r="BD197" i="3"/>
  <c r="BM200" i="3"/>
  <c r="BG196" i="3"/>
  <c r="BH196" i="3"/>
  <c r="BI196" i="3"/>
  <c r="AU199" i="3"/>
  <c r="BK195" i="3"/>
  <c r="AV198" i="3"/>
  <c r="BN200" i="3"/>
  <c r="AO200" i="3"/>
  <c r="AY198" i="3"/>
  <c r="AG200" i="3"/>
  <c r="AW199" i="3"/>
  <c r="Y200" i="3"/>
  <c r="Z200" i="3"/>
  <c r="BQ197" i="3"/>
  <c r="BF197" i="3"/>
  <c r="BJ196" i="3"/>
  <c r="BB197" i="3"/>
  <c r="AR201" i="3"/>
  <c r="B201" i="3"/>
  <c r="AQ201" i="3"/>
  <c r="A202" i="3"/>
  <c r="D201" i="3"/>
  <c r="AM201" i="3"/>
  <c r="AK201" i="3"/>
  <c r="S201" i="3"/>
  <c r="Q201" i="3"/>
  <c r="AD201" i="3"/>
  <c r="R201" i="3"/>
  <c r="P201" i="3"/>
  <c r="O201" i="3"/>
  <c r="AE201" i="3"/>
  <c r="M201" i="3"/>
  <c r="V201" i="3"/>
  <c r="U201" i="3"/>
  <c r="AF201" i="3"/>
  <c r="C201" i="3"/>
  <c r="F201" i="3"/>
  <c r="G201" i="3"/>
  <c r="H201" i="3"/>
  <c r="T201" i="3"/>
  <c r="AX199" i="3"/>
  <c r="AT199" i="3"/>
  <c r="BA198" i="3"/>
  <c r="AH200" i="3"/>
  <c r="AN200" i="3"/>
  <c r="X200" i="3"/>
  <c r="BN201" i="3"/>
  <c r="BG197" i="3"/>
  <c r="BH197" i="3"/>
  <c r="BI197" i="3"/>
  <c r="BK196" i="3"/>
  <c r="AY199" i="3"/>
  <c r="BC198" i="3"/>
  <c r="BD198" i="3"/>
  <c r="AX200" i="3"/>
  <c r="BM201" i="3"/>
  <c r="AN201" i="3"/>
  <c r="AU200" i="3"/>
  <c r="Y201" i="3"/>
  <c r="Z201" i="3"/>
  <c r="BQ198" i="3"/>
  <c r="BF198" i="3"/>
  <c r="BJ197" i="3"/>
  <c r="BK197" i="3"/>
  <c r="BB198" i="3"/>
  <c r="AV199" i="3"/>
  <c r="BA199" i="3"/>
  <c r="AT200" i="3"/>
  <c r="AG201" i="3"/>
  <c r="AW200" i="3"/>
  <c r="X201" i="3"/>
  <c r="AO201" i="3"/>
  <c r="AR202" i="3"/>
  <c r="B202" i="3"/>
  <c r="AQ202" i="3"/>
  <c r="A203" i="3"/>
  <c r="AM202" i="3"/>
  <c r="R202" i="3"/>
  <c r="D202" i="3"/>
  <c r="AK202" i="3"/>
  <c r="AD202" i="3"/>
  <c r="Q202" i="3"/>
  <c r="P202" i="3"/>
  <c r="M202" i="3"/>
  <c r="AF202" i="3"/>
  <c r="AE202" i="3"/>
  <c r="V202" i="3"/>
  <c r="O202" i="3"/>
  <c r="U202" i="3"/>
  <c r="C202" i="3"/>
  <c r="G202" i="3"/>
  <c r="H202" i="3"/>
  <c r="BN202" i="3"/>
  <c r="F202" i="3"/>
  <c r="S202" i="3"/>
  <c r="T202" i="3"/>
  <c r="AH201" i="3"/>
  <c r="BM202" i="3"/>
  <c r="BC199" i="3"/>
  <c r="BD199" i="3"/>
  <c r="AV200" i="3"/>
  <c r="BG198" i="3"/>
  <c r="BH198" i="3"/>
  <c r="BI198" i="3"/>
  <c r="AU201" i="3"/>
  <c r="AY200" i="3"/>
  <c r="AN202" i="3"/>
  <c r="X202" i="3"/>
  <c r="AQ203" i="3"/>
  <c r="B203" i="3"/>
  <c r="A204" i="3"/>
  <c r="AR203" i="3"/>
  <c r="AK203" i="3"/>
  <c r="T203" i="3"/>
  <c r="S203" i="3"/>
  <c r="R203" i="3"/>
  <c r="AM203" i="3"/>
  <c r="Q203" i="3"/>
  <c r="O203" i="3"/>
  <c r="AD203" i="3"/>
  <c r="AE203" i="3"/>
  <c r="AF203" i="3"/>
  <c r="U203" i="3"/>
  <c r="M203" i="3"/>
  <c r="V203" i="3"/>
  <c r="G203" i="3"/>
  <c r="H203" i="3"/>
  <c r="D203" i="3"/>
  <c r="C203" i="3"/>
  <c r="F203" i="3"/>
  <c r="P203" i="3"/>
  <c r="BB199" i="3"/>
  <c r="BQ199" i="3"/>
  <c r="BF199" i="3"/>
  <c r="BJ198" i="3"/>
  <c r="AH202" i="3"/>
  <c r="AX201" i="3"/>
  <c r="Y202" i="3"/>
  <c r="Z202" i="3"/>
  <c r="AG202" i="3"/>
  <c r="AO202" i="3"/>
  <c r="AT201" i="3"/>
  <c r="AW201" i="3"/>
  <c r="BA200" i="3"/>
  <c r="BG199" i="3"/>
  <c r="BH199" i="3"/>
  <c r="BI199" i="3"/>
  <c r="BK198" i="3"/>
  <c r="BC200" i="3"/>
  <c r="BG200" i="3"/>
  <c r="BH200" i="3"/>
  <c r="BI200" i="3"/>
  <c r="AN203" i="3"/>
  <c r="BN203" i="3"/>
  <c r="AT202" i="3"/>
  <c r="AU202" i="3"/>
  <c r="AW202" i="3"/>
  <c r="Y203" i="3"/>
  <c r="Z203" i="3"/>
  <c r="X203" i="3"/>
  <c r="AY201" i="3"/>
  <c r="BB200" i="3"/>
  <c r="BF200" i="3"/>
  <c r="BJ199" i="3"/>
  <c r="BK199" i="3"/>
  <c r="BQ200" i="3"/>
  <c r="AV201" i="3"/>
  <c r="BA201" i="3"/>
  <c r="A205" i="3"/>
  <c r="B204" i="3"/>
  <c r="AR204" i="3"/>
  <c r="AQ204" i="3"/>
  <c r="C204" i="3"/>
  <c r="D204" i="3"/>
  <c r="AK204" i="3"/>
  <c r="AM204" i="3"/>
  <c r="S204" i="3"/>
  <c r="R204" i="3"/>
  <c r="AD204" i="3"/>
  <c r="O204" i="3"/>
  <c r="P204" i="3"/>
  <c r="M204" i="3"/>
  <c r="AF204" i="3"/>
  <c r="AE204" i="3"/>
  <c r="V204" i="3"/>
  <c r="U204" i="3"/>
  <c r="Q204" i="3"/>
  <c r="F204" i="3"/>
  <c r="G204" i="3"/>
  <c r="H204" i="3"/>
  <c r="T204" i="3"/>
  <c r="BM203" i="3"/>
  <c r="AG203" i="3"/>
  <c r="AO203" i="3"/>
  <c r="AX202" i="3"/>
  <c r="AH203" i="3"/>
  <c r="BD200" i="3"/>
  <c r="BM204" i="3"/>
  <c r="AN204" i="3"/>
  <c r="AV202" i="3"/>
  <c r="BN204" i="3"/>
  <c r="AY202" i="3"/>
  <c r="AG204" i="3"/>
  <c r="BC201" i="3"/>
  <c r="BG201" i="3"/>
  <c r="BH201" i="3"/>
  <c r="BI201" i="3"/>
  <c r="AX203" i="3"/>
  <c r="Y204" i="3"/>
  <c r="Z204" i="3"/>
  <c r="BB201" i="3"/>
  <c r="BF201" i="3"/>
  <c r="BJ200" i="3"/>
  <c r="BK200" i="3"/>
  <c r="BQ201" i="3"/>
  <c r="AW203" i="3"/>
  <c r="BA202" i="3"/>
  <c r="AR205" i="3"/>
  <c r="B205" i="3"/>
  <c r="AQ205" i="3"/>
  <c r="A206" i="3"/>
  <c r="D205" i="3"/>
  <c r="AK205" i="3"/>
  <c r="AM205" i="3"/>
  <c r="T205" i="3"/>
  <c r="Q205" i="3"/>
  <c r="R205" i="3"/>
  <c r="P205" i="3"/>
  <c r="AD205" i="3"/>
  <c r="O205" i="3"/>
  <c r="AE205" i="3"/>
  <c r="M205" i="3"/>
  <c r="U205" i="3"/>
  <c r="AF205" i="3"/>
  <c r="V205" i="3"/>
  <c r="F205" i="3"/>
  <c r="C205" i="3"/>
  <c r="G205" i="3"/>
  <c r="H205" i="3"/>
  <c r="S205" i="3"/>
  <c r="AU203" i="3"/>
  <c r="AT203" i="3"/>
  <c r="AH204" i="3"/>
  <c r="AO204" i="3"/>
  <c r="X204" i="3"/>
  <c r="BN205" i="3"/>
  <c r="BC202" i="3"/>
  <c r="BG202" i="3"/>
  <c r="BH202" i="3"/>
  <c r="BI202" i="3"/>
  <c r="AO205" i="3"/>
  <c r="BD201" i="3"/>
  <c r="AG205" i="3"/>
  <c r="AT204" i="3"/>
  <c r="AY203" i="3"/>
  <c r="X205" i="3"/>
  <c r="AV203" i="3"/>
  <c r="BA203" i="3"/>
  <c r="Y205" i="3"/>
  <c r="Z205" i="3"/>
  <c r="AH205" i="3"/>
  <c r="AX204" i="3"/>
  <c r="BM205" i="3"/>
  <c r="AN205" i="3"/>
  <c r="AU204" i="3"/>
  <c r="AW204" i="3"/>
  <c r="AR206" i="3"/>
  <c r="B206" i="3"/>
  <c r="AQ206" i="3"/>
  <c r="A207" i="3"/>
  <c r="D206" i="3"/>
  <c r="AM206" i="3"/>
  <c r="S206" i="3"/>
  <c r="C206" i="3"/>
  <c r="AK206" i="3"/>
  <c r="R206" i="3"/>
  <c r="AD206" i="3"/>
  <c r="T206" i="3"/>
  <c r="O206" i="3"/>
  <c r="P206" i="3"/>
  <c r="M206" i="3"/>
  <c r="AE206" i="3"/>
  <c r="AF206" i="3"/>
  <c r="V206" i="3"/>
  <c r="U206" i="3"/>
  <c r="G206" i="3"/>
  <c r="H206" i="3"/>
  <c r="F206" i="3"/>
  <c r="Q206" i="3"/>
  <c r="BF202" i="3"/>
  <c r="BB202" i="3"/>
  <c r="BQ202" i="3"/>
  <c r="BC203" i="3"/>
  <c r="BD203" i="3"/>
  <c r="BD202" i="3"/>
  <c r="BM206" i="3"/>
  <c r="AU205" i="3"/>
  <c r="BN206" i="3"/>
  <c r="AW205" i="3"/>
  <c r="AV204" i="3"/>
  <c r="AX205" i="3"/>
  <c r="AO206" i="3"/>
  <c r="AH206" i="3"/>
  <c r="BJ201" i="3"/>
  <c r="BK201" i="3"/>
  <c r="AQ207" i="3"/>
  <c r="B207" i="3"/>
  <c r="A208" i="3"/>
  <c r="AR207" i="3"/>
  <c r="AK207" i="3"/>
  <c r="T207" i="3"/>
  <c r="AM207" i="3"/>
  <c r="Q207" i="3"/>
  <c r="R207" i="3"/>
  <c r="AD207" i="3"/>
  <c r="P207" i="3"/>
  <c r="O207" i="3"/>
  <c r="M207" i="3"/>
  <c r="AE207" i="3"/>
  <c r="U207" i="3"/>
  <c r="AF207" i="3"/>
  <c r="V207" i="3"/>
  <c r="D207" i="3"/>
  <c r="C207" i="3"/>
  <c r="G207" i="3"/>
  <c r="H207" i="3"/>
  <c r="F207" i="3"/>
  <c r="S207" i="3"/>
  <c r="BA204" i="3"/>
  <c r="AY204" i="3"/>
  <c r="AG206" i="3"/>
  <c r="X206" i="3"/>
  <c r="AN206" i="3"/>
  <c r="AT205" i="3"/>
  <c r="Y206" i="3"/>
  <c r="Z206" i="3"/>
  <c r="BQ203" i="3"/>
  <c r="BF203" i="3"/>
  <c r="BJ202" i="3"/>
  <c r="BK202" i="3"/>
  <c r="BB203" i="3"/>
  <c r="BM207" i="3"/>
  <c r="BN207" i="3"/>
  <c r="BG203" i="3"/>
  <c r="BH203" i="3"/>
  <c r="BI203" i="3"/>
  <c r="BC204" i="3"/>
  <c r="BG204" i="3"/>
  <c r="BH204" i="3"/>
  <c r="BI204" i="3"/>
  <c r="AU206" i="3"/>
  <c r="AN207" i="3"/>
  <c r="AY205" i="3"/>
  <c r="AX206" i="3"/>
  <c r="AG207" i="3"/>
  <c r="AW206" i="3"/>
  <c r="X207" i="3"/>
  <c r="AV205" i="3"/>
  <c r="BA205" i="3"/>
  <c r="BF204" i="3"/>
  <c r="BJ203" i="3"/>
  <c r="BK203" i="3"/>
  <c r="BQ204" i="3"/>
  <c r="BB204" i="3"/>
  <c r="A209" i="3"/>
  <c r="B208" i="3"/>
  <c r="AR208" i="3"/>
  <c r="AQ208" i="3"/>
  <c r="AM208" i="3"/>
  <c r="T208" i="3"/>
  <c r="AK208" i="3"/>
  <c r="C208" i="3"/>
  <c r="Q208" i="3"/>
  <c r="R208" i="3"/>
  <c r="AD208" i="3"/>
  <c r="P208" i="3"/>
  <c r="S208" i="3"/>
  <c r="O208" i="3"/>
  <c r="M208" i="3"/>
  <c r="AE208" i="3"/>
  <c r="AF208" i="3"/>
  <c r="U208" i="3"/>
  <c r="V208" i="3"/>
  <c r="D208" i="3"/>
  <c r="G208" i="3"/>
  <c r="H208" i="3"/>
  <c r="F208" i="3"/>
  <c r="AH207" i="3"/>
  <c r="AT206" i="3"/>
  <c r="AO207" i="3"/>
  <c r="Y207" i="3"/>
  <c r="Z207" i="3"/>
  <c r="BD204" i="3"/>
  <c r="BM208" i="3"/>
  <c r="AU207" i="3"/>
  <c r="BC205" i="3"/>
  <c r="BD205" i="3"/>
  <c r="AY206" i="3"/>
  <c r="AO208" i="3"/>
  <c r="BN208" i="3"/>
  <c r="AT207" i="3"/>
  <c r="AW207" i="3"/>
  <c r="AR209" i="3"/>
  <c r="B209" i="3"/>
  <c r="AQ209" i="3"/>
  <c r="A210" i="3"/>
  <c r="D209" i="3"/>
  <c r="C209" i="3"/>
  <c r="R209" i="3"/>
  <c r="AK209" i="3"/>
  <c r="AM209" i="3"/>
  <c r="Q209" i="3"/>
  <c r="S209" i="3"/>
  <c r="AD209" i="3"/>
  <c r="P209" i="3"/>
  <c r="AF209" i="3"/>
  <c r="O209" i="3"/>
  <c r="AE209" i="3"/>
  <c r="M209" i="3"/>
  <c r="V209" i="3"/>
  <c r="U209" i="3"/>
  <c r="G209" i="3"/>
  <c r="H209" i="3"/>
  <c r="F209" i="3"/>
  <c r="T209" i="3"/>
  <c r="BA206" i="3"/>
  <c r="AV206" i="3"/>
  <c r="Y208" i="3"/>
  <c r="Z208" i="3"/>
  <c r="AN208" i="3"/>
  <c r="AG208" i="3"/>
  <c r="X208" i="3"/>
  <c r="BQ205" i="3"/>
  <c r="BF205" i="3"/>
  <c r="BJ204" i="3"/>
  <c r="BK204" i="3"/>
  <c r="BB205" i="3"/>
  <c r="AX207" i="3"/>
  <c r="AH208" i="3"/>
  <c r="AV207" i="3"/>
  <c r="BC206" i="3"/>
  <c r="BG206" i="3"/>
  <c r="BH206" i="3"/>
  <c r="BI206" i="3"/>
  <c r="BG205" i="3"/>
  <c r="BH205" i="3"/>
  <c r="BI205" i="3"/>
  <c r="AG209" i="3"/>
  <c r="AT208" i="3"/>
  <c r="AO209" i="3"/>
  <c r="BN209" i="3"/>
  <c r="BA207" i="3"/>
  <c r="BB207" i="3"/>
  <c r="BQ206" i="3"/>
  <c r="BB206" i="3"/>
  <c r="BF206" i="3"/>
  <c r="BJ205" i="3"/>
  <c r="BK205" i="3"/>
  <c r="AX208" i="3"/>
  <c r="AY207" i="3"/>
  <c r="AU208" i="3"/>
  <c r="AW208" i="3"/>
  <c r="BM209" i="3"/>
  <c r="AN209" i="3"/>
  <c r="BD206" i="3"/>
  <c r="AR210" i="3"/>
  <c r="B210" i="3"/>
  <c r="AQ210" i="3"/>
  <c r="A211" i="3"/>
  <c r="AK210" i="3"/>
  <c r="Q210" i="3"/>
  <c r="AM210" i="3"/>
  <c r="T210" i="3"/>
  <c r="AD210" i="3"/>
  <c r="P210" i="3"/>
  <c r="O210" i="3"/>
  <c r="U210" i="3"/>
  <c r="AE210" i="3"/>
  <c r="M210" i="3"/>
  <c r="AF210" i="3"/>
  <c r="V210" i="3"/>
  <c r="R210" i="3"/>
  <c r="C210" i="3"/>
  <c r="F210" i="3"/>
  <c r="D210" i="3"/>
  <c r="G210" i="3"/>
  <c r="H210" i="3"/>
  <c r="S210" i="3"/>
  <c r="Y209" i="3"/>
  <c r="Z209" i="3"/>
  <c r="AH209" i="3"/>
  <c r="X209" i="3"/>
  <c r="BC207" i="3"/>
  <c r="BG207" i="3"/>
  <c r="BH207" i="3"/>
  <c r="BI207" i="3"/>
  <c r="AN210" i="3"/>
  <c r="AV208" i="3"/>
  <c r="BN210" i="3"/>
  <c r="BM210" i="3"/>
  <c r="BQ207" i="3"/>
  <c r="BF207" i="3"/>
  <c r="BJ206" i="3"/>
  <c r="BK206" i="3"/>
  <c r="AX209" i="3"/>
  <c r="BA208" i="3"/>
  <c r="BQ208" i="3"/>
  <c r="AY208" i="3"/>
  <c r="AG210" i="3"/>
  <c r="AH210" i="3"/>
  <c r="AO210" i="3"/>
  <c r="AT209" i="3"/>
  <c r="Y210" i="3"/>
  <c r="Z210" i="3"/>
  <c r="AQ211" i="3"/>
  <c r="B211" i="3"/>
  <c r="A212" i="3"/>
  <c r="AR211" i="3"/>
  <c r="AK211" i="3"/>
  <c r="AM211" i="3"/>
  <c r="C211" i="3"/>
  <c r="R211" i="3"/>
  <c r="Q211" i="3"/>
  <c r="AD211" i="3"/>
  <c r="P211" i="3"/>
  <c r="M211" i="3"/>
  <c r="AF211" i="3"/>
  <c r="U211" i="3"/>
  <c r="O211" i="3"/>
  <c r="AE211" i="3"/>
  <c r="V211" i="3"/>
  <c r="D211" i="3"/>
  <c r="G211" i="3"/>
  <c r="H211" i="3"/>
  <c r="F211" i="3"/>
  <c r="S211" i="3"/>
  <c r="T211" i="3"/>
  <c r="X210" i="3"/>
  <c r="AW209" i="3"/>
  <c r="AU209" i="3"/>
  <c r="BD207" i="3"/>
  <c r="BB208" i="3"/>
  <c r="AY209" i="3"/>
  <c r="BC208" i="3"/>
  <c r="BN211" i="3"/>
  <c r="AO211" i="3"/>
  <c r="BM211" i="3"/>
  <c r="AG211" i="3"/>
  <c r="BF208" i="3"/>
  <c r="BJ207" i="3"/>
  <c r="BK207" i="3"/>
  <c r="Y211" i="3"/>
  <c r="Z211" i="3"/>
  <c r="A213" i="3"/>
  <c r="B212" i="3"/>
  <c r="AR212" i="3"/>
  <c r="AQ212" i="3"/>
  <c r="D212" i="3"/>
  <c r="AM212" i="3"/>
  <c r="Q212" i="3"/>
  <c r="R212" i="3"/>
  <c r="C212" i="3"/>
  <c r="AK212" i="3"/>
  <c r="P212" i="3"/>
  <c r="AD212" i="3"/>
  <c r="AF212" i="3"/>
  <c r="U212" i="3"/>
  <c r="O212" i="3"/>
  <c r="AE212" i="3"/>
  <c r="M212" i="3"/>
  <c r="V212" i="3"/>
  <c r="F212" i="3"/>
  <c r="G212" i="3"/>
  <c r="H212" i="3"/>
  <c r="S212" i="3"/>
  <c r="T212" i="3"/>
  <c r="BA209" i="3"/>
  <c r="AV209" i="3"/>
  <c r="X211" i="3"/>
  <c r="AW210" i="3"/>
  <c r="AU210" i="3"/>
  <c r="AX210" i="3"/>
  <c r="AH211" i="3"/>
  <c r="AN211" i="3"/>
  <c r="AT210" i="3"/>
  <c r="AO212" i="3"/>
  <c r="BM212" i="3"/>
  <c r="BC209" i="3"/>
  <c r="BG209" i="3"/>
  <c r="BH209" i="3"/>
  <c r="BI209" i="3"/>
  <c r="BG208" i="3"/>
  <c r="BH208" i="3"/>
  <c r="BI208" i="3"/>
  <c r="BD208" i="3"/>
  <c r="BN212" i="3"/>
  <c r="AG212" i="3"/>
  <c r="AX211" i="3"/>
  <c r="Y212" i="3"/>
  <c r="Z212" i="3"/>
  <c r="X212" i="3"/>
  <c r="AV210" i="3"/>
  <c r="BA210" i="3"/>
  <c r="BQ209" i="3"/>
  <c r="BF209" i="3"/>
  <c r="BJ208" i="3"/>
  <c r="BK208" i="3"/>
  <c r="BB209" i="3"/>
  <c r="AR213" i="3"/>
  <c r="B213" i="3"/>
  <c r="AQ213" i="3"/>
  <c r="A214" i="3"/>
  <c r="AK213" i="3"/>
  <c r="T213" i="3"/>
  <c r="AM213" i="3"/>
  <c r="S213" i="3"/>
  <c r="R213" i="3"/>
  <c r="AD213" i="3"/>
  <c r="P213" i="3"/>
  <c r="M213" i="3"/>
  <c r="AF213" i="3"/>
  <c r="U213" i="3"/>
  <c r="O213" i="3"/>
  <c r="AE213" i="3"/>
  <c r="V213" i="3"/>
  <c r="Q213" i="3"/>
  <c r="C213" i="3"/>
  <c r="D213" i="3"/>
  <c r="G213" i="3"/>
  <c r="H213" i="3"/>
  <c r="F213" i="3"/>
  <c r="AT211" i="3"/>
  <c r="AW211" i="3"/>
  <c r="AY210" i="3"/>
  <c r="AU211" i="3"/>
  <c r="AH212" i="3"/>
  <c r="AN212" i="3"/>
  <c r="BD209" i="3"/>
  <c r="AN213" i="3"/>
  <c r="AT212" i="3"/>
  <c r="BN213" i="3"/>
  <c r="BC210" i="3"/>
  <c r="BG210" i="3"/>
  <c r="BH210" i="3"/>
  <c r="BI210" i="3"/>
  <c r="AY211" i="3"/>
  <c r="AW212" i="3"/>
  <c r="AU212" i="3"/>
  <c r="X213" i="3"/>
  <c r="Y213" i="3"/>
  <c r="Z213" i="3"/>
  <c r="AR214" i="3"/>
  <c r="B214" i="3"/>
  <c r="AQ214" i="3"/>
  <c r="A215" i="3"/>
  <c r="D214" i="3"/>
  <c r="AM214" i="3"/>
  <c r="AK214" i="3"/>
  <c r="S214" i="3"/>
  <c r="Q214" i="3"/>
  <c r="R214" i="3"/>
  <c r="AD214" i="3"/>
  <c r="P214" i="3"/>
  <c r="O214" i="3"/>
  <c r="AE214" i="3"/>
  <c r="M214" i="3"/>
  <c r="AF214" i="3"/>
  <c r="V214" i="3"/>
  <c r="U214" i="3"/>
  <c r="F214" i="3"/>
  <c r="C214" i="3"/>
  <c r="G214" i="3"/>
  <c r="H214" i="3"/>
  <c r="T214" i="3"/>
  <c r="AX212" i="3"/>
  <c r="BM213" i="3"/>
  <c r="AG213" i="3"/>
  <c r="AH213" i="3"/>
  <c r="AV211" i="3"/>
  <c r="BA211" i="3"/>
  <c r="BB210" i="3"/>
  <c r="BF210" i="3"/>
  <c r="BJ209" i="3"/>
  <c r="BK209" i="3"/>
  <c r="BQ210" i="3"/>
  <c r="AO213" i="3"/>
  <c r="BN214" i="3"/>
  <c r="BD210" i="3"/>
  <c r="AY212" i="3"/>
  <c r="AO214" i="3"/>
  <c r="AV212" i="3"/>
  <c r="BM214" i="3"/>
  <c r="BC211" i="3"/>
  <c r="BG211" i="3"/>
  <c r="BH211" i="3"/>
  <c r="BI211" i="3"/>
  <c r="AT213" i="3"/>
  <c r="AH214" i="3"/>
  <c r="BA212" i="3"/>
  <c r="BB212" i="3"/>
  <c r="BB211" i="3"/>
  <c r="BF211" i="3"/>
  <c r="BJ210" i="3"/>
  <c r="BK210" i="3"/>
  <c r="BQ211" i="3"/>
  <c r="AQ215" i="3"/>
  <c r="B215" i="3"/>
  <c r="A216" i="3"/>
  <c r="AR215" i="3"/>
  <c r="C215" i="3"/>
  <c r="S215" i="3"/>
  <c r="AK215" i="3"/>
  <c r="AM215" i="3"/>
  <c r="T215" i="3"/>
  <c r="Q215" i="3"/>
  <c r="R215" i="3"/>
  <c r="AD215" i="3"/>
  <c r="P215" i="3"/>
  <c r="M215" i="3"/>
  <c r="AE215" i="3"/>
  <c r="O215" i="3"/>
  <c r="V215" i="3"/>
  <c r="AF215" i="3"/>
  <c r="U215" i="3"/>
  <c r="G215" i="3"/>
  <c r="H215" i="3"/>
  <c r="D215" i="3"/>
  <c r="F215" i="3"/>
  <c r="AX213" i="3"/>
  <c r="AU213" i="3"/>
  <c r="AW213" i="3"/>
  <c r="Y214" i="3"/>
  <c r="Z214" i="3"/>
  <c r="X214" i="3"/>
  <c r="AG214" i="3"/>
  <c r="AN214" i="3"/>
  <c r="BC212" i="3"/>
  <c r="BD212" i="3"/>
  <c r="BD211" i="3"/>
  <c r="BM215" i="3"/>
  <c r="AO215" i="3"/>
  <c r="BQ212" i="3"/>
  <c r="BF212" i="3"/>
  <c r="BJ211" i="3"/>
  <c r="BK211" i="3"/>
  <c r="AT214" i="3"/>
  <c r="AX214" i="3"/>
  <c r="AY213" i="3"/>
  <c r="AG215" i="3"/>
  <c r="BA213" i="3"/>
  <c r="BQ213" i="3"/>
  <c r="AW214" i="3"/>
  <c r="AU214" i="3"/>
  <c r="BN215" i="3"/>
  <c r="AH215" i="3"/>
  <c r="AN215" i="3"/>
  <c r="AV213" i="3"/>
  <c r="Y215" i="3"/>
  <c r="Z215" i="3"/>
  <c r="A217" i="3"/>
  <c r="B216" i="3"/>
  <c r="AR216" i="3"/>
  <c r="AQ216" i="3"/>
  <c r="AK216" i="3"/>
  <c r="Q216" i="3"/>
  <c r="AM216" i="3"/>
  <c r="T216" i="3"/>
  <c r="R216" i="3"/>
  <c r="AD216" i="3"/>
  <c r="P216" i="3"/>
  <c r="O216" i="3"/>
  <c r="M216" i="3"/>
  <c r="AE216" i="3"/>
  <c r="V216" i="3"/>
  <c r="AF216" i="3"/>
  <c r="U216" i="3"/>
  <c r="D216" i="3"/>
  <c r="F216" i="3"/>
  <c r="C216" i="3"/>
  <c r="G216" i="3"/>
  <c r="H216" i="3"/>
  <c r="S216" i="3"/>
  <c r="X215" i="3"/>
  <c r="BC213" i="3"/>
  <c r="BG213" i="3"/>
  <c r="BH213" i="3"/>
  <c r="BI213" i="3"/>
  <c r="BG212" i="3"/>
  <c r="BH212" i="3"/>
  <c r="BI212" i="3"/>
  <c r="AN216" i="3"/>
  <c r="AY214" i="3"/>
  <c r="AV214" i="3"/>
  <c r="AT215" i="3"/>
  <c r="AU215" i="3"/>
  <c r="AW215" i="3"/>
  <c r="AH216" i="3"/>
  <c r="BB213" i="3"/>
  <c r="BF213" i="3"/>
  <c r="BJ212" i="3"/>
  <c r="X216" i="3"/>
  <c r="Y216" i="3"/>
  <c r="Z216" i="3"/>
  <c r="BN216" i="3"/>
  <c r="AR217" i="3"/>
  <c r="B217" i="3"/>
  <c r="AQ217" i="3"/>
  <c r="A218" i="3"/>
  <c r="D217" i="3"/>
  <c r="AM217" i="3"/>
  <c r="AK217" i="3"/>
  <c r="T217" i="3"/>
  <c r="P217" i="3"/>
  <c r="Q217" i="3"/>
  <c r="AD217" i="3"/>
  <c r="O217" i="3"/>
  <c r="M217" i="3"/>
  <c r="AE217" i="3"/>
  <c r="AF217" i="3"/>
  <c r="V217" i="3"/>
  <c r="U217" i="3"/>
  <c r="R217" i="3"/>
  <c r="C217" i="3"/>
  <c r="G217" i="3"/>
  <c r="H217" i="3"/>
  <c r="F217" i="3"/>
  <c r="S217" i="3"/>
  <c r="BM216" i="3"/>
  <c r="AO216" i="3"/>
  <c r="BA214" i="3"/>
  <c r="AX215" i="3"/>
  <c r="AG216" i="3"/>
  <c r="BD213" i="3"/>
  <c r="BM217" i="3"/>
  <c r="BK212" i="3"/>
  <c r="BC214" i="3"/>
  <c r="BG214" i="3"/>
  <c r="BH214" i="3"/>
  <c r="BI214" i="3"/>
  <c r="AW216" i="3"/>
  <c r="BN217" i="3"/>
  <c r="AV215" i="3"/>
  <c r="BA215" i="3"/>
  <c r="BQ215" i="3"/>
  <c r="AN217" i="3"/>
  <c r="AG217" i="3"/>
  <c r="X217" i="3"/>
  <c r="BQ214" i="3"/>
  <c r="BB214" i="3"/>
  <c r="BF214" i="3"/>
  <c r="BJ213" i="3"/>
  <c r="BK213" i="3"/>
  <c r="Y217" i="3"/>
  <c r="Z217" i="3"/>
  <c r="AY215" i="3"/>
  <c r="AU216" i="3"/>
  <c r="AT216" i="3"/>
  <c r="AX216" i="3"/>
  <c r="AH217" i="3"/>
  <c r="AO217" i="3"/>
  <c r="AR218" i="3"/>
  <c r="B218" i="3"/>
  <c r="AQ218" i="3"/>
  <c r="A219" i="3"/>
  <c r="D218" i="3"/>
  <c r="C218" i="3"/>
  <c r="AM218" i="3"/>
  <c r="T218" i="3"/>
  <c r="AK218" i="3"/>
  <c r="R218" i="3"/>
  <c r="S218" i="3"/>
  <c r="Q218" i="3"/>
  <c r="P218" i="3"/>
  <c r="AD218" i="3"/>
  <c r="O218" i="3"/>
  <c r="M218" i="3"/>
  <c r="AF218" i="3"/>
  <c r="AE218" i="3"/>
  <c r="U218" i="3"/>
  <c r="V218" i="3"/>
  <c r="G218" i="3"/>
  <c r="H218" i="3"/>
  <c r="F218" i="3"/>
  <c r="BM218" i="3"/>
  <c r="BN218" i="3"/>
  <c r="BF215" i="3"/>
  <c r="BJ214" i="3"/>
  <c r="BK214" i="3"/>
  <c r="AO218" i="3"/>
  <c r="AT217" i="3"/>
  <c r="BD214" i="3"/>
  <c r="AY216" i="3"/>
  <c r="AW217" i="3"/>
  <c r="BC215" i="3"/>
  <c r="BD215" i="3"/>
  <c r="AU217" i="3"/>
  <c r="BB215" i="3"/>
  <c r="AG218" i="3"/>
  <c r="AX217" i="3"/>
  <c r="Y218" i="3"/>
  <c r="Z218" i="3"/>
  <c r="AH218" i="3"/>
  <c r="AN218" i="3"/>
  <c r="AQ219" i="3"/>
  <c r="B219" i="3"/>
  <c r="A220" i="3"/>
  <c r="AR219" i="3"/>
  <c r="AK219" i="3"/>
  <c r="AM219" i="3"/>
  <c r="R219" i="3"/>
  <c r="AD219" i="3"/>
  <c r="P219" i="3"/>
  <c r="S219" i="3"/>
  <c r="O219" i="3"/>
  <c r="M219" i="3"/>
  <c r="AE219" i="3"/>
  <c r="AF219" i="3"/>
  <c r="V219" i="3"/>
  <c r="U219" i="3"/>
  <c r="Q219" i="3"/>
  <c r="D219" i="3"/>
  <c r="F219" i="3"/>
  <c r="C219" i="3"/>
  <c r="G219" i="3"/>
  <c r="H219" i="3"/>
  <c r="T219" i="3"/>
  <c r="BA216" i="3"/>
  <c r="AV216" i="3"/>
  <c r="X218" i="3"/>
  <c r="BC216" i="3"/>
  <c r="BD216" i="3"/>
  <c r="AV217" i="3"/>
  <c r="AY217" i="3"/>
  <c r="BN219" i="3"/>
  <c r="BM219" i="3"/>
  <c r="BG215" i="3"/>
  <c r="BH215" i="3"/>
  <c r="BI215" i="3"/>
  <c r="BA217" i="3"/>
  <c r="BQ217" i="3"/>
  <c r="AO219" i="3"/>
  <c r="AX218" i="3"/>
  <c r="AG219" i="3"/>
  <c r="A221" i="3"/>
  <c r="B220" i="3"/>
  <c r="AR220" i="3"/>
  <c r="AQ220" i="3"/>
  <c r="AK220" i="3"/>
  <c r="AM220" i="3"/>
  <c r="D220" i="3"/>
  <c r="S220" i="3"/>
  <c r="T220" i="3"/>
  <c r="Q220" i="3"/>
  <c r="AD220" i="3"/>
  <c r="O220" i="3"/>
  <c r="P220" i="3"/>
  <c r="AE220" i="3"/>
  <c r="M220" i="3"/>
  <c r="V220" i="3"/>
  <c r="U220" i="3"/>
  <c r="AF220" i="3"/>
  <c r="R220" i="3"/>
  <c r="F220" i="3"/>
  <c r="C220" i="3"/>
  <c r="G220" i="3"/>
  <c r="H220" i="3"/>
  <c r="Y219" i="3"/>
  <c r="Z219" i="3"/>
  <c r="AU218" i="3"/>
  <c r="X219" i="3"/>
  <c r="AH219" i="3"/>
  <c r="AN219" i="3"/>
  <c r="AT218" i="3"/>
  <c r="AW218" i="3"/>
  <c r="BQ216" i="3"/>
  <c r="BF216" i="3"/>
  <c r="BJ215" i="3"/>
  <c r="BB216" i="3"/>
  <c r="BK215" i="3"/>
  <c r="BC217" i="3"/>
  <c r="BG217" i="3"/>
  <c r="BH217" i="3"/>
  <c r="BI217" i="3"/>
  <c r="AU219" i="3"/>
  <c r="BB217" i="3"/>
  <c r="BG216" i="3"/>
  <c r="BH216" i="3"/>
  <c r="BI216" i="3"/>
  <c r="BN220" i="3"/>
  <c r="BF217" i="3"/>
  <c r="BJ216" i="3"/>
  <c r="BK216" i="3"/>
  <c r="BM220" i="3"/>
  <c r="AN220" i="3"/>
  <c r="AT219" i="3"/>
  <c r="AH220" i="3"/>
  <c r="AY218" i="3"/>
  <c r="Y220" i="3"/>
  <c r="Z220" i="3"/>
  <c r="AR221" i="3"/>
  <c r="B221" i="3"/>
  <c r="AQ221" i="3"/>
  <c r="A222" i="3"/>
  <c r="AM221" i="3"/>
  <c r="D221" i="3"/>
  <c r="AK221" i="3"/>
  <c r="Q221" i="3"/>
  <c r="R221" i="3"/>
  <c r="AD221" i="3"/>
  <c r="P221" i="3"/>
  <c r="M221" i="3"/>
  <c r="O221" i="3"/>
  <c r="V221" i="3"/>
  <c r="AF221" i="3"/>
  <c r="AE221" i="3"/>
  <c r="U221" i="3"/>
  <c r="C221" i="3"/>
  <c r="G221" i="3"/>
  <c r="H221" i="3"/>
  <c r="F221" i="3"/>
  <c r="S221" i="3"/>
  <c r="T221" i="3"/>
  <c r="AX219" i="3"/>
  <c r="AW219" i="3"/>
  <c r="X220" i="3"/>
  <c r="AO220" i="3"/>
  <c r="AV218" i="3"/>
  <c r="BA218" i="3"/>
  <c r="AG220" i="3"/>
  <c r="AO221" i="3"/>
  <c r="BM221" i="3"/>
  <c r="AV219" i="3"/>
  <c r="BD217" i="3"/>
  <c r="BC218" i="3"/>
  <c r="BG218" i="3"/>
  <c r="BH218" i="3"/>
  <c r="BI218" i="3"/>
  <c r="BN221" i="3"/>
  <c r="AX220" i="3"/>
  <c r="AU220" i="3"/>
  <c r="X221" i="3"/>
  <c r="AY219" i="3"/>
  <c r="AN221" i="3"/>
  <c r="BF218" i="3"/>
  <c r="BJ217" i="3"/>
  <c r="BK217" i="3"/>
  <c r="BQ218" i="3"/>
  <c r="BB218" i="3"/>
  <c r="AR222" i="3"/>
  <c r="B222" i="3"/>
  <c r="AQ222" i="3"/>
  <c r="A223" i="3"/>
  <c r="C222" i="3"/>
  <c r="D222" i="3"/>
  <c r="R222" i="3"/>
  <c r="AK222" i="3"/>
  <c r="AM222" i="3"/>
  <c r="Q222" i="3"/>
  <c r="S222" i="3"/>
  <c r="P222" i="3"/>
  <c r="AD222" i="3"/>
  <c r="O222" i="3"/>
  <c r="M222" i="3"/>
  <c r="AE222" i="3"/>
  <c r="AF222" i="3"/>
  <c r="U222" i="3"/>
  <c r="V222" i="3"/>
  <c r="F222" i="3"/>
  <c r="G222" i="3"/>
  <c r="H222" i="3"/>
  <c r="T222" i="3"/>
  <c r="AW220" i="3"/>
  <c r="AT220" i="3"/>
  <c r="BA219" i="3"/>
  <c r="Y221" i="3"/>
  <c r="Z221" i="3"/>
  <c r="AG221" i="3"/>
  <c r="AH221" i="3"/>
  <c r="BD218" i="3"/>
  <c r="BC219" i="3"/>
  <c r="BD219" i="3"/>
  <c r="AY220" i="3"/>
  <c r="BM222" i="3"/>
  <c r="AX221" i="3"/>
  <c r="AG222" i="3"/>
  <c r="AO222" i="3"/>
  <c r="Y222" i="3"/>
  <c r="Z222" i="3"/>
  <c r="AV220" i="3"/>
  <c r="BA220" i="3"/>
  <c r="BQ219" i="3"/>
  <c r="BF219" i="3"/>
  <c r="BJ218" i="3"/>
  <c r="BK218" i="3"/>
  <c r="BB219" i="3"/>
  <c r="AW221" i="3"/>
  <c r="BN222" i="3"/>
  <c r="AH222" i="3"/>
  <c r="AN222" i="3"/>
  <c r="X222" i="3"/>
  <c r="AT221" i="3"/>
  <c r="AQ223" i="3"/>
  <c r="B223" i="3"/>
  <c r="A224" i="3"/>
  <c r="AR223" i="3"/>
  <c r="AM223" i="3"/>
  <c r="Q223" i="3"/>
  <c r="AK223" i="3"/>
  <c r="AD223" i="3"/>
  <c r="O223" i="3"/>
  <c r="M223" i="3"/>
  <c r="U223" i="3"/>
  <c r="V223" i="3"/>
  <c r="P223" i="3"/>
  <c r="AF223" i="3"/>
  <c r="AE223" i="3"/>
  <c r="R223" i="3"/>
  <c r="F223" i="3"/>
  <c r="C223" i="3"/>
  <c r="D223" i="3"/>
  <c r="G223" i="3"/>
  <c r="H223" i="3"/>
  <c r="S223" i="3"/>
  <c r="T223" i="3"/>
  <c r="AU221" i="3"/>
  <c r="AY221" i="3"/>
  <c r="BG219" i="3"/>
  <c r="BH219" i="3"/>
  <c r="BI219" i="3"/>
  <c r="BC220" i="3"/>
  <c r="BG220" i="3"/>
  <c r="BH220" i="3"/>
  <c r="BI220" i="3"/>
  <c r="AO223" i="3"/>
  <c r="BM223" i="3"/>
  <c r="AW222" i="3"/>
  <c r="AG223" i="3"/>
  <c r="AT222" i="3"/>
  <c r="AX222" i="3"/>
  <c r="X223" i="3"/>
  <c r="AV221" i="3"/>
  <c r="BA221" i="3"/>
  <c r="Y223" i="3"/>
  <c r="Z223" i="3"/>
  <c r="BN223" i="3"/>
  <c r="AH223" i="3"/>
  <c r="AU222" i="3"/>
  <c r="A225" i="3"/>
  <c r="B224" i="3"/>
  <c r="AR224" i="3"/>
  <c r="AQ224" i="3"/>
  <c r="C224" i="3"/>
  <c r="D224" i="3"/>
  <c r="AM224" i="3"/>
  <c r="AK224" i="3"/>
  <c r="S224" i="3"/>
  <c r="R224" i="3"/>
  <c r="AD224" i="3"/>
  <c r="Q224" i="3"/>
  <c r="P224" i="3"/>
  <c r="O224" i="3"/>
  <c r="AF224" i="3"/>
  <c r="U224" i="3"/>
  <c r="V224" i="3"/>
  <c r="M224" i="3"/>
  <c r="AE224" i="3"/>
  <c r="F224" i="3"/>
  <c r="G224" i="3"/>
  <c r="H224" i="3"/>
  <c r="T224" i="3"/>
  <c r="BB220" i="3"/>
  <c r="BQ220" i="3"/>
  <c r="BF220" i="3"/>
  <c r="AN223" i="3"/>
  <c r="BD220" i="3"/>
  <c r="BC221" i="3"/>
  <c r="BD221" i="3"/>
  <c r="AU223" i="3"/>
  <c r="AV222" i="3"/>
  <c r="AG224" i="3"/>
  <c r="BM224" i="3"/>
  <c r="BN224" i="3"/>
  <c r="AY222" i="3"/>
  <c r="AW223" i="3"/>
  <c r="AN224" i="3"/>
  <c r="AT223" i="3"/>
  <c r="BJ219" i="3"/>
  <c r="BK219" i="3"/>
  <c r="Y224" i="3"/>
  <c r="Z224" i="3"/>
  <c r="AO224" i="3"/>
  <c r="AX223" i="3"/>
  <c r="BA222" i="3"/>
  <c r="AR225" i="3"/>
  <c r="B225" i="3"/>
  <c r="AQ225" i="3"/>
  <c r="A226" i="3"/>
  <c r="D225" i="3"/>
  <c r="AK225" i="3"/>
  <c r="AM225" i="3"/>
  <c r="Q225" i="3"/>
  <c r="R225" i="3"/>
  <c r="AD225" i="3"/>
  <c r="T225" i="3"/>
  <c r="P225" i="3"/>
  <c r="O225" i="3"/>
  <c r="V225" i="3"/>
  <c r="M225" i="3"/>
  <c r="AF225" i="3"/>
  <c r="AE225" i="3"/>
  <c r="U225" i="3"/>
  <c r="F225" i="3"/>
  <c r="G225" i="3"/>
  <c r="H225" i="3"/>
  <c r="C225" i="3"/>
  <c r="S225" i="3"/>
  <c r="BB221" i="3"/>
  <c r="BQ221" i="3"/>
  <c r="BF221" i="3"/>
  <c r="BJ220" i="3"/>
  <c r="BK220" i="3"/>
  <c r="AH224" i="3"/>
  <c r="X224" i="3"/>
  <c r="AV223" i="3"/>
  <c r="BG221" i="3"/>
  <c r="BH221" i="3"/>
  <c r="BI221" i="3"/>
  <c r="BC222" i="3"/>
  <c r="BD222" i="3"/>
  <c r="AX224" i="3"/>
  <c r="BN225" i="3"/>
  <c r="BM225" i="3"/>
  <c r="AN225" i="3"/>
  <c r="AY223" i="3"/>
  <c r="AG225" i="3"/>
  <c r="BA223" i="3"/>
  <c r="BQ223" i="3"/>
  <c r="AR226" i="3"/>
  <c r="B226" i="3"/>
  <c r="AQ226" i="3"/>
  <c r="A227" i="3"/>
  <c r="S226" i="3"/>
  <c r="R226" i="3"/>
  <c r="AK226" i="3"/>
  <c r="AM226" i="3"/>
  <c r="Q226" i="3"/>
  <c r="AD226" i="3"/>
  <c r="P226" i="3"/>
  <c r="O226" i="3"/>
  <c r="M226" i="3"/>
  <c r="AF226" i="3"/>
  <c r="V226" i="3"/>
  <c r="U226" i="3"/>
  <c r="AE226" i="3"/>
  <c r="C226" i="3"/>
  <c r="D226" i="3"/>
  <c r="F226" i="3"/>
  <c r="G226" i="3"/>
  <c r="H226" i="3"/>
  <c r="T226" i="3"/>
  <c r="BF222" i="3"/>
  <c r="BJ221" i="3"/>
  <c r="BK221" i="3"/>
  <c r="BB222" i="3"/>
  <c r="BQ222" i="3"/>
  <c r="AT224" i="3"/>
  <c r="AW224" i="3"/>
  <c r="X225" i="3"/>
  <c r="AH225" i="3"/>
  <c r="AO225" i="3"/>
  <c r="AU224" i="3"/>
  <c r="Y225" i="3"/>
  <c r="Z225" i="3"/>
  <c r="BC223" i="3"/>
  <c r="BG223" i="3"/>
  <c r="BH223" i="3"/>
  <c r="BI223" i="3"/>
  <c r="BN226" i="3"/>
  <c r="BG222" i="3"/>
  <c r="BH222" i="3"/>
  <c r="BI222" i="3"/>
  <c r="AY224" i="3"/>
  <c r="BM226" i="3"/>
  <c r="AO226" i="3"/>
  <c r="BB223" i="3"/>
  <c r="BF223" i="3"/>
  <c r="BJ222" i="3"/>
  <c r="BK222" i="3"/>
  <c r="AX225" i="3"/>
  <c r="AU225" i="3"/>
  <c r="AV224" i="3"/>
  <c r="AG226" i="3"/>
  <c r="AQ227" i="3"/>
  <c r="B227" i="3"/>
  <c r="A228" i="3"/>
  <c r="AR227" i="3"/>
  <c r="D227" i="3"/>
  <c r="C227" i="3"/>
  <c r="AM227" i="3"/>
  <c r="AK227" i="3"/>
  <c r="T227" i="3"/>
  <c r="S227" i="3"/>
  <c r="R227" i="3"/>
  <c r="Q227" i="3"/>
  <c r="AD227" i="3"/>
  <c r="P227" i="3"/>
  <c r="O227" i="3"/>
  <c r="AE227" i="3"/>
  <c r="M227" i="3"/>
  <c r="V227" i="3"/>
  <c r="U227" i="3"/>
  <c r="AF227" i="3"/>
  <c r="G227" i="3"/>
  <c r="H227" i="3"/>
  <c r="F227" i="3"/>
  <c r="AT225" i="3"/>
  <c r="AW225" i="3"/>
  <c r="BA224" i="3"/>
  <c r="Y226" i="3"/>
  <c r="Z226" i="3"/>
  <c r="X226" i="3"/>
  <c r="AH226" i="3"/>
  <c r="AN226" i="3"/>
  <c r="BM227" i="3"/>
  <c r="BD223" i="3"/>
  <c r="BN227" i="3"/>
  <c r="BC224" i="3"/>
  <c r="BD224" i="3"/>
  <c r="AX226" i="3"/>
  <c r="AO227" i="3"/>
  <c r="AY225" i="3"/>
  <c r="AV225" i="3"/>
  <c r="AG227" i="3"/>
  <c r="AT226" i="3"/>
  <c r="BQ224" i="3"/>
  <c r="BF224" i="3"/>
  <c r="BJ223" i="3"/>
  <c r="BK223" i="3"/>
  <c r="BB224" i="3"/>
  <c r="Y227" i="3"/>
  <c r="Z227" i="3"/>
  <c r="A229" i="3"/>
  <c r="B228" i="3"/>
  <c r="AR228" i="3"/>
  <c r="AQ228" i="3"/>
  <c r="AK228" i="3"/>
  <c r="T228" i="3"/>
  <c r="AM228" i="3"/>
  <c r="R228" i="3"/>
  <c r="Q228" i="3"/>
  <c r="AD228" i="3"/>
  <c r="P228" i="3"/>
  <c r="O228" i="3"/>
  <c r="M228" i="3"/>
  <c r="AF228" i="3"/>
  <c r="V228" i="3"/>
  <c r="AE228" i="3"/>
  <c r="U228" i="3"/>
  <c r="D228" i="3"/>
  <c r="C228" i="3"/>
  <c r="G228" i="3"/>
  <c r="H228" i="3"/>
  <c r="F228" i="3"/>
  <c r="S228" i="3"/>
  <c r="AW226" i="3"/>
  <c r="BA225" i="3"/>
  <c r="AH227" i="3"/>
  <c r="AN227" i="3"/>
  <c r="AU226" i="3"/>
  <c r="X227" i="3"/>
  <c r="BM228" i="3"/>
  <c r="BN228" i="3"/>
  <c r="AN228" i="3"/>
  <c r="AY226" i="3"/>
  <c r="BG224" i="3"/>
  <c r="BH224" i="3"/>
  <c r="BI224" i="3"/>
  <c r="AG228" i="3"/>
  <c r="BC225" i="3"/>
  <c r="BD225" i="3"/>
  <c r="AV226" i="3"/>
  <c r="AX227" i="3"/>
  <c r="AT227" i="3"/>
  <c r="AW227" i="3"/>
  <c r="BB225" i="3"/>
  <c r="BF225" i="3"/>
  <c r="BJ224" i="3"/>
  <c r="BK224" i="3"/>
  <c r="BQ225" i="3"/>
  <c r="Y228" i="3"/>
  <c r="Z228" i="3"/>
  <c r="AU227" i="3"/>
  <c r="AO228" i="3"/>
  <c r="X228" i="3"/>
  <c r="AH228" i="3"/>
  <c r="BA226" i="3"/>
  <c r="AR229" i="3"/>
  <c r="B229" i="3"/>
  <c r="AQ229" i="3"/>
  <c r="A230" i="3"/>
  <c r="C229" i="3"/>
  <c r="AM229" i="3"/>
  <c r="AK229" i="3"/>
  <c r="S229" i="3"/>
  <c r="R229" i="3"/>
  <c r="Q229" i="3"/>
  <c r="AD229" i="3"/>
  <c r="P229" i="3"/>
  <c r="O229" i="3"/>
  <c r="AE229" i="3"/>
  <c r="AF229" i="3"/>
  <c r="M229" i="3"/>
  <c r="V229" i="3"/>
  <c r="U229" i="3"/>
  <c r="D229" i="3"/>
  <c r="F229" i="3"/>
  <c r="G229" i="3"/>
  <c r="H229" i="3"/>
  <c r="T229" i="3"/>
  <c r="BN229" i="3"/>
  <c r="BC226" i="3"/>
  <c r="BG226" i="3"/>
  <c r="BH226" i="3"/>
  <c r="BI226" i="3"/>
  <c r="AY227" i="3"/>
  <c r="AT228" i="3"/>
  <c r="AU228" i="3"/>
  <c r="AO229" i="3"/>
  <c r="BG225" i="3"/>
  <c r="BH225" i="3"/>
  <c r="BI225" i="3"/>
  <c r="AV227" i="3"/>
  <c r="BA227" i="3"/>
  <c r="BB227" i="3"/>
  <c r="AW228" i="3"/>
  <c r="AR230" i="3"/>
  <c r="B230" i="3"/>
  <c r="AQ230" i="3"/>
  <c r="A231" i="3"/>
  <c r="AK230" i="3"/>
  <c r="S230" i="3"/>
  <c r="C230" i="3"/>
  <c r="AM230" i="3"/>
  <c r="T230" i="3"/>
  <c r="Q230" i="3"/>
  <c r="AD230" i="3"/>
  <c r="O230" i="3"/>
  <c r="R230" i="3"/>
  <c r="P230" i="3"/>
  <c r="AF230" i="3"/>
  <c r="M230" i="3"/>
  <c r="V230" i="3"/>
  <c r="AE230" i="3"/>
  <c r="U230" i="3"/>
  <c r="F230" i="3"/>
  <c r="D230" i="3"/>
  <c r="G230" i="3"/>
  <c r="H230" i="3"/>
  <c r="BF226" i="3"/>
  <c r="BJ225" i="3"/>
  <c r="BK225" i="3"/>
  <c r="BQ226" i="3"/>
  <c r="BB226" i="3"/>
  <c r="Y229" i="3"/>
  <c r="Z229" i="3"/>
  <c r="BM229" i="3"/>
  <c r="AG229" i="3"/>
  <c r="AN229" i="3"/>
  <c r="AX228" i="3"/>
  <c r="AH229" i="3"/>
  <c r="X229" i="3"/>
  <c r="BD226" i="3"/>
  <c r="BC227" i="3"/>
  <c r="BD227" i="3"/>
  <c r="BQ227" i="3"/>
  <c r="AV228" i="3"/>
  <c r="BA228" i="3"/>
  <c r="BF228" i="3"/>
  <c r="BF227" i="3"/>
  <c r="BJ226" i="3"/>
  <c r="BK226" i="3"/>
  <c r="AO230" i="3"/>
  <c r="AX229" i="3"/>
  <c r="AW229" i="3"/>
  <c r="AH230" i="3"/>
  <c r="X230" i="3"/>
  <c r="AY228" i="3"/>
  <c r="Y230" i="3"/>
  <c r="Z230" i="3"/>
  <c r="AQ231" i="3"/>
  <c r="B231" i="3"/>
  <c r="A232" i="3"/>
  <c r="AR231" i="3"/>
  <c r="C231" i="3"/>
  <c r="AK231" i="3"/>
  <c r="S231" i="3"/>
  <c r="AM231" i="3"/>
  <c r="R231" i="3"/>
  <c r="Q231" i="3"/>
  <c r="P231" i="3"/>
  <c r="AD231" i="3"/>
  <c r="AE231" i="3"/>
  <c r="M231" i="3"/>
  <c r="O231" i="3"/>
  <c r="AF231" i="3"/>
  <c r="U231" i="3"/>
  <c r="V231" i="3"/>
  <c r="G231" i="3"/>
  <c r="H231" i="3"/>
  <c r="F231" i="3"/>
  <c r="D231" i="3"/>
  <c r="T231" i="3"/>
  <c r="AT229" i="3"/>
  <c r="AU229" i="3"/>
  <c r="BN230" i="3"/>
  <c r="BM230" i="3"/>
  <c r="AG230" i="3"/>
  <c r="AN230" i="3"/>
  <c r="BG227" i="3"/>
  <c r="BH227" i="3"/>
  <c r="BI227" i="3"/>
  <c r="BC228" i="3"/>
  <c r="BG228" i="3"/>
  <c r="BH228" i="3"/>
  <c r="BI228" i="3"/>
  <c r="AN231" i="3"/>
  <c r="AY229" i="3"/>
  <c r="BB228" i="3"/>
  <c r="BQ228" i="3"/>
  <c r="BM231" i="3"/>
  <c r="AO231" i="3"/>
  <c r="AH231" i="3"/>
  <c r="AT230" i="3"/>
  <c r="Y231" i="3"/>
  <c r="Z231" i="3"/>
  <c r="AV229" i="3"/>
  <c r="BA229" i="3"/>
  <c r="A233" i="3"/>
  <c r="B232" i="3"/>
  <c r="AR232" i="3"/>
  <c r="AQ232" i="3"/>
  <c r="C232" i="3"/>
  <c r="AK232" i="3"/>
  <c r="AM232" i="3"/>
  <c r="R232" i="3"/>
  <c r="D232" i="3"/>
  <c r="S232" i="3"/>
  <c r="P232" i="3"/>
  <c r="AD232" i="3"/>
  <c r="AE232" i="3"/>
  <c r="M232" i="3"/>
  <c r="O232" i="3"/>
  <c r="AF232" i="3"/>
  <c r="V232" i="3"/>
  <c r="U232" i="3"/>
  <c r="G232" i="3"/>
  <c r="H232" i="3"/>
  <c r="Q232" i="3"/>
  <c r="F232" i="3"/>
  <c r="T232" i="3"/>
  <c r="BJ227" i="3"/>
  <c r="BK227" i="3"/>
  <c r="AW230" i="3"/>
  <c r="BN231" i="3"/>
  <c r="AG231" i="3"/>
  <c r="X231" i="3"/>
  <c r="AU230" i="3"/>
  <c r="AX230" i="3"/>
  <c r="BM232" i="3"/>
  <c r="BN232" i="3"/>
  <c r="BD228" i="3"/>
  <c r="BC229" i="3"/>
  <c r="BG229" i="3"/>
  <c r="BH229" i="3"/>
  <c r="BI229" i="3"/>
  <c r="AW231" i="3"/>
  <c r="AV230" i="3"/>
  <c r="AO232" i="3"/>
  <c r="AT231" i="3"/>
  <c r="AU231" i="3"/>
  <c r="AH232" i="3"/>
  <c r="AY230" i="3"/>
  <c r="Y232" i="3"/>
  <c r="Z232" i="3"/>
  <c r="AR233" i="3"/>
  <c r="B233" i="3"/>
  <c r="AQ233" i="3"/>
  <c r="A234" i="3"/>
  <c r="D233" i="3"/>
  <c r="R233" i="3"/>
  <c r="AM233" i="3"/>
  <c r="AK233" i="3"/>
  <c r="AD233" i="3"/>
  <c r="P233" i="3"/>
  <c r="V233" i="3"/>
  <c r="O233" i="3"/>
  <c r="AE233" i="3"/>
  <c r="M233" i="3"/>
  <c r="AF233" i="3"/>
  <c r="U233" i="3"/>
  <c r="F233" i="3"/>
  <c r="Q233" i="3"/>
  <c r="C233" i="3"/>
  <c r="G233" i="3"/>
  <c r="H233" i="3"/>
  <c r="S233" i="3"/>
  <c r="T233" i="3"/>
  <c r="AX231" i="3"/>
  <c r="AG232" i="3"/>
  <c r="AN232" i="3"/>
  <c r="X232" i="3"/>
  <c r="BA230" i="3"/>
  <c r="BF229" i="3"/>
  <c r="BJ228" i="3"/>
  <c r="BK228" i="3"/>
  <c r="BQ229" i="3"/>
  <c r="BB229" i="3"/>
  <c r="BD229" i="3"/>
  <c r="AT232" i="3"/>
  <c r="BC230" i="3"/>
  <c r="BD230" i="3"/>
  <c r="AV231" i="3"/>
  <c r="BN233" i="3"/>
  <c r="BA231" i="3"/>
  <c r="BF231" i="3"/>
  <c r="AU232" i="3"/>
  <c r="AN233" i="3"/>
  <c r="AX232" i="3"/>
  <c r="X233" i="3"/>
  <c r="Y233" i="3"/>
  <c r="Z233" i="3"/>
  <c r="AY231" i="3"/>
  <c r="AW232" i="3"/>
  <c r="BM233" i="3"/>
  <c r="AG233" i="3"/>
  <c r="AH233" i="3"/>
  <c r="BF230" i="3"/>
  <c r="BJ229" i="3"/>
  <c r="BK229" i="3"/>
  <c r="BB230" i="3"/>
  <c r="BQ230" i="3"/>
  <c r="AR234" i="3"/>
  <c r="B234" i="3"/>
  <c r="AQ234" i="3"/>
  <c r="A235" i="3"/>
  <c r="AM234" i="3"/>
  <c r="R234" i="3"/>
  <c r="AK234" i="3"/>
  <c r="AD234" i="3"/>
  <c r="P234" i="3"/>
  <c r="AE234" i="3"/>
  <c r="AF234" i="3"/>
  <c r="V234" i="3"/>
  <c r="O234" i="3"/>
  <c r="M234" i="3"/>
  <c r="U234" i="3"/>
  <c r="D234" i="3"/>
  <c r="F234" i="3"/>
  <c r="Q234" i="3"/>
  <c r="C234" i="3"/>
  <c r="G234" i="3"/>
  <c r="H234" i="3"/>
  <c r="BN234" i="3"/>
  <c r="T234" i="3"/>
  <c r="S234" i="3"/>
  <c r="AO233" i="3"/>
  <c r="AV232" i="3"/>
  <c r="AO234" i="3"/>
  <c r="BG230" i="3"/>
  <c r="BH230" i="3"/>
  <c r="BI230" i="3"/>
  <c r="BC231" i="3"/>
  <c r="BD231" i="3"/>
  <c r="BM234" i="3"/>
  <c r="BB231" i="3"/>
  <c r="BQ231" i="3"/>
  <c r="AU233" i="3"/>
  <c r="AY232" i="3"/>
  <c r="BA232" i="3"/>
  <c r="BQ232" i="3"/>
  <c r="AT233" i="3"/>
  <c r="Y234" i="3"/>
  <c r="Z234" i="3"/>
  <c r="AQ235" i="3"/>
  <c r="B235" i="3"/>
  <c r="A236" i="3"/>
  <c r="AR235" i="3"/>
  <c r="D235" i="3"/>
  <c r="AM235" i="3"/>
  <c r="R235" i="3"/>
  <c r="C235" i="3"/>
  <c r="AK235" i="3"/>
  <c r="Q235" i="3"/>
  <c r="AD235" i="3"/>
  <c r="AE235" i="3"/>
  <c r="U235" i="3"/>
  <c r="O235" i="3"/>
  <c r="M235" i="3"/>
  <c r="AF235" i="3"/>
  <c r="V235" i="3"/>
  <c r="F235" i="3"/>
  <c r="G235" i="3"/>
  <c r="H235" i="3"/>
  <c r="T235" i="3"/>
  <c r="S235" i="3"/>
  <c r="P235" i="3"/>
  <c r="X234" i="3"/>
  <c r="AG234" i="3"/>
  <c r="AH234" i="3"/>
  <c r="AX233" i="3"/>
  <c r="BJ230" i="3"/>
  <c r="BK230" i="3"/>
  <c r="AN234" i="3"/>
  <c r="AW233" i="3"/>
  <c r="BC232" i="3"/>
  <c r="BG232" i="3"/>
  <c r="BH232" i="3"/>
  <c r="BI232" i="3"/>
  <c r="BN235" i="3"/>
  <c r="BM235" i="3"/>
  <c r="BB232" i="3"/>
  <c r="BG231" i="3"/>
  <c r="BH231" i="3"/>
  <c r="BI231" i="3"/>
  <c r="AN235" i="3"/>
  <c r="AV233" i="3"/>
  <c r="BF232" i="3"/>
  <c r="BJ231" i="3"/>
  <c r="AY233" i="3"/>
  <c r="AT234" i="3"/>
  <c r="AU234" i="3"/>
  <c r="Y235" i="3"/>
  <c r="Z235" i="3"/>
  <c r="A237" i="3"/>
  <c r="B236" i="3"/>
  <c r="AR236" i="3"/>
  <c r="AQ236" i="3"/>
  <c r="AM236" i="3"/>
  <c r="R236" i="3"/>
  <c r="AK236" i="3"/>
  <c r="Q236" i="3"/>
  <c r="AD236" i="3"/>
  <c r="O236" i="3"/>
  <c r="U236" i="3"/>
  <c r="P236" i="3"/>
  <c r="M236" i="3"/>
  <c r="AE236" i="3"/>
  <c r="AF236" i="3"/>
  <c r="V236" i="3"/>
  <c r="C236" i="3"/>
  <c r="G236" i="3"/>
  <c r="H236" i="3"/>
  <c r="D236" i="3"/>
  <c r="F236" i="3"/>
  <c r="S236" i="3"/>
  <c r="T236" i="3"/>
  <c r="BA233" i="3"/>
  <c r="AW234" i="3"/>
  <c r="X235" i="3"/>
  <c r="AH235" i="3"/>
  <c r="AO235" i="3"/>
  <c r="AX234" i="3"/>
  <c r="AG235" i="3"/>
  <c r="BD232" i="3"/>
  <c r="BK231" i="3"/>
  <c r="AO236" i="3"/>
  <c r="BC233" i="3"/>
  <c r="BG233" i="3"/>
  <c r="BH233" i="3"/>
  <c r="BI233" i="3"/>
  <c r="Y236" i="3"/>
  <c r="Z236" i="3"/>
  <c r="BM236" i="3"/>
  <c r="BN236" i="3"/>
  <c r="AV234" i="3"/>
  <c r="AW235" i="3"/>
  <c r="AU235" i="3"/>
  <c r="AT235" i="3"/>
  <c r="BA234" i="3"/>
  <c r="BB234" i="3"/>
  <c r="BF233" i="3"/>
  <c r="BJ232" i="3"/>
  <c r="BK232" i="3"/>
  <c r="BB233" i="3"/>
  <c r="BQ233" i="3"/>
  <c r="AR237" i="3"/>
  <c r="B237" i="3"/>
  <c r="AQ237" i="3"/>
  <c r="A238" i="3"/>
  <c r="C237" i="3"/>
  <c r="AK237" i="3"/>
  <c r="S237" i="3"/>
  <c r="T237" i="3"/>
  <c r="AM237" i="3"/>
  <c r="Q237" i="3"/>
  <c r="AD237" i="3"/>
  <c r="P237" i="3"/>
  <c r="R237" i="3"/>
  <c r="AE237" i="3"/>
  <c r="AF237" i="3"/>
  <c r="U237" i="3"/>
  <c r="O237" i="3"/>
  <c r="M237" i="3"/>
  <c r="V237" i="3"/>
  <c r="D237" i="3"/>
  <c r="G237" i="3"/>
  <c r="H237" i="3"/>
  <c r="F237" i="3"/>
  <c r="X236" i="3"/>
  <c r="AH236" i="3"/>
  <c r="AN236" i="3"/>
  <c r="AX235" i="3"/>
  <c r="AY234" i="3"/>
  <c r="AG236" i="3"/>
  <c r="BC234" i="3"/>
  <c r="BG234" i="3"/>
  <c r="BH234" i="3"/>
  <c r="BI234" i="3"/>
  <c r="BD233" i="3"/>
  <c r="BM237" i="3"/>
  <c r="AV235" i="3"/>
  <c r="AG237" i="3"/>
  <c r="AO237" i="3"/>
  <c r="BA235" i="3"/>
  <c r="BQ235" i="3"/>
  <c r="AU236" i="3"/>
  <c r="BQ234" i="3"/>
  <c r="BF234" i="3"/>
  <c r="BJ233" i="3"/>
  <c r="BK233" i="3"/>
  <c r="Y237" i="3"/>
  <c r="Z237" i="3"/>
  <c r="AX236" i="3"/>
  <c r="BN237" i="3"/>
  <c r="AH237" i="3"/>
  <c r="AN237" i="3"/>
  <c r="X237" i="3"/>
  <c r="AY235" i="3"/>
  <c r="AT236" i="3"/>
  <c r="AW236" i="3"/>
  <c r="AR238" i="3"/>
  <c r="B238" i="3"/>
  <c r="AQ238" i="3"/>
  <c r="A239" i="3"/>
  <c r="C238" i="3"/>
  <c r="D238" i="3"/>
  <c r="T238" i="3"/>
  <c r="AK238" i="3"/>
  <c r="AM238" i="3"/>
  <c r="R238" i="3"/>
  <c r="S238" i="3"/>
  <c r="AD238" i="3"/>
  <c r="P238" i="3"/>
  <c r="O238" i="3"/>
  <c r="M238" i="3"/>
  <c r="V238" i="3"/>
  <c r="AE238" i="3"/>
  <c r="AF238" i="3"/>
  <c r="U238" i="3"/>
  <c r="Q238" i="3"/>
  <c r="G238" i="3"/>
  <c r="H238" i="3"/>
  <c r="F238" i="3"/>
  <c r="BD234" i="3"/>
  <c r="BB235" i="3"/>
  <c r="AU237" i="3"/>
  <c r="BC235" i="3"/>
  <c r="BD235" i="3"/>
  <c r="BN238" i="3"/>
  <c r="AT237" i="3"/>
  <c r="AN238" i="3"/>
  <c r="BF235" i="3"/>
  <c r="BJ234" i="3"/>
  <c r="BK234" i="3"/>
  <c r="AY236" i="3"/>
  <c r="AG238" i="3"/>
  <c r="AW237" i="3"/>
  <c r="Y238" i="3"/>
  <c r="Z238" i="3"/>
  <c r="AQ239" i="3"/>
  <c r="B239" i="3"/>
  <c r="A240" i="3"/>
  <c r="AR239" i="3"/>
  <c r="AM239" i="3"/>
  <c r="AK239" i="3"/>
  <c r="R239" i="3"/>
  <c r="T239" i="3"/>
  <c r="Q239" i="3"/>
  <c r="AD239" i="3"/>
  <c r="P239" i="3"/>
  <c r="M239" i="3"/>
  <c r="O239" i="3"/>
  <c r="AE239" i="3"/>
  <c r="AF239" i="3"/>
  <c r="U239" i="3"/>
  <c r="V239" i="3"/>
  <c r="G239" i="3"/>
  <c r="H239" i="3"/>
  <c r="D239" i="3"/>
  <c r="C239" i="3"/>
  <c r="F239" i="3"/>
  <c r="S239" i="3"/>
  <c r="X238" i="3"/>
  <c r="BM238" i="3"/>
  <c r="AH238" i="3"/>
  <c r="AO238" i="3"/>
  <c r="AX237" i="3"/>
  <c r="BA236" i="3"/>
  <c r="AV236" i="3"/>
  <c r="BG235" i="3"/>
  <c r="BH235" i="3"/>
  <c r="BI235" i="3"/>
  <c r="BC236" i="3"/>
  <c r="BG236" i="3"/>
  <c r="BH236" i="3"/>
  <c r="BI236" i="3"/>
  <c r="AY237" i="3"/>
  <c r="AV237" i="3"/>
  <c r="BM239" i="3"/>
  <c r="AN239" i="3"/>
  <c r="AX238" i="3"/>
  <c r="Y239" i="3"/>
  <c r="Z239" i="3"/>
  <c r="BB236" i="3"/>
  <c r="BF236" i="3"/>
  <c r="BJ235" i="3"/>
  <c r="BQ236" i="3"/>
  <c r="AU238" i="3"/>
  <c r="AW238" i="3"/>
  <c r="BA237" i="3"/>
  <c r="AT238" i="3"/>
  <c r="X239" i="3"/>
  <c r="BN239" i="3"/>
  <c r="AG239" i="3"/>
  <c r="AH239" i="3"/>
  <c r="AO239" i="3"/>
  <c r="A241" i="3"/>
  <c r="B240" i="3"/>
  <c r="AR240" i="3"/>
  <c r="AQ240" i="3"/>
  <c r="D240" i="3"/>
  <c r="AM240" i="3"/>
  <c r="AK240" i="3"/>
  <c r="S240" i="3"/>
  <c r="Q240" i="3"/>
  <c r="T240" i="3"/>
  <c r="O240" i="3"/>
  <c r="P240" i="3"/>
  <c r="R240" i="3"/>
  <c r="AD240" i="3"/>
  <c r="M240" i="3"/>
  <c r="AE240" i="3"/>
  <c r="AF240" i="3"/>
  <c r="V240" i="3"/>
  <c r="U240" i="3"/>
  <c r="C240" i="3"/>
  <c r="F240" i="3"/>
  <c r="G240" i="3"/>
  <c r="H240" i="3"/>
  <c r="BK235" i="3"/>
  <c r="BD236" i="3"/>
  <c r="AY238" i="3"/>
  <c r="BC237" i="3"/>
  <c r="BD237" i="3"/>
  <c r="BN240" i="3"/>
  <c r="AG240" i="3"/>
  <c r="AN240" i="3"/>
  <c r="AX239" i="3"/>
  <c r="X240" i="3"/>
  <c r="Y240" i="3"/>
  <c r="Z240" i="3"/>
  <c r="AR241" i="3"/>
  <c r="B241" i="3"/>
  <c r="AQ241" i="3"/>
  <c r="A242" i="3"/>
  <c r="AK241" i="3"/>
  <c r="R241" i="3"/>
  <c r="C241" i="3"/>
  <c r="AM241" i="3"/>
  <c r="Q241" i="3"/>
  <c r="AD241" i="3"/>
  <c r="O241" i="3"/>
  <c r="M241" i="3"/>
  <c r="U241" i="3"/>
  <c r="P241" i="3"/>
  <c r="AF241" i="3"/>
  <c r="AE241" i="3"/>
  <c r="V241" i="3"/>
  <c r="D241" i="3"/>
  <c r="G241" i="3"/>
  <c r="H241" i="3"/>
  <c r="F241" i="3"/>
  <c r="S241" i="3"/>
  <c r="T241" i="3"/>
  <c r="AU239" i="3"/>
  <c r="AW239" i="3"/>
  <c r="BA238" i="3"/>
  <c r="AV238" i="3"/>
  <c r="AH240" i="3"/>
  <c r="AT239" i="3"/>
  <c r="BM240" i="3"/>
  <c r="AO240" i="3"/>
  <c r="BB237" i="3"/>
  <c r="BQ237" i="3"/>
  <c r="BF237" i="3"/>
  <c r="BJ236" i="3"/>
  <c r="BK236" i="3"/>
  <c r="AY239" i="3"/>
  <c r="BG237" i="3"/>
  <c r="BH237" i="3"/>
  <c r="BI237" i="3"/>
  <c r="BC238" i="3"/>
  <c r="BD238" i="3"/>
  <c r="AN241" i="3"/>
  <c r="BM241" i="3"/>
  <c r="AU240" i="3"/>
  <c r="AG241" i="3"/>
  <c r="AW240" i="3"/>
  <c r="AT240" i="3"/>
  <c r="Y241" i="3"/>
  <c r="Z241" i="3"/>
  <c r="BA239" i="3"/>
  <c r="AV239" i="3"/>
  <c r="BB238" i="3"/>
  <c r="BQ238" i="3"/>
  <c r="BF238" i="3"/>
  <c r="BJ237" i="3"/>
  <c r="AX240" i="3"/>
  <c r="X241" i="3"/>
  <c r="BN241" i="3"/>
  <c r="AO241" i="3"/>
  <c r="AR242" i="3"/>
  <c r="B242" i="3"/>
  <c r="AQ242" i="3"/>
  <c r="A243" i="3"/>
  <c r="C242" i="3"/>
  <c r="D242" i="3"/>
  <c r="AM242" i="3"/>
  <c r="T242" i="3"/>
  <c r="S242" i="3"/>
  <c r="Q242" i="3"/>
  <c r="AK242" i="3"/>
  <c r="AD242" i="3"/>
  <c r="P242" i="3"/>
  <c r="AE242" i="3"/>
  <c r="O242" i="3"/>
  <c r="M242" i="3"/>
  <c r="AF242" i="3"/>
  <c r="U242" i="3"/>
  <c r="V242" i="3"/>
  <c r="G242" i="3"/>
  <c r="H242" i="3"/>
  <c r="F242" i="3"/>
  <c r="R242" i="3"/>
  <c r="AH241" i="3"/>
  <c r="BM242" i="3"/>
  <c r="BN242" i="3"/>
  <c r="AY240" i="3"/>
  <c r="BC239" i="3"/>
  <c r="BG239" i="3"/>
  <c r="BH239" i="3"/>
  <c r="BI239" i="3"/>
  <c r="BK237" i="3"/>
  <c r="AO242" i="3"/>
  <c r="BG238" i="3"/>
  <c r="BH238" i="3"/>
  <c r="BI238" i="3"/>
  <c r="AX241" i="3"/>
  <c r="AV240" i="3"/>
  <c r="AG242" i="3"/>
  <c r="AW241" i="3"/>
  <c r="BA240" i="3"/>
  <c r="BQ240" i="3"/>
  <c r="BB239" i="3"/>
  <c r="BF239" i="3"/>
  <c r="BJ238" i="3"/>
  <c r="BQ239" i="3"/>
  <c r="AN242" i="3"/>
  <c r="X242" i="3"/>
  <c r="AU241" i="3"/>
  <c r="Y242" i="3"/>
  <c r="Z242" i="3"/>
  <c r="AQ243" i="3"/>
  <c r="B243" i="3"/>
  <c r="A244" i="3"/>
  <c r="AR243" i="3"/>
  <c r="D243" i="3"/>
  <c r="AM243" i="3"/>
  <c r="AK243" i="3"/>
  <c r="S243" i="3"/>
  <c r="Q243" i="3"/>
  <c r="R243" i="3"/>
  <c r="AD243" i="3"/>
  <c r="P243" i="3"/>
  <c r="O243" i="3"/>
  <c r="U243" i="3"/>
  <c r="M243" i="3"/>
  <c r="AE243" i="3"/>
  <c r="AF243" i="3"/>
  <c r="V243" i="3"/>
  <c r="C243" i="3"/>
  <c r="G243" i="3"/>
  <c r="H243" i="3"/>
  <c r="F243" i="3"/>
  <c r="T243" i="3"/>
  <c r="AH242" i="3"/>
  <c r="AT241" i="3"/>
  <c r="BM243" i="3"/>
  <c r="BD239" i="3"/>
  <c r="BC240" i="3"/>
  <c r="BG240" i="3"/>
  <c r="BH240" i="3"/>
  <c r="BI240" i="3"/>
  <c r="BK238" i="3"/>
  <c r="AY241" i="3"/>
  <c r="AV241" i="3"/>
  <c r="BB240" i="3"/>
  <c r="BN243" i="3"/>
  <c r="Y243" i="3"/>
  <c r="Z243" i="3"/>
  <c r="BF240" i="3"/>
  <c r="BJ239" i="3"/>
  <c r="BK239" i="3"/>
  <c r="AO243" i="3"/>
  <c r="AX242" i="3"/>
  <c r="AH243" i="3"/>
  <c r="AG243" i="3"/>
  <c r="AN243" i="3"/>
  <c r="BA241" i="3"/>
  <c r="AU242" i="3"/>
  <c r="A245" i="3"/>
  <c r="B244" i="3"/>
  <c r="AR244" i="3"/>
  <c r="AQ244" i="3"/>
  <c r="D244" i="3"/>
  <c r="R244" i="3"/>
  <c r="AM244" i="3"/>
  <c r="AK244" i="3"/>
  <c r="Q244" i="3"/>
  <c r="S244" i="3"/>
  <c r="P244" i="3"/>
  <c r="AD244" i="3"/>
  <c r="AE244" i="3"/>
  <c r="M244" i="3"/>
  <c r="O244" i="3"/>
  <c r="AF244" i="3"/>
  <c r="V244" i="3"/>
  <c r="U244" i="3"/>
  <c r="C244" i="3"/>
  <c r="F244" i="3"/>
  <c r="G244" i="3"/>
  <c r="H244" i="3"/>
  <c r="T244" i="3"/>
  <c r="X243" i="3"/>
  <c r="AT242" i="3"/>
  <c r="AW242" i="3"/>
  <c r="BN244" i="3"/>
  <c r="AY242" i="3"/>
  <c r="BD240" i="3"/>
  <c r="BC241" i="3"/>
  <c r="BD241" i="3"/>
  <c r="AG244" i="3"/>
  <c r="AN244" i="3"/>
  <c r="AX243" i="3"/>
  <c r="AT243" i="3"/>
  <c r="X244" i="3"/>
  <c r="AU243" i="3"/>
  <c r="AW243" i="3"/>
  <c r="BA242" i="3"/>
  <c r="Y244" i="3"/>
  <c r="Z244" i="3"/>
  <c r="BM244" i="3"/>
  <c r="AH244" i="3"/>
  <c r="AO244" i="3"/>
  <c r="AV242" i="3"/>
  <c r="AR245" i="3"/>
  <c r="B245" i="3"/>
  <c r="AQ245" i="3"/>
  <c r="A246" i="3"/>
  <c r="C245" i="3"/>
  <c r="AK245" i="3"/>
  <c r="D245" i="3"/>
  <c r="AM245" i="3"/>
  <c r="T245" i="3"/>
  <c r="Q245" i="3"/>
  <c r="R245" i="3"/>
  <c r="AD245" i="3"/>
  <c r="P245" i="3"/>
  <c r="O245" i="3"/>
  <c r="AE245" i="3"/>
  <c r="M245" i="3"/>
  <c r="U245" i="3"/>
  <c r="AF245" i="3"/>
  <c r="V245" i="3"/>
  <c r="G245" i="3"/>
  <c r="H245" i="3"/>
  <c r="F245" i="3"/>
  <c r="S245" i="3"/>
  <c r="BF241" i="3"/>
  <c r="BJ240" i="3"/>
  <c r="BK240" i="3"/>
  <c r="BB241" i="3"/>
  <c r="BQ241" i="3"/>
  <c r="BM245" i="3"/>
  <c r="BC242" i="3"/>
  <c r="BG242" i="3"/>
  <c r="BH242" i="3"/>
  <c r="BI242" i="3"/>
  <c r="AN245" i="3"/>
  <c r="BG241" i="3"/>
  <c r="BH241" i="3"/>
  <c r="BI241" i="3"/>
  <c r="AY243" i="3"/>
  <c r="AV243" i="3"/>
  <c r="BN245" i="3"/>
  <c r="AX244" i="3"/>
  <c r="AG245" i="3"/>
  <c r="AU244" i="3"/>
  <c r="AT244" i="3"/>
  <c r="AR246" i="3"/>
  <c r="B246" i="3"/>
  <c r="AQ246" i="3"/>
  <c r="A247" i="3"/>
  <c r="C246" i="3"/>
  <c r="AK246" i="3"/>
  <c r="AM246" i="3"/>
  <c r="S246" i="3"/>
  <c r="R246" i="3"/>
  <c r="AD246" i="3"/>
  <c r="Q246" i="3"/>
  <c r="O246" i="3"/>
  <c r="AE246" i="3"/>
  <c r="M246" i="3"/>
  <c r="AF246" i="3"/>
  <c r="P246" i="3"/>
  <c r="V246" i="3"/>
  <c r="U246" i="3"/>
  <c r="D246" i="3"/>
  <c r="F246" i="3"/>
  <c r="G246" i="3"/>
  <c r="H246" i="3"/>
  <c r="T246" i="3"/>
  <c r="BQ242" i="3"/>
  <c r="BB242" i="3"/>
  <c r="BF242" i="3"/>
  <c r="BJ241" i="3"/>
  <c r="BK241" i="3"/>
  <c r="X245" i="3"/>
  <c r="AH245" i="3"/>
  <c r="AO245" i="3"/>
  <c r="AW244" i="3"/>
  <c r="Y245" i="3"/>
  <c r="Z245" i="3"/>
  <c r="BA243" i="3"/>
  <c r="BD242" i="3"/>
  <c r="BN246" i="3"/>
  <c r="AU245" i="3"/>
  <c r="BC243" i="3"/>
  <c r="BD243" i="3"/>
  <c r="BM246" i="3"/>
  <c r="AY244" i="3"/>
  <c r="AV244" i="3"/>
  <c r="AW245" i="3"/>
  <c r="AT245" i="3"/>
  <c r="AO246" i="3"/>
  <c r="Y246" i="3"/>
  <c r="Z246" i="3"/>
  <c r="BF243" i="3"/>
  <c r="BQ243" i="3"/>
  <c r="BB243" i="3"/>
  <c r="AX245" i="3"/>
  <c r="AH246" i="3"/>
  <c r="AG246" i="3"/>
  <c r="AN246" i="3"/>
  <c r="X246" i="3"/>
  <c r="BA244" i="3"/>
  <c r="AQ247" i="3"/>
  <c r="B247" i="3"/>
  <c r="A248" i="3"/>
  <c r="AR247" i="3"/>
  <c r="AK247" i="3"/>
  <c r="AM247" i="3"/>
  <c r="T247" i="3"/>
  <c r="S247" i="3"/>
  <c r="R247" i="3"/>
  <c r="AD247" i="3"/>
  <c r="P247" i="3"/>
  <c r="O247" i="3"/>
  <c r="M247" i="3"/>
  <c r="AF247" i="3"/>
  <c r="AE247" i="3"/>
  <c r="V247" i="3"/>
  <c r="U247" i="3"/>
  <c r="Q247" i="3"/>
  <c r="G247" i="3"/>
  <c r="H247" i="3"/>
  <c r="D247" i="3"/>
  <c r="C247" i="3"/>
  <c r="F247" i="3"/>
  <c r="AV245" i="3"/>
  <c r="BG243" i="3"/>
  <c r="BH243" i="3"/>
  <c r="BI243" i="3"/>
  <c r="BC244" i="3"/>
  <c r="BG244" i="3"/>
  <c r="BH244" i="3"/>
  <c r="BI244" i="3"/>
  <c r="BM247" i="3"/>
  <c r="BA245" i="3"/>
  <c r="BQ245" i="3"/>
  <c r="AU246" i="3"/>
  <c r="AT246" i="3"/>
  <c r="AN247" i="3"/>
  <c r="AY245" i="3"/>
  <c r="BF244" i="3"/>
  <c r="BJ243" i="3"/>
  <c r="BK243" i="3"/>
  <c r="BQ244" i="3"/>
  <c r="BB244" i="3"/>
  <c r="A249" i="3"/>
  <c r="B248" i="3"/>
  <c r="AR248" i="3"/>
  <c r="AQ248" i="3"/>
  <c r="D248" i="3"/>
  <c r="AK248" i="3"/>
  <c r="T248" i="3"/>
  <c r="Q248" i="3"/>
  <c r="AM248" i="3"/>
  <c r="S248" i="3"/>
  <c r="R248" i="3"/>
  <c r="AD248" i="3"/>
  <c r="P248" i="3"/>
  <c r="O248" i="3"/>
  <c r="AF248" i="3"/>
  <c r="AE248" i="3"/>
  <c r="U248" i="3"/>
  <c r="V248" i="3"/>
  <c r="M248" i="3"/>
  <c r="C248" i="3"/>
  <c r="G248" i="3"/>
  <c r="H248" i="3"/>
  <c r="F248" i="3"/>
  <c r="BJ242" i="3"/>
  <c r="BK242" i="3"/>
  <c r="X247" i="3"/>
  <c r="BN247" i="3"/>
  <c r="AG247" i="3"/>
  <c r="AO247" i="3"/>
  <c r="AW246" i="3"/>
  <c r="Y247" i="3"/>
  <c r="Z247" i="3"/>
  <c r="AH247" i="3"/>
  <c r="AX246" i="3"/>
  <c r="BN248" i="3"/>
  <c r="BC245" i="3"/>
  <c r="BG245" i="3"/>
  <c r="BH245" i="3"/>
  <c r="BI245" i="3"/>
  <c r="BM248" i="3"/>
  <c r="BD244" i="3"/>
  <c r="AT247" i="3"/>
  <c r="BF245" i="3"/>
  <c r="BJ244" i="3"/>
  <c r="BK244" i="3"/>
  <c r="AV246" i="3"/>
  <c r="AO248" i="3"/>
  <c r="BB245" i="3"/>
  <c r="AY246" i="3"/>
  <c r="AH248" i="3"/>
  <c r="AG248" i="3"/>
  <c r="Y248" i="3"/>
  <c r="Z248" i="3"/>
  <c r="AR249" i="3"/>
  <c r="B249" i="3"/>
  <c r="AQ249" i="3"/>
  <c r="A250" i="3"/>
  <c r="C249" i="3"/>
  <c r="AK249" i="3"/>
  <c r="AM249" i="3"/>
  <c r="T249" i="3"/>
  <c r="Q249" i="3"/>
  <c r="P249" i="3"/>
  <c r="AD249" i="3"/>
  <c r="O249" i="3"/>
  <c r="U249" i="3"/>
  <c r="AE249" i="3"/>
  <c r="AF249" i="3"/>
  <c r="M249" i="3"/>
  <c r="V249" i="3"/>
  <c r="D249" i="3"/>
  <c r="R249" i="3"/>
  <c r="F249" i="3"/>
  <c r="G249" i="3"/>
  <c r="H249" i="3"/>
  <c r="S249" i="3"/>
  <c r="AX247" i="3"/>
  <c r="AU247" i="3"/>
  <c r="AW247" i="3"/>
  <c r="AN248" i="3"/>
  <c r="X248" i="3"/>
  <c r="BA246" i="3"/>
  <c r="BD245" i="3"/>
  <c r="BC246" i="3"/>
  <c r="BD246" i="3"/>
  <c r="AV247" i="3"/>
  <c r="AY247" i="3"/>
  <c r="BM249" i="3"/>
  <c r="AG249" i="3"/>
  <c r="AT248" i="3"/>
  <c r="AO249" i="3"/>
  <c r="AU248" i="3"/>
  <c r="BA247" i="3"/>
  <c r="BB247" i="3"/>
  <c r="Y249" i="3"/>
  <c r="Z249" i="3"/>
  <c r="BF246" i="3"/>
  <c r="BJ245" i="3"/>
  <c r="BK245" i="3"/>
  <c r="BB246" i="3"/>
  <c r="BQ246" i="3"/>
  <c r="BN249" i="3"/>
  <c r="AH249" i="3"/>
  <c r="AN249" i="3"/>
  <c r="AX248" i="3"/>
  <c r="AR250" i="3"/>
  <c r="B250" i="3"/>
  <c r="AQ250" i="3"/>
  <c r="A251" i="3"/>
  <c r="AM250" i="3"/>
  <c r="Q250" i="3"/>
  <c r="AK250" i="3"/>
  <c r="AD250" i="3"/>
  <c r="P250" i="3"/>
  <c r="T250" i="3"/>
  <c r="S250" i="3"/>
  <c r="R250" i="3"/>
  <c r="M250" i="3"/>
  <c r="AE250" i="3"/>
  <c r="U250" i="3"/>
  <c r="O250" i="3"/>
  <c r="AF250" i="3"/>
  <c r="V250" i="3"/>
  <c r="D250" i="3"/>
  <c r="C250" i="3"/>
  <c r="G250" i="3"/>
  <c r="H250" i="3"/>
  <c r="F250" i="3"/>
  <c r="X249" i="3"/>
  <c r="AW248" i="3"/>
  <c r="BM250" i="3"/>
  <c r="BN250" i="3"/>
  <c r="BG246" i="3"/>
  <c r="BH246" i="3"/>
  <c r="BI246" i="3"/>
  <c r="AV248" i="3"/>
  <c r="AO250" i="3"/>
  <c r="BC247" i="3"/>
  <c r="BD247" i="3"/>
  <c r="AU249" i="3"/>
  <c r="AG250" i="3"/>
  <c r="AX249" i="3"/>
  <c r="BQ247" i="3"/>
  <c r="AW249" i="3"/>
  <c r="BF247" i="3"/>
  <c r="BJ246" i="3"/>
  <c r="BK246" i="3"/>
  <c r="AQ251" i="3"/>
  <c r="B251" i="3"/>
  <c r="A252" i="3"/>
  <c r="AR251" i="3"/>
  <c r="D251" i="3"/>
  <c r="AK251" i="3"/>
  <c r="S251" i="3"/>
  <c r="AM251" i="3"/>
  <c r="R251" i="3"/>
  <c r="Q251" i="3"/>
  <c r="AD251" i="3"/>
  <c r="P251" i="3"/>
  <c r="O251" i="3"/>
  <c r="AF251" i="3"/>
  <c r="V251" i="3"/>
  <c r="U251" i="3"/>
  <c r="M251" i="3"/>
  <c r="AE251" i="3"/>
  <c r="F251" i="3"/>
  <c r="C251" i="3"/>
  <c r="G251" i="3"/>
  <c r="H251" i="3"/>
  <c r="T251" i="3"/>
  <c r="Y250" i="3"/>
  <c r="Z250" i="3"/>
  <c r="X250" i="3"/>
  <c r="AH250" i="3"/>
  <c r="AY248" i="3"/>
  <c r="AN250" i="3"/>
  <c r="AT249" i="3"/>
  <c r="BA248" i="3"/>
  <c r="BN251" i="3"/>
  <c r="BC248" i="3"/>
  <c r="BG248" i="3"/>
  <c r="BH248" i="3"/>
  <c r="BI248" i="3"/>
  <c r="AN251" i="3"/>
  <c r="AY249" i="3"/>
  <c r="BG247" i="3"/>
  <c r="BH247" i="3"/>
  <c r="BI247" i="3"/>
  <c r="AU250" i="3"/>
  <c r="AW250" i="3"/>
  <c r="AT250" i="3"/>
  <c r="AG251" i="3"/>
  <c r="Y251" i="3"/>
  <c r="Z251" i="3"/>
  <c r="X251" i="3"/>
  <c r="BQ248" i="3"/>
  <c r="BF248" i="3"/>
  <c r="BJ247" i="3"/>
  <c r="BK247" i="3"/>
  <c r="BB248" i="3"/>
  <c r="AV249" i="3"/>
  <c r="BA249" i="3"/>
  <c r="A253" i="3"/>
  <c r="B252" i="3"/>
  <c r="AR252" i="3"/>
  <c r="AQ252" i="3"/>
  <c r="AK252" i="3"/>
  <c r="T252" i="3"/>
  <c r="C252" i="3"/>
  <c r="AM252" i="3"/>
  <c r="AD252" i="3"/>
  <c r="Q252" i="3"/>
  <c r="P252" i="3"/>
  <c r="M252" i="3"/>
  <c r="AE252" i="3"/>
  <c r="V252" i="3"/>
  <c r="U252" i="3"/>
  <c r="O252" i="3"/>
  <c r="AF252" i="3"/>
  <c r="D252" i="3"/>
  <c r="R252" i="3"/>
  <c r="G252" i="3"/>
  <c r="H252" i="3"/>
  <c r="F252" i="3"/>
  <c r="S252" i="3"/>
  <c r="AX250" i="3"/>
  <c r="BM251" i="3"/>
  <c r="AH251" i="3"/>
  <c r="AO251" i="3"/>
  <c r="BM252" i="3"/>
  <c r="BN252" i="3"/>
  <c r="BD248" i="3"/>
  <c r="AV250" i="3"/>
  <c r="AY250" i="3"/>
  <c r="BC249" i="3"/>
  <c r="BD249" i="3"/>
  <c r="AX251" i="3"/>
  <c r="AO252" i="3"/>
  <c r="AT251" i="3"/>
  <c r="AU251" i="3"/>
  <c r="Y252" i="3"/>
  <c r="Z252" i="3"/>
  <c r="BF249" i="3"/>
  <c r="BJ248" i="3"/>
  <c r="BK248" i="3"/>
  <c r="BQ249" i="3"/>
  <c r="BB249" i="3"/>
  <c r="AW251" i="3"/>
  <c r="BA250" i="3"/>
  <c r="X252" i="3"/>
  <c r="AN252" i="3"/>
  <c r="AR253" i="3"/>
  <c r="B253" i="3"/>
  <c r="AQ253" i="3"/>
  <c r="A254" i="3"/>
  <c r="C253" i="3"/>
  <c r="AM253" i="3"/>
  <c r="S253" i="3"/>
  <c r="AK253" i="3"/>
  <c r="R253" i="3"/>
  <c r="AD253" i="3"/>
  <c r="Q253" i="3"/>
  <c r="P253" i="3"/>
  <c r="O253" i="3"/>
  <c r="V253" i="3"/>
  <c r="AF253" i="3"/>
  <c r="M253" i="3"/>
  <c r="AE253" i="3"/>
  <c r="U253" i="3"/>
  <c r="D253" i="3"/>
  <c r="G253" i="3"/>
  <c r="H253" i="3"/>
  <c r="F253" i="3"/>
  <c r="T253" i="3"/>
  <c r="AG252" i="3"/>
  <c r="AH252" i="3"/>
  <c r="BM253" i="3"/>
  <c r="AY251" i="3"/>
  <c r="BC250" i="3"/>
  <c r="BD250" i="3"/>
  <c r="BG249" i="3"/>
  <c r="BH249" i="3"/>
  <c r="BI249" i="3"/>
  <c r="AV251" i="3"/>
  <c r="AO253" i="3"/>
  <c r="AG253" i="3"/>
  <c r="AW252" i="3"/>
  <c r="BA251" i="3"/>
  <c r="BB251" i="3"/>
  <c r="AR254" i="3"/>
  <c r="B254" i="3"/>
  <c r="AQ254" i="3"/>
  <c r="A255" i="3"/>
  <c r="C254" i="3"/>
  <c r="AM254" i="3"/>
  <c r="R254" i="3"/>
  <c r="D254" i="3"/>
  <c r="AK254" i="3"/>
  <c r="Q254" i="3"/>
  <c r="P254" i="3"/>
  <c r="AD254" i="3"/>
  <c r="M254" i="3"/>
  <c r="U254" i="3"/>
  <c r="O254" i="3"/>
  <c r="AE254" i="3"/>
  <c r="AF254" i="3"/>
  <c r="V254" i="3"/>
  <c r="G254" i="3"/>
  <c r="H254" i="3"/>
  <c r="F254" i="3"/>
  <c r="T254" i="3"/>
  <c r="S254" i="3"/>
  <c r="AT252" i="3"/>
  <c r="X253" i="3"/>
  <c r="AX252" i="3"/>
  <c r="Y253" i="3"/>
  <c r="Z253" i="3"/>
  <c r="BN253" i="3"/>
  <c r="AH253" i="3"/>
  <c r="AN253" i="3"/>
  <c r="AU252" i="3"/>
  <c r="BF250" i="3"/>
  <c r="BJ249" i="3"/>
  <c r="BK249" i="3"/>
  <c r="BB250" i="3"/>
  <c r="BQ250" i="3"/>
  <c r="BC251" i="3"/>
  <c r="BD251" i="3"/>
  <c r="BG250" i="3"/>
  <c r="BH250" i="3"/>
  <c r="BI250" i="3"/>
  <c r="AU253" i="3"/>
  <c r="BM254" i="3"/>
  <c r="AT253" i="3"/>
  <c r="BQ251" i="3"/>
  <c r="AW253" i="3"/>
  <c r="AG254" i="3"/>
  <c r="AN254" i="3"/>
  <c r="BF251" i="3"/>
  <c r="BJ250" i="3"/>
  <c r="BK250" i="3"/>
  <c r="BA252" i="3"/>
  <c r="BQ252" i="3"/>
  <c r="AY252" i="3"/>
  <c r="AX253" i="3"/>
  <c r="AV252" i="3"/>
  <c r="Y254" i="3"/>
  <c r="Z254" i="3"/>
  <c r="BN254" i="3"/>
  <c r="AO254" i="3"/>
  <c r="AQ255" i="3"/>
  <c r="B255" i="3"/>
  <c r="A256" i="3"/>
  <c r="AR255" i="3"/>
  <c r="AM255" i="3"/>
  <c r="Q255" i="3"/>
  <c r="AK255" i="3"/>
  <c r="S255" i="3"/>
  <c r="AD255" i="3"/>
  <c r="O255" i="3"/>
  <c r="AE255" i="3"/>
  <c r="M255" i="3"/>
  <c r="P255" i="3"/>
  <c r="AF255" i="3"/>
  <c r="V255" i="3"/>
  <c r="U255" i="3"/>
  <c r="G255" i="3"/>
  <c r="H255" i="3"/>
  <c r="R255" i="3"/>
  <c r="D255" i="3"/>
  <c r="C255" i="3"/>
  <c r="F255" i="3"/>
  <c r="T255" i="3"/>
  <c r="X254" i="3"/>
  <c r="AH254" i="3"/>
  <c r="BG251" i="3"/>
  <c r="BH251" i="3"/>
  <c r="BI251" i="3"/>
  <c r="AV253" i="3"/>
  <c r="AO255" i="3"/>
  <c r="BA253" i="3"/>
  <c r="BF253" i="3"/>
  <c r="BM255" i="3"/>
  <c r="BN255" i="3"/>
  <c r="BF252" i="3"/>
  <c r="BJ251" i="3"/>
  <c r="BK251" i="3"/>
  <c r="AG255" i="3"/>
  <c r="AW254" i="3"/>
  <c r="BB252" i="3"/>
  <c r="AX254" i="3"/>
  <c r="AY253" i="3"/>
  <c r="Y255" i="3"/>
  <c r="Z255" i="3"/>
  <c r="X255" i="3"/>
  <c r="AT254" i="3"/>
  <c r="A257" i="3"/>
  <c r="B256" i="3"/>
  <c r="AR256" i="3"/>
  <c r="AQ256" i="3"/>
  <c r="C256" i="3"/>
  <c r="AK256" i="3"/>
  <c r="S256" i="3"/>
  <c r="AM256" i="3"/>
  <c r="R256" i="3"/>
  <c r="AD256" i="3"/>
  <c r="Q256" i="3"/>
  <c r="P256" i="3"/>
  <c r="O256" i="3"/>
  <c r="M256" i="3"/>
  <c r="AF256" i="3"/>
  <c r="V256" i="3"/>
  <c r="AE256" i="3"/>
  <c r="U256" i="3"/>
  <c r="G256" i="3"/>
  <c r="H256" i="3"/>
  <c r="D256" i="3"/>
  <c r="F256" i="3"/>
  <c r="T256" i="3"/>
  <c r="AH255" i="3"/>
  <c r="AN255" i="3"/>
  <c r="AU254" i="3"/>
  <c r="BC252" i="3"/>
  <c r="BM256" i="3"/>
  <c r="BC253" i="3"/>
  <c r="BG253" i="3"/>
  <c r="BH253" i="3"/>
  <c r="BI253" i="3"/>
  <c r="AN256" i="3"/>
  <c r="AU255" i="3"/>
  <c r="BN256" i="3"/>
  <c r="BB253" i="3"/>
  <c r="BQ253" i="3"/>
  <c r="AY254" i="3"/>
  <c r="BJ252" i="3"/>
  <c r="BK252" i="3"/>
  <c r="AW255" i="3"/>
  <c r="AG256" i="3"/>
  <c r="BD252" i="3"/>
  <c r="BG252" i="3"/>
  <c r="BH252" i="3"/>
  <c r="BI252" i="3"/>
  <c r="AX255" i="3"/>
  <c r="Y256" i="3"/>
  <c r="Z256" i="3"/>
  <c r="AH256" i="3"/>
  <c r="AO256" i="3"/>
  <c r="AT255" i="3"/>
  <c r="AR257" i="3"/>
  <c r="B257" i="3"/>
  <c r="AQ257" i="3"/>
  <c r="A258" i="3"/>
  <c r="AM257" i="3"/>
  <c r="AK257" i="3"/>
  <c r="T257" i="3"/>
  <c r="S257" i="3"/>
  <c r="Q257" i="3"/>
  <c r="R257" i="3"/>
  <c r="AD257" i="3"/>
  <c r="P257" i="3"/>
  <c r="AE257" i="3"/>
  <c r="M257" i="3"/>
  <c r="AF257" i="3"/>
  <c r="V257" i="3"/>
  <c r="U257" i="3"/>
  <c r="O257" i="3"/>
  <c r="D257" i="3"/>
  <c r="F257" i="3"/>
  <c r="C257" i="3"/>
  <c r="G257" i="3"/>
  <c r="H257" i="3"/>
  <c r="BA254" i="3"/>
  <c r="AV254" i="3"/>
  <c r="X256" i="3"/>
  <c r="BD253" i="3"/>
  <c r="BC254" i="3"/>
  <c r="BD254" i="3"/>
  <c r="AV255" i="3"/>
  <c r="AY255" i="3"/>
  <c r="AU256" i="3"/>
  <c r="AG257" i="3"/>
  <c r="AT256" i="3"/>
  <c r="AW256" i="3"/>
  <c r="AN257" i="3"/>
  <c r="AX256" i="3"/>
  <c r="BA255" i="3"/>
  <c r="BQ255" i="3"/>
  <c r="Y257" i="3"/>
  <c r="Z257" i="3"/>
  <c r="X257" i="3"/>
  <c r="BM257" i="3"/>
  <c r="AR258" i="3"/>
  <c r="B258" i="3"/>
  <c r="AQ258" i="3"/>
  <c r="A259" i="3"/>
  <c r="D258" i="3"/>
  <c r="C258" i="3"/>
  <c r="AK258" i="3"/>
  <c r="AM258" i="3"/>
  <c r="R258" i="3"/>
  <c r="Q258" i="3"/>
  <c r="AD258" i="3"/>
  <c r="P258" i="3"/>
  <c r="O258" i="3"/>
  <c r="AF258" i="3"/>
  <c r="AE258" i="3"/>
  <c r="M258" i="3"/>
  <c r="V258" i="3"/>
  <c r="U258" i="3"/>
  <c r="F258" i="3"/>
  <c r="G258" i="3"/>
  <c r="H258" i="3"/>
  <c r="S258" i="3"/>
  <c r="T258" i="3"/>
  <c r="AH257" i="3"/>
  <c r="BN257" i="3"/>
  <c r="AO257" i="3"/>
  <c r="BQ254" i="3"/>
  <c r="BB254" i="3"/>
  <c r="BF254" i="3"/>
  <c r="BJ253" i="3"/>
  <c r="BK253" i="3"/>
  <c r="BG254" i="3"/>
  <c r="BH254" i="3"/>
  <c r="BI254" i="3"/>
  <c r="BC255" i="3"/>
  <c r="BD255" i="3"/>
  <c r="AV256" i="3"/>
  <c r="AN258" i="3"/>
  <c r="BN258" i="3"/>
  <c r="AY256" i="3"/>
  <c r="AT257" i="3"/>
  <c r="AU257" i="3"/>
  <c r="BA256" i="3"/>
  <c r="BF256" i="3"/>
  <c r="AW257" i="3"/>
  <c r="BF255" i="3"/>
  <c r="BJ254" i="3"/>
  <c r="BK254" i="3"/>
  <c r="BB255" i="3"/>
  <c r="Y258" i="3"/>
  <c r="Z258" i="3"/>
  <c r="AX257" i="3"/>
  <c r="X258" i="3"/>
  <c r="BM258" i="3"/>
  <c r="AG258" i="3"/>
  <c r="AH258" i="3"/>
  <c r="AO258" i="3"/>
  <c r="AQ259" i="3"/>
  <c r="B259" i="3"/>
  <c r="A260" i="3"/>
  <c r="AR259" i="3"/>
  <c r="C259" i="3"/>
  <c r="D259" i="3"/>
  <c r="AM259" i="3"/>
  <c r="AK259" i="3"/>
  <c r="T259" i="3"/>
  <c r="Q259" i="3"/>
  <c r="R259" i="3"/>
  <c r="AD259" i="3"/>
  <c r="P259" i="3"/>
  <c r="O259" i="3"/>
  <c r="M259" i="3"/>
  <c r="AE259" i="3"/>
  <c r="V259" i="3"/>
  <c r="AF259" i="3"/>
  <c r="U259" i="3"/>
  <c r="G259" i="3"/>
  <c r="H259" i="3"/>
  <c r="F259" i="3"/>
  <c r="S259" i="3"/>
  <c r="BM259" i="3"/>
  <c r="BN259" i="3"/>
  <c r="BC256" i="3"/>
  <c r="BG256" i="3"/>
  <c r="BH256" i="3"/>
  <c r="BI256" i="3"/>
  <c r="BG255" i="3"/>
  <c r="BH255" i="3"/>
  <c r="BI255" i="3"/>
  <c r="AV257" i="3"/>
  <c r="AG259" i="3"/>
  <c r="AT258" i="3"/>
  <c r="BQ256" i="3"/>
  <c r="BB256" i="3"/>
  <c r="BA257" i="3"/>
  <c r="BF257" i="3"/>
  <c r="BJ256" i="3"/>
  <c r="BK256" i="3"/>
  <c r="AX258" i="3"/>
  <c r="BJ255" i="3"/>
  <c r="BK255" i="3"/>
  <c r="X259" i="3"/>
  <c r="AN259" i="3"/>
  <c r="AO259" i="3"/>
  <c r="Y259" i="3"/>
  <c r="Z259" i="3"/>
  <c r="A261" i="3"/>
  <c r="B260" i="3"/>
  <c r="AR260" i="3"/>
  <c r="AQ260" i="3"/>
  <c r="C260" i="3"/>
  <c r="AM260" i="3"/>
  <c r="Q260" i="3"/>
  <c r="AK260" i="3"/>
  <c r="T260" i="3"/>
  <c r="R260" i="3"/>
  <c r="AD260" i="3"/>
  <c r="P260" i="3"/>
  <c r="O260" i="3"/>
  <c r="M260" i="3"/>
  <c r="V260" i="3"/>
  <c r="AE260" i="3"/>
  <c r="AF260" i="3"/>
  <c r="U260" i="3"/>
  <c r="G260" i="3"/>
  <c r="H260" i="3"/>
  <c r="D260" i="3"/>
  <c r="F260" i="3"/>
  <c r="S260" i="3"/>
  <c r="AH259" i="3"/>
  <c r="AY257" i="3"/>
  <c r="AU258" i="3"/>
  <c r="AW258" i="3"/>
  <c r="BM260" i="3"/>
  <c r="BD256" i="3"/>
  <c r="BC257" i="3"/>
  <c r="BD257" i="3"/>
  <c r="AU259" i="3"/>
  <c r="BB257" i="3"/>
  <c r="BN260" i="3"/>
  <c r="BQ257" i="3"/>
  <c r="AV258" i="3"/>
  <c r="AY258" i="3"/>
  <c r="AW259" i="3"/>
  <c r="AT259" i="3"/>
  <c r="BA258" i="3"/>
  <c r="BQ258" i="3"/>
  <c r="Y260" i="3"/>
  <c r="Z260" i="3"/>
  <c r="AN260" i="3"/>
  <c r="AO260" i="3"/>
  <c r="AH260" i="3"/>
  <c r="AX259" i="3"/>
  <c r="X260" i="3"/>
  <c r="AG260" i="3"/>
  <c r="AR261" i="3"/>
  <c r="B261" i="3"/>
  <c r="AQ261" i="3"/>
  <c r="A262" i="3"/>
  <c r="AK261" i="3"/>
  <c r="AM261" i="3"/>
  <c r="R261" i="3"/>
  <c r="S261" i="3"/>
  <c r="AD261" i="3"/>
  <c r="P261" i="3"/>
  <c r="O261" i="3"/>
  <c r="AE261" i="3"/>
  <c r="AF261" i="3"/>
  <c r="U261" i="3"/>
  <c r="V261" i="3"/>
  <c r="M261" i="3"/>
  <c r="Q261" i="3"/>
  <c r="C261" i="3"/>
  <c r="F261" i="3"/>
  <c r="D261" i="3"/>
  <c r="G261" i="3"/>
  <c r="H261" i="3"/>
  <c r="T261" i="3"/>
  <c r="BG257" i="3"/>
  <c r="BH257" i="3"/>
  <c r="BI257" i="3"/>
  <c r="AV259" i="3"/>
  <c r="BN261" i="3"/>
  <c r="BM261" i="3"/>
  <c r="BC258" i="3"/>
  <c r="BG258" i="3"/>
  <c r="BH258" i="3"/>
  <c r="BI258" i="3"/>
  <c r="BA259" i="3"/>
  <c r="BF259" i="3"/>
  <c r="BB258" i="3"/>
  <c r="AO261" i="3"/>
  <c r="BF258" i="3"/>
  <c r="BJ257" i="3"/>
  <c r="BK257" i="3"/>
  <c r="AU260" i="3"/>
  <c r="AY259" i="3"/>
  <c r="AX260" i="3"/>
  <c r="AW260" i="3"/>
  <c r="AR262" i="3"/>
  <c r="B262" i="3"/>
  <c r="AQ262" i="3"/>
  <c r="A263" i="3"/>
  <c r="C262" i="3"/>
  <c r="D262" i="3"/>
  <c r="AM262" i="3"/>
  <c r="T262" i="3"/>
  <c r="Q262" i="3"/>
  <c r="AK262" i="3"/>
  <c r="R262" i="3"/>
  <c r="AD262" i="3"/>
  <c r="P262" i="3"/>
  <c r="AE262" i="3"/>
  <c r="V262" i="3"/>
  <c r="U262" i="3"/>
  <c r="O262" i="3"/>
  <c r="AF262" i="3"/>
  <c r="M262" i="3"/>
  <c r="G262" i="3"/>
  <c r="H262" i="3"/>
  <c r="F262" i="3"/>
  <c r="S262" i="3"/>
  <c r="AH261" i="3"/>
  <c r="AT260" i="3"/>
  <c r="Y261" i="3"/>
  <c r="Z261" i="3"/>
  <c r="X261" i="3"/>
  <c r="AG261" i="3"/>
  <c r="AN261" i="3"/>
  <c r="BM262" i="3"/>
  <c r="BN262" i="3"/>
  <c r="BD258" i="3"/>
  <c r="BB259" i="3"/>
  <c r="BC259" i="3"/>
  <c r="BD259" i="3"/>
  <c r="AN262" i="3"/>
  <c r="BJ258" i="3"/>
  <c r="BK258" i="3"/>
  <c r="BQ259" i="3"/>
  <c r="AW261" i="3"/>
  <c r="Y262" i="3"/>
  <c r="Z262" i="3"/>
  <c r="AQ263" i="3"/>
  <c r="B263" i="3"/>
  <c r="A264" i="3"/>
  <c r="AR263" i="3"/>
  <c r="C263" i="3"/>
  <c r="AK263" i="3"/>
  <c r="AM263" i="3"/>
  <c r="Q263" i="3"/>
  <c r="R263" i="3"/>
  <c r="AD263" i="3"/>
  <c r="P263" i="3"/>
  <c r="O263" i="3"/>
  <c r="AE263" i="3"/>
  <c r="AF263" i="3"/>
  <c r="U263" i="3"/>
  <c r="M263" i="3"/>
  <c r="V263" i="3"/>
  <c r="F263" i="3"/>
  <c r="D263" i="3"/>
  <c r="G263" i="3"/>
  <c r="H263" i="3"/>
  <c r="T263" i="3"/>
  <c r="S263" i="3"/>
  <c r="AX261" i="3"/>
  <c r="AU261" i="3"/>
  <c r="AT261" i="3"/>
  <c r="X262" i="3"/>
  <c r="AG262" i="3"/>
  <c r="AH262" i="3"/>
  <c r="AO262" i="3"/>
  <c r="AY260" i="3"/>
  <c r="AV260" i="3"/>
  <c r="BA260" i="3"/>
  <c r="AY261" i="3"/>
  <c r="BG259" i="3"/>
  <c r="BH259" i="3"/>
  <c r="BI259" i="3"/>
  <c r="BN263" i="3"/>
  <c r="BM263" i="3"/>
  <c r="AT262" i="3"/>
  <c r="AO263" i="3"/>
  <c r="X263" i="3"/>
  <c r="BC260" i="3"/>
  <c r="BD260" i="3"/>
  <c r="BB260" i="3"/>
  <c r="BF260" i="3"/>
  <c r="BJ259" i="3"/>
  <c r="BK259" i="3"/>
  <c r="BQ260" i="3"/>
  <c r="A265" i="3"/>
  <c r="B264" i="3"/>
  <c r="AR264" i="3"/>
  <c r="AQ264" i="3"/>
  <c r="D264" i="3"/>
  <c r="AK264" i="3"/>
  <c r="AM264" i="3"/>
  <c r="R264" i="3"/>
  <c r="P264" i="3"/>
  <c r="S264" i="3"/>
  <c r="AD264" i="3"/>
  <c r="O264" i="3"/>
  <c r="M264" i="3"/>
  <c r="AE264" i="3"/>
  <c r="AF264" i="3"/>
  <c r="V264" i="3"/>
  <c r="U264" i="3"/>
  <c r="Q264" i="3"/>
  <c r="C264" i="3"/>
  <c r="F264" i="3"/>
  <c r="G264" i="3"/>
  <c r="H264" i="3"/>
  <c r="T264" i="3"/>
  <c r="AX262" i="3"/>
  <c r="Y263" i="3"/>
  <c r="Z263" i="3"/>
  <c r="AG263" i="3"/>
  <c r="AN263" i="3"/>
  <c r="AV261" i="3"/>
  <c r="BA261" i="3"/>
  <c r="AW262" i="3"/>
  <c r="AU262" i="3"/>
  <c r="AH263" i="3"/>
  <c r="BN264" i="3"/>
  <c r="AV262" i="3"/>
  <c r="AT263" i="3"/>
  <c r="BC261" i="3"/>
  <c r="BD261" i="3"/>
  <c r="AN264" i="3"/>
  <c r="AY262" i="3"/>
  <c r="BG260" i="3"/>
  <c r="BH260" i="3"/>
  <c r="BI260" i="3"/>
  <c r="AW263" i="3"/>
  <c r="X264" i="3"/>
  <c r="BF261" i="3"/>
  <c r="BB261" i="3"/>
  <c r="BQ261" i="3"/>
  <c r="AH264" i="3"/>
  <c r="AX263" i="3"/>
  <c r="Y264" i="3"/>
  <c r="Z264" i="3"/>
  <c r="BM264" i="3"/>
  <c r="AG264" i="3"/>
  <c r="AO264" i="3"/>
  <c r="BA262" i="3"/>
  <c r="AR265" i="3"/>
  <c r="B265" i="3"/>
  <c r="AQ265" i="3"/>
  <c r="A266" i="3"/>
  <c r="AK265" i="3"/>
  <c r="S265" i="3"/>
  <c r="AM265" i="3"/>
  <c r="R265" i="3"/>
  <c r="Q265" i="3"/>
  <c r="AD265" i="3"/>
  <c r="P265" i="3"/>
  <c r="M265" i="3"/>
  <c r="AE265" i="3"/>
  <c r="V265" i="3"/>
  <c r="O265" i="3"/>
  <c r="AF265" i="3"/>
  <c r="U265" i="3"/>
  <c r="C265" i="3"/>
  <c r="D265" i="3"/>
  <c r="G265" i="3"/>
  <c r="H265" i="3"/>
  <c r="F265" i="3"/>
  <c r="T265" i="3"/>
  <c r="AU263" i="3"/>
  <c r="BC262" i="3"/>
  <c r="BG262" i="3"/>
  <c r="BH262" i="3"/>
  <c r="BI262" i="3"/>
  <c r="AV263" i="3"/>
  <c r="AU264" i="3"/>
  <c r="BG261" i="3"/>
  <c r="BH261" i="3"/>
  <c r="BI261" i="3"/>
  <c r="AY263" i="3"/>
  <c r="AN265" i="3"/>
  <c r="BN265" i="3"/>
  <c r="AT264" i="3"/>
  <c r="X265" i="3"/>
  <c r="BJ260" i="3"/>
  <c r="BK260" i="3"/>
  <c r="BM265" i="3"/>
  <c r="AG265" i="3"/>
  <c r="AO265" i="3"/>
  <c r="BA263" i="3"/>
  <c r="AW264" i="3"/>
  <c r="AX264" i="3"/>
  <c r="AR266" i="3"/>
  <c r="B266" i="3"/>
  <c r="AQ266" i="3"/>
  <c r="A267" i="3"/>
  <c r="C266" i="3"/>
  <c r="D266" i="3"/>
  <c r="S266" i="3"/>
  <c r="Q266" i="3"/>
  <c r="R266" i="3"/>
  <c r="AM266" i="3"/>
  <c r="AK266" i="3"/>
  <c r="AD266" i="3"/>
  <c r="P266" i="3"/>
  <c r="O266" i="3"/>
  <c r="M266" i="3"/>
  <c r="AF266" i="3"/>
  <c r="U266" i="3"/>
  <c r="V266" i="3"/>
  <c r="AE266" i="3"/>
  <c r="G266" i="3"/>
  <c r="H266" i="3"/>
  <c r="F266" i="3"/>
  <c r="T266" i="3"/>
  <c r="BF262" i="3"/>
  <c r="BJ261" i="3"/>
  <c r="BK261" i="3"/>
  <c r="BB262" i="3"/>
  <c r="BQ262" i="3"/>
  <c r="Y265" i="3"/>
  <c r="Z265" i="3"/>
  <c r="AH265" i="3"/>
  <c r="BM266" i="3"/>
  <c r="BD262" i="3"/>
  <c r="BN266" i="3"/>
  <c r="BC263" i="3"/>
  <c r="BD263" i="3"/>
  <c r="AV264" i="3"/>
  <c r="AO266" i="3"/>
  <c r="AN266" i="3"/>
  <c r="Y266" i="3"/>
  <c r="Z266" i="3"/>
  <c r="AX265" i="3"/>
  <c r="AG266" i="3"/>
  <c r="AT265" i="3"/>
  <c r="AW265" i="3"/>
  <c r="X266" i="3"/>
  <c r="AY264" i="3"/>
  <c r="AU265" i="3"/>
  <c r="AQ267" i="3"/>
  <c r="B267" i="3"/>
  <c r="A268" i="3"/>
  <c r="AR267" i="3"/>
  <c r="AK267" i="3"/>
  <c r="Q267" i="3"/>
  <c r="R267" i="3"/>
  <c r="D267" i="3"/>
  <c r="AM267" i="3"/>
  <c r="C267" i="3"/>
  <c r="T267" i="3"/>
  <c r="AD267" i="3"/>
  <c r="O267" i="3"/>
  <c r="M267" i="3"/>
  <c r="AE267" i="3"/>
  <c r="AF267" i="3"/>
  <c r="U267" i="3"/>
  <c r="V267" i="3"/>
  <c r="G267" i="3"/>
  <c r="H267" i="3"/>
  <c r="F267" i="3"/>
  <c r="P267" i="3"/>
  <c r="S267" i="3"/>
  <c r="BF263" i="3"/>
  <c r="BJ262" i="3"/>
  <c r="BK262" i="3"/>
  <c r="BQ263" i="3"/>
  <c r="BB263" i="3"/>
  <c r="AH266" i="3"/>
  <c r="BA264" i="3"/>
  <c r="BM267" i="3"/>
  <c r="BG263" i="3"/>
  <c r="BH263" i="3"/>
  <c r="BI263" i="3"/>
  <c r="AN267" i="3"/>
  <c r="BC264" i="3"/>
  <c r="BD264" i="3"/>
  <c r="BN267" i="3"/>
  <c r="Y267" i="3"/>
  <c r="Z267" i="3"/>
  <c r="AY265" i="3"/>
  <c r="AX266" i="3"/>
  <c r="X267" i="3"/>
  <c r="BQ264" i="3"/>
  <c r="BB264" i="3"/>
  <c r="BF264" i="3"/>
  <c r="BJ263" i="3"/>
  <c r="BK263" i="3"/>
  <c r="A269" i="3"/>
  <c r="B268" i="3"/>
  <c r="AR268" i="3"/>
  <c r="AQ268" i="3"/>
  <c r="D268" i="3"/>
  <c r="AK268" i="3"/>
  <c r="AM268" i="3"/>
  <c r="R268" i="3"/>
  <c r="S268" i="3"/>
  <c r="Q268" i="3"/>
  <c r="AD268" i="3"/>
  <c r="O268" i="3"/>
  <c r="P268" i="3"/>
  <c r="AF268" i="3"/>
  <c r="AE268" i="3"/>
  <c r="U268" i="3"/>
  <c r="M268" i="3"/>
  <c r="V268" i="3"/>
  <c r="G268" i="3"/>
  <c r="H268" i="3"/>
  <c r="C268" i="3"/>
  <c r="F268" i="3"/>
  <c r="T268" i="3"/>
  <c r="AV265" i="3"/>
  <c r="BA265" i="3"/>
  <c r="AG267" i="3"/>
  <c r="AO267" i="3"/>
  <c r="AU266" i="3"/>
  <c r="AW266" i="3"/>
  <c r="AH267" i="3"/>
  <c r="AT266" i="3"/>
  <c r="AY266" i="3"/>
  <c r="BN268" i="3"/>
  <c r="AT267" i="3"/>
  <c r="BG264" i="3"/>
  <c r="BH264" i="3"/>
  <c r="BI264" i="3"/>
  <c r="BC265" i="3"/>
  <c r="BG265" i="3"/>
  <c r="BH265" i="3"/>
  <c r="BI265" i="3"/>
  <c r="AG268" i="3"/>
  <c r="BM268" i="3"/>
  <c r="AN268" i="3"/>
  <c r="AW267" i="3"/>
  <c r="AV266" i="3"/>
  <c r="BA266" i="3"/>
  <c r="BF265" i="3"/>
  <c r="BJ264" i="3"/>
  <c r="BK264" i="3"/>
  <c r="BQ265" i="3"/>
  <c r="BB265" i="3"/>
  <c r="AX267" i="3"/>
  <c r="Y268" i="3"/>
  <c r="Z268" i="3"/>
  <c r="X268" i="3"/>
  <c r="AO268" i="3"/>
  <c r="AR269" i="3"/>
  <c r="B269" i="3"/>
  <c r="AQ269" i="3"/>
  <c r="A270" i="3"/>
  <c r="D269" i="3"/>
  <c r="AM269" i="3"/>
  <c r="S269" i="3"/>
  <c r="AK269" i="3"/>
  <c r="Q269" i="3"/>
  <c r="R269" i="3"/>
  <c r="AD269" i="3"/>
  <c r="P269" i="3"/>
  <c r="T269" i="3"/>
  <c r="AE269" i="3"/>
  <c r="O269" i="3"/>
  <c r="M269" i="3"/>
  <c r="U269" i="3"/>
  <c r="AF269" i="3"/>
  <c r="V269" i="3"/>
  <c r="C269" i="3"/>
  <c r="F269" i="3"/>
  <c r="G269" i="3"/>
  <c r="H269" i="3"/>
  <c r="AU267" i="3"/>
  <c r="AH268" i="3"/>
  <c r="BC266" i="3"/>
  <c r="BG266" i="3"/>
  <c r="BH266" i="3"/>
  <c r="BI266" i="3"/>
  <c r="BD265" i="3"/>
  <c r="AY267" i="3"/>
  <c r="AX268" i="3"/>
  <c r="BM269" i="3"/>
  <c r="BN269" i="3"/>
  <c r="AT268" i="3"/>
  <c r="BA267" i="3"/>
  <c r="BF267" i="3"/>
  <c r="Y269" i="3"/>
  <c r="Z269" i="3"/>
  <c r="AW268" i="3"/>
  <c r="AH269" i="3"/>
  <c r="AN269" i="3"/>
  <c r="AO269" i="3"/>
  <c r="AR270" i="3"/>
  <c r="B270" i="3"/>
  <c r="AQ270" i="3"/>
  <c r="A271" i="3"/>
  <c r="AK270" i="3"/>
  <c r="AM270" i="3"/>
  <c r="C270" i="3"/>
  <c r="T270" i="3"/>
  <c r="R270" i="3"/>
  <c r="S270" i="3"/>
  <c r="Q270" i="3"/>
  <c r="AD270" i="3"/>
  <c r="P270" i="3"/>
  <c r="O270" i="3"/>
  <c r="V270" i="3"/>
  <c r="M270" i="3"/>
  <c r="AF270" i="3"/>
  <c r="AE270" i="3"/>
  <c r="U270" i="3"/>
  <c r="D270" i="3"/>
  <c r="G270" i="3"/>
  <c r="H270" i="3"/>
  <c r="F270" i="3"/>
  <c r="BB266" i="3"/>
  <c r="BQ266" i="3"/>
  <c r="BF266" i="3"/>
  <c r="BJ265" i="3"/>
  <c r="BK265" i="3"/>
  <c r="X269" i="3"/>
  <c r="AG269" i="3"/>
  <c r="AU268" i="3"/>
  <c r="AV267" i="3"/>
  <c r="BD266" i="3"/>
  <c r="AY268" i="3"/>
  <c r="BC267" i="3"/>
  <c r="BG267" i="3"/>
  <c r="BH267" i="3"/>
  <c r="BI267" i="3"/>
  <c r="BB267" i="3"/>
  <c r="BN270" i="3"/>
  <c r="AV268" i="3"/>
  <c r="AO270" i="3"/>
  <c r="BQ267" i="3"/>
  <c r="AW269" i="3"/>
  <c r="BJ266" i="3"/>
  <c r="BK266" i="3"/>
  <c r="BA268" i="3"/>
  <c r="AU269" i="3"/>
  <c r="Y270" i="3"/>
  <c r="Z270" i="3"/>
  <c r="AQ271" i="3"/>
  <c r="B271" i="3"/>
  <c r="A272" i="3"/>
  <c r="AR271" i="3"/>
  <c r="AK271" i="3"/>
  <c r="AM271" i="3"/>
  <c r="T271" i="3"/>
  <c r="R271" i="3"/>
  <c r="Q271" i="3"/>
  <c r="O271" i="3"/>
  <c r="AD271" i="3"/>
  <c r="P271" i="3"/>
  <c r="AE271" i="3"/>
  <c r="AF271" i="3"/>
  <c r="M271" i="3"/>
  <c r="U271" i="3"/>
  <c r="V271" i="3"/>
  <c r="G271" i="3"/>
  <c r="H271" i="3"/>
  <c r="C271" i="3"/>
  <c r="D271" i="3"/>
  <c r="F271" i="3"/>
  <c r="S271" i="3"/>
  <c r="AT269" i="3"/>
  <c r="AX269" i="3"/>
  <c r="X270" i="3"/>
  <c r="BM270" i="3"/>
  <c r="AG270" i="3"/>
  <c r="AH270" i="3"/>
  <c r="AN270" i="3"/>
  <c r="BC268" i="3"/>
  <c r="BD268" i="3"/>
  <c r="BM271" i="3"/>
  <c r="BD267" i="3"/>
  <c r="AG271" i="3"/>
  <c r="AY269" i="3"/>
  <c r="AN271" i="3"/>
  <c r="AW270" i="3"/>
  <c r="AO271" i="3"/>
  <c r="AU270" i="3"/>
  <c r="BA269" i="3"/>
  <c r="AV269" i="3"/>
  <c r="A273" i="3"/>
  <c r="B272" i="3"/>
  <c r="AR272" i="3"/>
  <c r="AQ272" i="3"/>
  <c r="C272" i="3"/>
  <c r="AM272" i="3"/>
  <c r="T272" i="3"/>
  <c r="AK272" i="3"/>
  <c r="Q272" i="3"/>
  <c r="R272" i="3"/>
  <c r="P272" i="3"/>
  <c r="AD272" i="3"/>
  <c r="M272" i="3"/>
  <c r="AE272" i="3"/>
  <c r="O272" i="3"/>
  <c r="AF272" i="3"/>
  <c r="U272" i="3"/>
  <c r="V272" i="3"/>
  <c r="G272" i="3"/>
  <c r="H272" i="3"/>
  <c r="F272" i="3"/>
  <c r="D272" i="3"/>
  <c r="S272" i="3"/>
  <c r="BF268" i="3"/>
  <c r="BJ267" i="3"/>
  <c r="BK267" i="3"/>
  <c r="BQ268" i="3"/>
  <c r="BB268" i="3"/>
  <c r="AH271" i="3"/>
  <c r="Y271" i="3"/>
  <c r="Z271" i="3"/>
  <c r="AT270" i="3"/>
  <c r="AX270" i="3"/>
  <c r="X271" i="3"/>
  <c r="BN271" i="3"/>
  <c r="BG268" i="3"/>
  <c r="BH268" i="3"/>
  <c r="BI268" i="3"/>
  <c r="AO272" i="3"/>
  <c r="BM272" i="3"/>
  <c r="BC269" i="3"/>
  <c r="BG269" i="3"/>
  <c r="BH269" i="3"/>
  <c r="BI269" i="3"/>
  <c r="AY270" i="3"/>
  <c r="AX271" i="3"/>
  <c r="AT271" i="3"/>
  <c r="AU271" i="3"/>
  <c r="AW271" i="3"/>
  <c r="X272" i="3"/>
  <c r="AV270" i="3"/>
  <c r="BA270" i="3"/>
  <c r="Y272" i="3"/>
  <c r="Z272" i="3"/>
  <c r="AR273" i="3"/>
  <c r="B273" i="3"/>
  <c r="AQ273" i="3"/>
  <c r="A274" i="3"/>
  <c r="R273" i="3"/>
  <c r="AM273" i="3"/>
  <c r="AK273" i="3"/>
  <c r="S273" i="3"/>
  <c r="Q273" i="3"/>
  <c r="AD273" i="3"/>
  <c r="P273" i="3"/>
  <c r="AF273" i="3"/>
  <c r="U273" i="3"/>
  <c r="O273" i="3"/>
  <c r="AE273" i="3"/>
  <c r="M273" i="3"/>
  <c r="V273" i="3"/>
  <c r="D273" i="3"/>
  <c r="F273" i="3"/>
  <c r="C273" i="3"/>
  <c r="G273" i="3"/>
  <c r="H273" i="3"/>
  <c r="T273" i="3"/>
  <c r="BF269" i="3"/>
  <c r="BJ268" i="3"/>
  <c r="BK268" i="3"/>
  <c r="BB269" i="3"/>
  <c r="BQ269" i="3"/>
  <c r="BN272" i="3"/>
  <c r="AG272" i="3"/>
  <c r="AH272" i="3"/>
  <c r="AN272" i="3"/>
  <c r="BD269" i="3"/>
  <c r="BC270" i="3"/>
  <c r="BD270" i="3"/>
  <c r="BN273" i="3"/>
  <c r="BM273" i="3"/>
  <c r="AU272" i="3"/>
  <c r="AV271" i="3"/>
  <c r="AY271" i="3"/>
  <c r="AO273" i="3"/>
  <c r="BA271" i="3"/>
  <c r="BB271" i="3"/>
  <c r="AG273" i="3"/>
  <c r="AR274" i="3"/>
  <c r="B274" i="3"/>
  <c r="AQ274" i="3"/>
  <c r="A275" i="3"/>
  <c r="C274" i="3"/>
  <c r="AK274" i="3"/>
  <c r="S274" i="3"/>
  <c r="AM274" i="3"/>
  <c r="T274" i="3"/>
  <c r="Q274" i="3"/>
  <c r="AD274" i="3"/>
  <c r="P274" i="3"/>
  <c r="O274" i="3"/>
  <c r="M274" i="3"/>
  <c r="AF274" i="3"/>
  <c r="AE274" i="3"/>
  <c r="V274" i="3"/>
  <c r="U274" i="3"/>
  <c r="R274" i="3"/>
  <c r="D274" i="3"/>
  <c r="G274" i="3"/>
  <c r="H274" i="3"/>
  <c r="F274" i="3"/>
  <c r="BQ270" i="3"/>
  <c r="BF270" i="3"/>
  <c r="BJ269" i="3"/>
  <c r="BK269" i="3"/>
  <c r="BB270" i="3"/>
  <c r="AT272" i="3"/>
  <c r="AX272" i="3"/>
  <c r="Y273" i="3"/>
  <c r="Z273" i="3"/>
  <c r="X273" i="3"/>
  <c r="AH273" i="3"/>
  <c r="AN273" i="3"/>
  <c r="AW272" i="3"/>
  <c r="BG270" i="3"/>
  <c r="BH270" i="3"/>
  <c r="BI270" i="3"/>
  <c r="AN274" i="3"/>
  <c r="BM274" i="3"/>
  <c r="BC271" i="3"/>
  <c r="BG271" i="3"/>
  <c r="BH271" i="3"/>
  <c r="BI271" i="3"/>
  <c r="AW273" i="3"/>
  <c r="BQ271" i="3"/>
  <c r="BF271" i="3"/>
  <c r="BJ270" i="3"/>
  <c r="BK270" i="3"/>
  <c r="AX273" i="3"/>
  <c r="AG274" i="3"/>
  <c r="BA272" i="3"/>
  <c r="AV272" i="3"/>
  <c r="Y274" i="3"/>
  <c r="Z274" i="3"/>
  <c r="AU273" i="3"/>
  <c r="AY272" i="3"/>
  <c r="AT273" i="3"/>
  <c r="BN274" i="3"/>
  <c r="AH274" i="3"/>
  <c r="X274" i="3"/>
  <c r="AQ275" i="3"/>
  <c r="B275" i="3"/>
  <c r="A276" i="3"/>
  <c r="AR275" i="3"/>
  <c r="AM275" i="3"/>
  <c r="AK275" i="3"/>
  <c r="R275" i="3"/>
  <c r="AD275" i="3"/>
  <c r="P275" i="3"/>
  <c r="O275" i="3"/>
  <c r="M275" i="3"/>
  <c r="AE275" i="3"/>
  <c r="AF275" i="3"/>
  <c r="V275" i="3"/>
  <c r="U275" i="3"/>
  <c r="D275" i="3"/>
  <c r="G275" i="3"/>
  <c r="H275" i="3"/>
  <c r="F275" i="3"/>
  <c r="Q275" i="3"/>
  <c r="C275" i="3"/>
  <c r="S275" i="3"/>
  <c r="T275" i="3"/>
  <c r="AO274" i="3"/>
  <c r="AT274" i="3"/>
  <c r="AU274" i="3"/>
  <c r="AW274" i="3"/>
  <c r="BN275" i="3"/>
  <c r="AN275" i="3"/>
  <c r="BD271" i="3"/>
  <c r="AY273" i="3"/>
  <c r="X275" i="3"/>
  <c r="Y275" i="3"/>
  <c r="Z275" i="3"/>
  <c r="BF272" i="3"/>
  <c r="BJ271" i="3"/>
  <c r="BK271" i="3"/>
  <c r="BQ272" i="3"/>
  <c r="BB272" i="3"/>
  <c r="BM275" i="3"/>
  <c r="AG275" i="3"/>
  <c r="AH275" i="3"/>
  <c r="AO275" i="3"/>
  <c r="A277" i="3"/>
  <c r="B276" i="3"/>
  <c r="AR276" i="3"/>
  <c r="AQ276" i="3"/>
  <c r="AK276" i="3"/>
  <c r="S276" i="3"/>
  <c r="R276" i="3"/>
  <c r="C276" i="3"/>
  <c r="AM276" i="3"/>
  <c r="P276" i="3"/>
  <c r="Q276" i="3"/>
  <c r="AD276" i="3"/>
  <c r="M276" i="3"/>
  <c r="O276" i="3"/>
  <c r="AE276" i="3"/>
  <c r="U276" i="3"/>
  <c r="AF276" i="3"/>
  <c r="V276" i="3"/>
  <c r="D276" i="3"/>
  <c r="G276" i="3"/>
  <c r="H276" i="3"/>
  <c r="F276" i="3"/>
  <c r="T276" i="3"/>
  <c r="AV273" i="3"/>
  <c r="BA273" i="3"/>
  <c r="AX274" i="3"/>
  <c r="BC272" i="3"/>
  <c r="AN276" i="3"/>
  <c r="AV274" i="3"/>
  <c r="BA274" i="3"/>
  <c r="BF274" i="3"/>
  <c r="BC273" i="3"/>
  <c r="BG273" i="3"/>
  <c r="BH273" i="3"/>
  <c r="BI273" i="3"/>
  <c r="BN276" i="3"/>
  <c r="AT275" i="3"/>
  <c r="AH276" i="3"/>
  <c r="AX275" i="3"/>
  <c r="AU275" i="3"/>
  <c r="BB273" i="3"/>
  <c r="BF273" i="3"/>
  <c r="BJ272" i="3"/>
  <c r="BK272" i="3"/>
  <c r="BQ273" i="3"/>
  <c r="BD272" i="3"/>
  <c r="BG272" i="3"/>
  <c r="BH272" i="3"/>
  <c r="BI272" i="3"/>
  <c r="AR277" i="3"/>
  <c r="B277" i="3"/>
  <c r="AQ277" i="3"/>
  <c r="A278" i="3"/>
  <c r="D277" i="3"/>
  <c r="T277" i="3"/>
  <c r="AM277" i="3"/>
  <c r="AK277" i="3"/>
  <c r="S277" i="3"/>
  <c r="R277" i="3"/>
  <c r="Q277" i="3"/>
  <c r="P277" i="3"/>
  <c r="AD277" i="3"/>
  <c r="O277" i="3"/>
  <c r="M277" i="3"/>
  <c r="AF277" i="3"/>
  <c r="U277" i="3"/>
  <c r="AE277" i="3"/>
  <c r="V277" i="3"/>
  <c r="G277" i="3"/>
  <c r="H277" i="3"/>
  <c r="F277" i="3"/>
  <c r="C277" i="3"/>
  <c r="Y276" i="3"/>
  <c r="Z276" i="3"/>
  <c r="X276" i="3"/>
  <c r="BM276" i="3"/>
  <c r="AG276" i="3"/>
  <c r="AO276" i="3"/>
  <c r="AW275" i="3"/>
  <c r="AY274" i="3"/>
  <c r="BC274" i="3"/>
  <c r="BD274" i="3"/>
  <c r="BD273" i="3"/>
  <c r="BQ274" i="3"/>
  <c r="BB274" i="3"/>
  <c r="BN277" i="3"/>
  <c r="AU276" i="3"/>
  <c r="AV275" i="3"/>
  <c r="AY275" i="3"/>
  <c r="AW276" i="3"/>
  <c r="AO277" i="3"/>
  <c r="X277" i="3"/>
  <c r="AG277" i="3"/>
  <c r="BA275" i="3"/>
  <c r="BB275" i="3"/>
  <c r="Y277" i="3"/>
  <c r="Z277" i="3"/>
  <c r="BJ273" i="3"/>
  <c r="BK273" i="3"/>
  <c r="AT276" i="3"/>
  <c r="AX276" i="3"/>
  <c r="BM277" i="3"/>
  <c r="AH277" i="3"/>
  <c r="AN277" i="3"/>
  <c r="AR278" i="3"/>
  <c r="B278" i="3"/>
  <c r="AQ278" i="3"/>
  <c r="A279" i="3"/>
  <c r="D278" i="3"/>
  <c r="C278" i="3"/>
  <c r="AK278" i="3"/>
  <c r="S278" i="3"/>
  <c r="Q278" i="3"/>
  <c r="AM278" i="3"/>
  <c r="R278" i="3"/>
  <c r="AD278" i="3"/>
  <c r="AE278" i="3"/>
  <c r="P278" i="3"/>
  <c r="M278" i="3"/>
  <c r="AF278" i="3"/>
  <c r="O278" i="3"/>
  <c r="V278" i="3"/>
  <c r="U278" i="3"/>
  <c r="G278" i="3"/>
  <c r="H278" i="3"/>
  <c r="F278" i="3"/>
  <c r="T278" i="3"/>
  <c r="BG274" i="3"/>
  <c r="BH274" i="3"/>
  <c r="BI274" i="3"/>
  <c r="AU277" i="3"/>
  <c r="BM278" i="3"/>
  <c r="BC275" i="3"/>
  <c r="BG275" i="3"/>
  <c r="BH275" i="3"/>
  <c r="BI275" i="3"/>
  <c r="AY276" i="3"/>
  <c r="AO278" i="3"/>
  <c r="AT277" i="3"/>
  <c r="AW277" i="3"/>
  <c r="AG278" i="3"/>
  <c r="BF275" i="3"/>
  <c r="BJ274" i="3"/>
  <c r="BK274" i="3"/>
  <c r="BQ275" i="3"/>
  <c r="AV276" i="3"/>
  <c r="BA276" i="3"/>
  <c r="AQ279" i="3"/>
  <c r="B279" i="3"/>
  <c r="A280" i="3"/>
  <c r="AR279" i="3"/>
  <c r="AK279" i="3"/>
  <c r="Q279" i="3"/>
  <c r="AM279" i="3"/>
  <c r="T279" i="3"/>
  <c r="AD279" i="3"/>
  <c r="R279" i="3"/>
  <c r="P279" i="3"/>
  <c r="O279" i="3"/>
  <c r="M279" i="3"/>
  <c r="AE279" i="3"/>
  <c r="AF279" i="3"/>
  <c r="V279" i="3"/>
  <c r="U279" i="3"/>
  <c r="D279" i="3"/>
  <c r="F279" i="3"/>
  <c r="C279" i="3"/>
  <c r="G279" i="3"/>
  <c r="H279" i="3"/>
  <c r="S279" i="3"/>
  <c r="Y278" i="3"/>
  <c r="Z278" i="3"/>
  <c r="BN278" i="3"/>
  <c r="AH278" i="3"/>
  <c r="AN278" i="3"/>
  <c r="X278" i="3"/>
  <c r="AX277" i="3"/>
  <c r="AN279" i="3"/>
  <c r="AU278" i="3"/>
  <c r="AV277" i="3"/>
  <c r="BM279" i="3"/>
  <c r="AY277" i="3"/>
  <c r="BD275" i="3"/>
  <c r="BC276" i="3"/>
  <c r="BD276" i="3"/>
  <c r="AH279" i="3"/>
  <c r="AT278" i="3"/>
  <c r="AW278" i="3"/>
  <c r="Y279" i="3"/>
  <c r="Z279" i="3"/>
  <c r="BN279" i="3"/>
  <c r="A281" i="3"/>
  <c r="B280" i="3"/>
  <c r="AR280" i="3"/>
  <c r="AQ280" i="3"/>
  <c r="D280" i="3"/>
  <c r="AM280" i="3"/>
  <c r="AK280" i="3"/>
  <c r="S280" i="3"/>
  <c r="Q280" i="3"/>
  <c r="C280" i="3"/>
  <c r="T280" i="3"/>
  <c r="AD280" i="3"/>
  <c r="R280" i="3"/>
  <c r="P280" i="3"/>
  <c r="AE280" i="3"/>
  <c r="M280" i="3"/>
  <c r="V280" i="3"/>
  <c r="O280" i="3"/>
  <c r="AF280" i="3"/>
  <c r="U280" i="3"/>
  <c r="G280" i="3"/>
  <c r="H280" i="3"/>
  <c r="F280" i="3"/>
  <c r="BF276" i="3"/>
  <c r="BJ275" i="3"/>
  <c r="BK275" i="3"/>
  <c r="BB276" i="3"/>
  <c r="BQ276" i="3"/>
  <c r="AO279" i="3"/>
  <c r="AX278" i="3"/>
  <c r="BA277" i="3"/>
  <c r="X279" i="3"/>
  <c r="AG279" i="3"/>
  <c r="BN280" i="3"/>
  <c r="BM280" i="3"/>
  <c r="AW279" i="3"/>
  <c r="BC277" i="3"/>
  <c r="BG277" i="3"/>
  <c r="BH277" i="3"/>
  <c r="BI277" i="3"/>
  <c r="AV278" i="3"/>
  <c r="BG276" i="3"/>
  <c r="BH276" i="3"/>
  <c r="BI276" i="3"/>
  <c r="AY278" i="3"/>
  <c r="AO280" i="3"/>
  <c r="BB277" i="3"/>
  <c r="BQ277" i="3"/>
  <c r="BF277" i="3"/>
  <c r="BJ276" i="3"/>
  <c r="BK276" i="3"/>
  <c r="AG280" i="3"/>
  <c r="AT279" i="3"/>
  <c r="AH280" i="3"/>
  <c r="X280" i="3"/>
  <c r="AN280" i="3"/>
  <c r="BA278" i="3"/>
  <c r="AU279" i="3"/>
  <c r="Y280" i="3"/>
  <c r="Z280" i="3"/>
  <c r="AR281" i="3"/>
  <c r="B281" i="3"/>
  <c r="AQ281" i="3"/>
  <c r="A282" i="3"/>
  <c r="S281" i="3"/>
  <c r="T281" i="3"/>
  <c r="AK281" i="3"/>
  <c r="AM281" i="3"/>
  <c r="Q281" i="3"/>
  <c r="P281" i="3"/>
  <c r="AD281" i="3"/>
  <c r="AE281" i="3"/>
  <c r="U281" i="3"/>
  <c r="O281" i="3"/>
  <c r="AF281" i="3"/>
  <c r="M281" i="3"/>
  <c r="V281" i="3"/>
  <c r="R281" i="3"/>
  <c r="D281" i="3"/>
  <c r="F281" i="3"/>
  <c r="C281" i="3"/>
  <c r="G281" i="3"/>
  <c r="H281" i="3"/>
  <c r="AX279" i="3"/>
  <c r="AY279" i="3"/>
  <c r="AT280" i="3"/>
  <c r="BD277" i="3"/>
  <c r="BC278" i="3"/>
  <c r="BD278" i="3"/>
  <c r="AU280" i="3"/>
  <c r="BM281" i="3"/>
  <c r="AG281" i="3"/>
  <c r="AN281" i="3"/>
  <c r="Y281" i="3"/>
  <c r="Z281" i="3"/>
  <c r="BN281" i="3"/>
  <c r="BB278" i="3"/>
  <c r="BF278" i="3"/>
  <c r="BJ277" i="3"/>
  <c r="BK277" i="3"/>
  <c r="BQ278" i="3"/>
  <c r="X281" i="3"/>
  <c r="AH281" i="3"/>
  <c r="AO281" i="3"/>
  <c r="AX280" i="3"/>
  <c r="AW280" i="3"/>
  <c r="AR282" i="3"/>
  <c r="B282" i="3"/>
  <c r="AQ282" i="3"/>
  <c r="A283" i="3"/>
  <c r="C282" i="3"/>
  <c r="T282" i="3"/>
  <c r="AM282" i="3"/>
  <c r="AK282" i="3"/>
  <c r="S282" i="3"/>
  <c r="R282" i="3"/>
  <c r="Q282" i="3"/>
  <c r="P282" i="3"/>
  <c r="AD282" i="3"/>
  <c r="O282" i="3"/>
  <c r="AF282" i="3"/>
  <c r="M282" i="3"/>
  <c r="AE282" i="3"/>
  <c r="U282" i="3"/>
  <c r="V282" i="3"/>
  <c r="F282" i="3"/>
  <c r="D282" i="3"/>
  <c r="G282" i="3"/>
  <c r="H282" i="3"/>
  <c r="BA279" i="3"/>
  <c r="AV279" i="3"/>
  <c r="BC279" i="3"/>
  <c r="BG279" i="3"/>
  <c r="BH279" i="3"/>
  <c r="BI279" i="3"/>
  <c r="AV280" i="3"/>
  <c r="BG278" i="3"/>
  <c r="BH278" i="3"/>
  <c r="BI278" i="3"/>
  <c r="AU281" i="3"/>
  <c r="AN282" i="3"/>
  <c r="AG282" i="3"/>
  <c r="AX281" i="3"/>
  <c r="AY280" i="3"/>
  <c r="AQ283" i="3"/>
  <c r="B283" i="3"/>
  <c r="A284" i="3"/>
  <c r="AR283" i="3"/>
  <c r="C283" i="3"/>
  <c r="AK283" i="3"/>
  <c r="AM283" i="3"/>
  <c r="AD283" i="3"/>
  <c r="P283" i="3"/>
  <c r="R283" i="3"/>
  <c r="Q283" i="3"/>
  <c r="O283" i="3"/>
  <c r="AE283" i="3"/>
  <c r="AF283" i="3"/>
  <c r="M283" i="3"/>
  <c r="V283" i="3"/>
  <c r="U283" i="3"/>
  <c r="D283" i="3"/>
  <c r="G283" i="3"/>
  <c r="H283" i="3"/>
  <c r="F283" i="3"/>
  <c r="T283" i="3"/>
  <c r="S283" i="3"/>
  <c r="AH282" i="3"/>
  <c r="BN282" i="3"/>
  <c r="BM282" i="3"/>
  <c r="AO282" i="3"/>
  <c r="AT281" i="3"/>
  <c r="AW281" i="3"/>
  <c r="BQ279" i="3"/>
  <c r="BB279" i="3"/>
  <c r="BF279" i="3"/>
  <c r="BJ278" i="3"/>
  <c r="BK278" i="3"/>
  <c r="Y282" i="3"/>
  <c r="Z282" i="3"/>
  <c r="X282" i="3"/>
  <c r="BA280" i="3"/>
  <c r="BD279" i="3"/>
  <c r="BC280" i="3"/>
  <c r="BG280" i="3"/>
  <c r="BH280" i="3"/>
  <c r="BI280" i="3"/>
  <c r="BN283" i="3"/>
  <c r="AO283" i="3"/>
  <c r="BM283" i="3"/>
  <c r="AT282" i="3"/>
  <c r="AY281" i="3"/>
  <c r="AW282" i="3"/>
  <c r="Y283" i="3"/>
  <c r="Z283" i="3"/>
  <c r="AN283" i="3"/>
  <c r="X283" i="3"/>
  <c r="AH283" i="3"/>
  <c r="BQ280" i="3"/>
  <c r="BF280" i="3"/>
  <c r="BJ279" i="3"/>
  <c r="BK279" i="3"/>
  <c r="BB280" i="3"/>
  <c r="AV281" i="3"/>
  <c r="BA281" i="3"/>
  <c r="A285" i="3"/>
  <c r="B284" i="3"/>
  <c r="AR284" i="3"/>
  <c r="AQ284" i="3"/>
  <c r="C284" i="3"/>
  <c r="AM284" i="3"/>
  <c r="AK284" i="3"/>
  <c r="S284" i="3"/>
  <c r="AD284" i="3"/>
  <c r="T284" i="3"/>
  <c r="Q284" i="3"/>
  <c r="P284" i="3"/>
  <c r="M284" i="3"/>
  <c r="O284" i="3"/>
  <c r="AE284" i="3"/>
  <c r="V284" i="3"/>
  <c r="AF284" i="3"/>
  <c r="U284" i="3"/>
  <c r="R284" i="3"/>
  <c r="F284" i="3"/>
  <c r="G284" i="3"/>
  <c r="H284" i="3"/>
  <c r="D284" i="3"/>
  <c r="AU282" i="3"/>
  <c r="AG283" i="3"/>
  <c r="AX282" i="3"/>
  <c r="BD280" i="3"/>
  <c r="BM284" i="3"/>
  <c r="BC281" i="3"/>
  <c r="BD281" i="3"/>
  <c r="AY282" i="3"/>
  <c r="AN284" i="3"/>
  <c r="AU283" i="3"/>
  <c r="AX283" i="3"/>
  <c r="BA282" i="3"/>
  <c r="BF282" i="3"/>
  <c r="Y284" i="3"/>
  <c r="Z284" i="3"/>
  <c r="AT283" i="3"/>
  <c r="AW283" i="3"/>
  <c r="AR285" i="3"/>
  <c r="B285" i="3"/>
  <c r="AQ285" i="3"/>
  <c r="A286" i="3"/>
  <c r="C285" i="3"/>
  <c r="AK285" i="3"/>
  <c r="AM285" i="3"/>
  <c r="R285" i="3"/>
  <c r="AD285" i="3"/>
  <c r="P285" i="3"/>
  <c r="O285" i="3"/>
  <c r="AE285" i="3"/>
  <c r="M285" i="3"/>
  <c r="AF285" i="3"/>
  <c r="U285" i="3"/>
  <c r="V285" i="3"/>
  <c r="Q285" i="3"/>
  <c r="D285" i="3"/>
  <c r="G285" i="3"/>
  <c r="H285" i="3"/>
  <c r="F285" i="3"/>
  <c r="T285" i="3"/>
  <c r="S285" i="3"/>
  <c r="BN284" i="3"/>
  <c r="AG284" i="3"/>
  <c r="AH284" i="3"/>
  <c r="AO284" i="3"/>
  <c r="X284" i="3"/>
  <c r="AV282" i="3"/>
  <c r="BQ281" i="3"/>
  <c r="BF281" i="3"/>
  <c r="BJ280" i="3"/>
  <c r="BK280" i="3"/>
  <c r="BB281" i="3"/>
  <c r="AV283" i="3"/>
  <c r="BC282" i="3"/>
  <c r="BD282" i="3"/>
  <c r="AY283" i="3"/>
  <c r="BN285" i="3"/>
  <c r="BG281" i="3"/>
  <c r="BH281" i="3"/>
  <c r="BI281" i="3"/>
  <c r="AT284" i="3"/>
  <c r="AH285" i="3"/>
  <c r="BB282" i="3"/>
  <c r="BA283" i="3"/>
  <c r="BB283" i="3"/>
  <c r="BQ282" i="3"/>
  <c r="AN285" i="3"/>
  <c r="AO285" i="3"/>
  <c r="AR286" i="3"/>
  <c r="B286" i="3"/>
  <c r="AQ286" i="3"/>
  <c r="A287" i="3"/>
  <c r="AM286" i="3"/>
  <c r="AK286" i="3"/>
  <c r="R286" i="3"/>
  <c r="S286" i="3"/>
  <c r="Q286" i="3"/>
  <c r="P286" i="3"/>
  <c r="AD286" i="3"/>
  <c r="O286" i="3"/>
  <c r="AE286" i="3"/>
  <c r="U286" i="3"/>
  <c r="M286" i="3"/>
  <c r="AF286" i="3"/>
  <c r="V286" i="3"/>
  <c r="C286" i="3"/>
  <c r="F286" i="3"/>
  <c r="D286" i="3"/>
  <c r="G286" i="3"/>
  <c r="H286" i="3"/>
  <c r="T286" i="3"/>
  <c r="AW284" i="3"/>
  <c r="Y285" i="3"/>
  <c r="Z285" i="3"/>
  <c r="AU284" i="3"/>
  <c r="AX284" i="3"/>
  <c r="X285" i="3"/>
  <c r="BM285" i="3"/>
  <c r="AG285" i="3"/>
  <c r="BJ281" i="3"/>
  <c r="BK281" i="3"/>
  <c r="BC283" i="3"/>
  <c r="BD283" i="3"/>
  <c r="BG282" i="3"/>
  <c r="BH282" i="3"/>
  <c r="BI282" i="3"/>
  <c r="BF283" i="3"/>
  <c r="BJ282" i="3"/>
  <c r="BK282" i="3"/>
  <c r="AW285" i="3"/>
  <c r="AO286" i="3"/>
  <c r="AT285" i="3"/>
  <c r="AU285" i="3"/>
  <c r="BA284" i="3"/>
  <c r="BQ284" i="3"/>
  <c r="BQ283" i="3"/>
  <c r="Y286" i="3"/>
  <c r="Z286" i="3"/>
  <c r="X286" i="3"/>
  <c r="AX285" i="3"/>
  <c r="AY284" i="3"/>
  <c r="BN286" i="3"/>
  <c r="BM286" i="3"/>
  <c r="AG286" i="3"/>
  <c r="AH286" i="3"/>
  <c r="AN286" i="3"/>
  <c r="AV284" i="3"/>
  <c r="AQ287" i="3"/>
  <c r="B287" i="3"/>
  <c r="A288" i="3"/>
  <c r="AR287" i="3"/>
  <c r="D287" i="3"/>
  <c r="AK287" i="3"/>
  <c r="AM287" i="3"/>
  <c r="S287" i="3"/>
  <c r="Q287" i="3"/>
  <c r="AD287" i="3"/>
  <c r="O287" i="3"/>
  <c r="M287" i="3"/>
  <c r="AE287" i="3"/>
  <c r="V287" i="3"/>
  <c r="U287" i="3"/>
  <c r="P287" i="3"/>
  <c r="AF287" i="3"/>
  <c r="R287" i="3"/>
  <c r="G287" i="3"/>
  <c r="H287" i="3"/>
  <c r="C287" i="3"/>
  <c r="F287" i="3"/>
  <c r="T287" i="3"/>
  <c r="BG283" i="3"/>
  <c r="BH283" i="3"/>
  <c r="BI283" i="3"/>
  <c r="BN287" i="3"/>
  <c r="BB284" i="3"/>
  <c r="BM287" i="3"/>
  <c r="AU286" i="3"/>
  <c r="AV285" i="3"/>
  <c r="BF284" i="3"/>
  <c r="BJ283" i="3"/>
  <c r="BK283" i="3"/>
  <c r="AY285" i="3"/>
  <c r="AN287" i="3"/>
  <c r="A289" i="3"/>
  <c r="B288" i="3"/>
  <c r="AR288" i="3"/>
  <c r="AQ288" i="3"/>
  <c r="AM288" i="3"/>
  <c r="AK288" i="3"/>
  <c r="R288" i="3"/>
  <c r="AD288" i="3"/>
  <c r="Q288" i="3"/>
  <c r="P288" i="3"/>
  <c r="O288" i="3"/>
  <c r="AF288" i="3"/>
  <c r="V288" i="3"/>
  <c r="U288" i="3"/>
  <c r="AE288" i="3"/>
  <c r="M288" i="3"/>
  <c r="D288" i="3"/>
  <c r="C288" i="3"/>
  <c r="G288" i="3"/>
  <c r="H288" i="3"/>
  <c r="F288" i="3"/>
  <c r="T288" i="3"/>
  <c r="S288" i="3"/>
  <c r="AT286" i="3"/>
  <c r="AX286" i="3"/>
  <c r="AG287" i="3"/>
  <c r="BC284" i="3"/>
  <c r="Y287" i="3"/>
  <c r="Z287" i="3"/>
  <c r="X287" i="3"/>
  <c r="AH287" i="3"/>
  <c r="AO287" i="3"/>
  <c r="AW286" i="3"/>
  <c r="BA285" i="3"/>
  <c r="BN288" i="3"/>
  <c r="BM288" i="3"/>
  <c r="AV286" i="3"/>
  <c r="BC285" i="3"/>
  <c r="BD285" i="3"/>
  <c r="AT287" i="3"/>
  <c r="AO288" i="3"/>
  <c r="AX287" i="3"/>
  <c r="BA286" i="3"/>
  <c r="BB286" i="3"/>
  <c r="X288" i="3"/>
  <c r="AH288" i="3"/>
  <c r="BF285" i="3"/>
  <c r="BJ284" i="3"/>
  <c r="BK284" i="3"/>
  <c r="BB285" i="3"/>
  <c r="BQ285" i="3"/>
  <c r="BD284" i="3"/>
  <c r="BG284" i="3"/>
  <c r="BH284" i="3"/>
  <c r="BI284" i="3"/>
  <c r="AR289" i="3"/>
  <c r="B289" i="3"/>
  <c r="AQ289" i="3"/>
  <c r="A290" i="3"/>
  <c r="D289" i="3"/>
  <c r="AM289" i="3"/>
  <c r="AK289" i="3"/>
  <c r="T289" i="3"/>
  <c r="R289" i="3"/>
  <c r="Q289" i="3"/>
  <c r="AD289" i="3"/>
  <c r="P289" i="3"/>
  <c r="O289" i="3"/>
  <c r="M289" i="3"/>
  <c r="AF289" i="3"/>
  <c r="V289" i="3"/>
  <c r="U289" i="3"/>
  <c r="AE289" i="3"/>
  <c r="C289" i="3"/>
  <c r="G289" i="3"/>
  <c r="H289" i="3"/>
  <c r="F289" i="3"/>
  <c r="S289" i="3"/>
  <c r="AY286" i="3"/>
  <c r="AU287" i="3"/>
  <c r="AW287" i="3"/>
  <c r="Y288" i="3"/>
  <c r="Z288" i="3"/>
  <c r="AG288" i="3"/>
  <c r="AN288" i="3"/>
  <c r="BM289" i="3"/>
  <c r="AY287" i="3"/>
  <c r="BQ286" i="3"/>
  <c r="AV287" i="3"/>
  <c r="BG285" i="3"/>
  <c r="BH285" i="3"/>
  <c r="BI285" i="3"/>
  <c r="BN289" i="3"/>
  <c r="BC286" i="3"/>
  <c r="BD286" i="3"/>
  <c r="AO289" i="3"/>
  <c r="BF286" i="3"/>
  <c r="BJ285" i="3"/>
  <c r="BK285" i="3"/>
  <c r="AW288" i="3"/>
  <c r="Y289" i="3"/>
  <c r="Z289" i="3"/>
  <c r="AT288" i="3"/>
  <c r="AX288" i="3"/>
  <c r="AH289" i="3"/>
  <c r="BA287" i="3"/>
  <c r="AR290" i="3"/>
  <c r="B290" i="3"/>
  <c r="AQ290" i="3"/>
  <c r="A291" i="3"/>
  <c r="C290" i="3"/>
  <c r="AK290" i="3"/>
  <c r="AM290" i="3"/>
  <c r="S290" i="3"/>
  <c r="R290" i="3"/>
  <c r="D290" i="3"/>
  <c r="AD290" i="3"/>
  <c r="Q290" i="3"/>
  <c r="P290" i="3"/>
  <c r="O290" i="3"/>
  <c r="AE290" i="3"/>
  <c r="V290" i="3"/>
  <c r="AF290" i="3"/>
  <c r="M290" i="3"/>
  <c r="U290" i="3"/>
  <c r="F290" i="3"/>
  <c r="G290" i="3"/>
  <c r="H290" i="3"/>
  <c r="T290" i="3"/>
  <c r="AU288" i="3"/>
  <c r="X289" i="3"/>
  <c r="AG289" i="3"/>
  <c r="AN289" i="3"/>
  <c r="AT289" i="3"/>
  <c r="BC287" i="3"/>
  <c r="BD287" i="3"/>
  <c r="BM290" i="3"/>
  <c r="BG286" i="3"/>
  <c r="BH286" i="3"/>
  <c r="BI286" i="3"/>
  <c r="AN290" i="3"/>
  <c r="BN290" i="3"/>
  <c r="AY288" i="3"/>
  <c r="AV288" i="3"/>
  <c r="BA288" i="3"/>
  <c r="AG290" i="3"/>
  <c r="AH290" i="3"/>
  <c r="X290" i="3"/>
  <c r="AX289" i="3"/>
  <c r="AQ291" i="3"/>
  <c r="B291" i="3"/>
  <c r="A292" i="3"/>
  <c r="AR291" i="3"/>
  <c r="AK291" i="3"/>
  <c r="AM291" i="3"/>
  <c r="T291" i="3"/>
  <c r="R291" i="3"/>
  <c r="AD291" i="3"/>
  <c r="P291" i="3"/>
  <c r="O291" i="3"/>
  <c r="AE291" i="3"/>
  <c r="V291" i="3"/>
  <c r="M291" i="3"/>
  <c r="AF291" i="3"/>
  <c r="U291" i="3"/>
  <c r="D291" i="3"/>
  <c r="G291" i="3"/>
  <c r="H291" i="3"/>
  <c r="Q291" i="3"/>
  <c r="C291" i="3"/>
  <c r="F291" i="3"/>
  <c r="S291" i="3"/>
  <c r="BQ287" i="3"/>
  <c r="BF287" i="3"/>
  <c r="BJ286" i="3"/>
  <c r="BK286" i="3"/>
  <c r="BB287" i="3"/>
  <c r="AW289" i="3"/>
  <c r="Y290" i="3"/>
  <c r="Z290" i="3"/>
  <c r="AO290" i="3"/>
  <c r="AU289" i="3"/>
  <c r="AV289" i="3"/>
  <c r="BG287" i="3"/>
  <c r="BH287" i="3"/>
  <c r="BI287" i="3"/>
  <c r="AY289" i="3"/>
  <c r="BC288" i="3"/>
  <c r="BG288" i="3"/>
  <c r="BH288" i="3"/>
  <c r="BI288" i="3"/>
  <c r="AU290" i="3"/>
  <c r="BN291" i="3"/>
  <c r="AN291" i="3"/>
  <c r="AT290" i="3"/>
  <c r="AG291" i="3"/>
  <c r="X291" i="3"/>
  <c r="Y291" i="3"/>
  <c r="Z291" i="3"/>
  <c r="A293" i="3"/>
  <c r="B292" i="3"/>
  <c r="AR292" i="3"/>
  <c r="AQ292" i="3"/>
  <c r="AK292" i="3"/>
  <c r="T292" i="3"/>
  <c r="AM292" i="3"/>
  <c r="C292" i="3"/>
  <c r="S292" i="3"/>
  <c r="R292" i="3"/>
  <c r="Q292" i="3"/>
  <c r="AD292" i="3"/>
  <c r="P292" i="3"/>
  <c r="AE292" i="3"/>
  <c r="AF292" i="3"/>
  <c r="V292" i="3"/>
  <c r="O292" i="3"/>
  <c r="M292" i="3"/>
  <c r="U292" i="3"/>
  <c r="D292" i="3"/>
  <c r="F292" i="3"/>
  <c r="G292" i="3"/>
  <c r="H292" i="3"/>
  <c r="BF288" i="3"/>
  <c r="BJ287" i="3"/>
  <c r="BK287" i="3"/>
  <c r="BQ288" i="3"/>
  <c r="BB288" i="3"/>
  <c r="BM291" i="3"/>
  <c r="AH291" i="3"/>
  <c r="AO291" i="3"/>
  <c r="AW290" i="3"/>
  <c r="BA289" i="3"/>
  <c r="AX290" i="3"/>
  <c r="BC289" i="3"/>
  <c r="BD289" i="3"/>
  <c r="BD288" i="3"/>
  <c r="BN292" i="3"/>
  <c r="AN292" i="3"/>
  <c r="AV290" i="3"/>
  <c r="BM292" i="3"/>
  <c r="AU291" i="3"/>
  <c r="AT291" i="3"/>
  <c r="AW291" i="3"/>
  <c r="AH292" i="3"/>
  <c r="AR293" i="3"/>
  <c r="B293" i="3"/>
  <c r="AQ293" i="3"/>
  <c r="A294" i="3"/>
  <c r="R293" i="3"/>
  <c r="AM293" i="3"/>
  <c r="AK293" i="3"/>
  <c r="S293" i="3"/>
  <c r="Q293" i="3"/>
  <c r="AD293" i="3"/>
  <c r="P293" i="3"/>
  <c r="O293" i="3"/>
  <c r="AE293" i="3"/>
  <c r="AF293" i="3"/>
  <c r="U293" i="3"/>
  <c r="V293" i="3"/>
  <c r="M293" i="3"/>
  <c r="C293" i="3"/>
  <c r="G293" i="3"/>
  <c r="H293" i="3"/>
  <c r="D293" i="3"/>
  <c r="F293" i="3"/>
  <c r="T293" i="3"/>
  <c r="AY290" i="3"/>
  <c r="AO292" i="3"/>
  <c r="BF289" i="3"/>
  <c r="BJ288" i="3"/>
  <c r="BK288" i="3"/>
  <c r="BQ289" i="3"/>
  <c r="BB289" i="3"/>
  <c r="Y292" i="3"/>
  <c r="Z292" i="3"/>
  <c r="AX291" i="3"/>
  <c r="BA290" i="3"/>
  <c r="AG292" i="3"/>
  <c r="X292" i="3"/>
  <c r="BC290" i="3"/>
  <c r="BD290" i="3"/>
  <c r="BG289" i="3"/>
  <c r="BH289" i="3"/>
  <c r="BI289" i="3"/>
  <c r="BM293" i="3"/>
  <c r="BN293" i="3"/>
  <c r="AU292" i="3"/>
  <c r="AV291" i="3"/>
  <c r="BA291" i="3"/>
  <c r="BB291" i="3"/>
  <c r="AG293" i="3"/>
  <c r="BQ290" i="3"/>
  <c r="BF290" i="3"/>
  <c r="BJ289" i="3"/>
  <c r="BK289" i="3"/>
  <c r="BB290" i="3"/>
  <c r="AR294" i="3"/>
  <c r="B294" i="3"/>
  <c r="AQ294" i="3"/>
  <c r="A295" i="3"/>
  <c r="AM294" i="3"/>
  <c r="AK294" i="3"/>
  <c r="Q294" i="3"/>
  <c r="T294" i="3"/>
  <c r="AD294" i="3"/>
  <c r="R294" i="3"/>
  <c r="P294" i="3"/>
  <c r="AE294" i="3"/>
  <c r="O294" i="3"/>
  <c r="AF294" i="3"/>
  <c r="V294" i="3"/>
  <c r="U294" i="3"/>
  <c r="M294" i="3"/>
  <c r="F294" i="3"/>
  <c r="D294" i="3"/>
  <c r="C294" i="3"/>
  <c r="G294" i="3"/>
  <c r="H294" i="3"/>
  <c r="S294" i="3"/>
  <c r="AW292" i="3"/>
  <c r="AT292" i="3"/>
  <c r="AX292" i="3"/>
  <c r="Y293" i="3"/>
  <c r="Z293" i="3"/>
  <c r="X293" i="3"/>
  <c r="AH293" i="3"/>
  <c r="AY291" i="3"/>
  <c r="AN293" i="3"/>
  <c r="AO293" i="3"/>
  <c r="BG290" i="3"/>
  <c r="BH290" i="3"/>
  <c r="BI290" i="3"/>
  <c r="BN294" i="3"/>
  <c r="AU293" i="3"/>
  <c r="BQ291" i="3"/>
  <c r="BC291" i="3"/>
  <c r="BG291" i="3"/>
  <c r="BH291" i="3"/>
  <c r="BI291" i="3"/>
  <c r="BF291" i="3"/>
  <c r="BJ290" i="3"/>
  <c r="BK290" i="3"/>
  <c r="AW293" i="3"/>
  <c r="AN294" i="3"/>
  <c r="AV292" i="3"/>
  <c r="BA292" i="3"/>
  <c r="AQ295" i="3"/>
  <c r="B295" i="3"/>
  <c r="A296" i="3"/>
  <c r="AR295" i="3"/>
  <c r="S295" i="3"/>
  <c r="Q295" i="3"/>
  <c r="AK295" i="3"/>
  <c r="AM295" i="3"/>
  <c r="R295" i="3"/>
  <c r="P295" i="3"/>
  <c r="AD295" i="3"/>
  <c r="O295" i="3"/>
  <c r="M295" i="3"/>
  <c r="AE295" i="3"/>
  <c r="AF295" i="3"/>
  <c r="V295" i="3"/>
  <c r="U295" i="3"/>
  <c r="D295" i="3"/>
  <c r="C295" i="3"/>
  <c r="G295" i="3"/>
  <c r="H295" i="3"/>
  <c r="F295" i="3"/>
  <c r="T295" i="3"/>
  <c r="AX293" i="3"/>
  <c r="AY292" i="3"/>
  <c r="Y294" i="3"/>
  <c r="Z294" i="3"/>
  <c r="AT293" i="3"/>
  <c r="X294" i="3"/>
  <c r="BM294" i="3"/>
  <c r="AH294" i="3"/>
  <c r="AG294" i="3"/>
  <c r="AO294" i="3"/>
  <c r="AV293" i="3"/>
  <c r="BM295" i="3"/>
  <c r="BN295" i="3"/>
  <c r="BD291" i="3"/>
  <c r="AY293" i="3"/>
  <c r="BC292" i="3"/>
  <c r="BD292" i="3"/>
  <c r="AO295" i="3"/>
  <c r="A297" i="3"/>
  <c r="B296" i="3"/>
  <c r="AR296" i="3"/>
  <c r="AQ296" i="3"/>
  <c r="D296" i="3"/>
  <c r="AM296" i="3"/>
  <c r="R296" i="3"/>
  <c r="Q296" i="3"/>
  <c r="C296" i="3"/>
  <c r="AK296" i="3"/>
  <c r="S296" i="3"/>
  <c r="P296" i="3"/>
  <c r="AD296" i="3"/>
  <c r="AE296" i="3"/>
  <c r="M296" i="3"/>
  <c r="O296" i="3"/>
  <c r="AF296" i="3"/>
  <c r="V296" i="3"/>
  <c r="U296" i="3"/>
  <c r="G296" i="3"/>
  <c r="H296" i="3"/>
  <c r="F296" i="3"/>
  <c r="T296" i="3"/>
  <c r="AH295" i="3"/>
  <c r="AG295" i="3"/>
  <c r="BB292" i="3"/>
  <c r="BQ292" i="3"/>
  <c r="BF292" i="3"/>
  <c r="BJ291" i="3"/>
  <c r="BK291" i="3"/>
  <c r="AX294" i="3"/>
  <c r="AU294" i="3"/>
  <c r="X295" i="3"/>
  <c r="AW294" i="3"/>
  <c r="AT294" i="3"/>
  <c r="BA293" i="3"/>
  <c r="Y295" i="3"/>
  <c r="Z295" i="3"/>
  <c r="AN295" i="3"/>
  <c r="BM296" i="3"/>
  <c r="BC293" i="3"/>
  <c r="BD293" i="3"/>
  <c r="AO296" i="3"/>
  <c r="BN296" i="3"/>
  <c r="AU295" i="3"/>
  <c r="BG292" i="3"/>
  <c r="BH292" i="3"/>
  <c r="BI292" i="3"/>
  <c r="AY294" i="3"/>
  <c r="AT295" i="3"/>
  <c r="Y296" i="3"/>
  <c r="Z296" i="3"/>
  <c r="BB293" i="3"/>
  <c r="BQ293" i="3"/>
  <c r="BF293" i="3"/>
  <c r="BJ292" i="3"/>
  <c r="BK292" i="3"/>
  <c r="AV294" i="3"/>
  <c r="BA294" i="3"/>
  <c r="AR297" i="3"/>
  <c r="B297" i="3"/>
  <c r="AQ297" i="3"/>
  <c r="A298" i="3"/>
  <c r="AM297" i="3"/>
  <c r="AK297" i="3"/>
  <c r="S297" i="3"/>
  <c r="R297" i="3"/>
  <c r="AD297" i="3"/>
  <c r="P297" i="3"/>
  <c r="O297" i="3"/>
  <c r="M297" i="3"/>
  <c r="V297" i="3"/>
  <c r="AE297" i="3"/>
  <c r="AF297" i="3"/>
  <c r="U297" i="3"/>
  <c r="C297" i="3"/>
  <c r="G297" i="3"/>
  <c r="H297" i="3"/>
  <c r="Q297" i="3"/>
  <c r="D297" i="3"/>
  <c r="F297" i="3"/>
  <c r="T297" i="3"/>
  <c r="AX295" i="3"/>
  <c r="AH296" i="3"/>
  <c r="X296" i="3"/>
  <c r="AW295" i="3"/>
  <c r="AG296" i="3"/>
  <c r="AN296" i="3"/>
  <c r="BG293" i="3"/>
  <c r="BH293" i="3"/>
  <c r="BI293" i="3"/>
  <c r="BM297" i="3"/>
  <c r="BC294" i="3"/>
  <c r="BD294" i="3"/>
  <c r="AV295" i="3"/>
  <c r="AU296" i="3"/>
  <c r="AW296" i="3"/>
  <c r="AO297" i="3"/>
  <c r="AY295" i="3"/>
  <c r="Y297" i="3"/>
  <c r="Z297" i="3"/>
  <c r="AG297" i="3"/>
  <c r="AR298" i="3"/>
  <c r="B298" i="3"/>
  <c r="AQ298" i="3"/>
  <c r="A299" i="3"/>
  <c r="C298" i="3"/>
  <c r="R298" i="3"/>
  <c r="D298" i="3"/>
  <c r="AK298" i="3"/>
  <c r="AM298" i="3"/>
  <c r="Q298" i="3"/>
  <c r="AD298" i="3"/>
  <c r="P298" i="3"/>
  <c r="O298" i="3"/>
  <c r="M298" i="3"/>
  <c r="AE298" i="3"/>
  <c r="AF298" i="3"/>
  <c r="V298" i="3"/>
  <c r="U298" i="3"/>
  <c r="G298" i="3"/>
  <c r="H298" i="3"/>
  <c r="F298" i="3"/>
  <c r="S298" i="3"/>
  <c r="T298" i="3"/>
  <c r="BB294" i="3"/>
  <c r="BF294" i="3"/>
  <c r="BJ293" i="3"/>
  <c r="BK293" i="3"/>
  <c r="BQ294" i="3"/>
  <c r="AX296" i="3"/>
  <c r="BN297" i="3"/>
  <c r="AT296" i="3"/>
  <c r="X297" i="3"/>
  <c r="AH297" i="3"/>
  <c r="AN297" i="3"/>
  <c r="BA295" i="3"/>
  <c r="BN298" i="3"/>
  <c r="BG294" i="3"/>
  <c r="BH294" i="3"/>
  <c r="BI294" i="3"/>
  <c r="AV296" i="3"/>
  <c r="BC295" i="3"/>
  <c r="BD295" i="3"/>
  <c r="BM298" i="3"/>
  <c r="AO298" i="3"/>
  <c r="AT297" i="3"/>
  <c r="BA296" i="3"/>
  <c r="BF296" i="3"/>
  <c r="AU297" i="3"/>
  <c r="Y298" i="3"/>
  <c r="Z298" i="3"/>
  <c r="BF295" i="3"/>
  <c r="BJ294" i="3"/>
  <c r="BK294" i="3"/>
  <c r="BQ295" i="3"/>
  <c r="BB295" i="3"/>
  <c r="AX297" i="3"/>
  <c r="AW297" i="3"/>
  <c r="AY296" i="3"/>
  <c r="X298" i="3"/>
  <c r="AG298" i="3"/>
  <c r="AH298" i="3"/>
  <c r="AN298" i="3"/>
  <c r="AQ299" i="3"/>
  <c r="B299" i="3"/>
  <c r="A300" i="3"/>
  <c r="AR299" i="3"/>
  <c r="AM299" i="3"/>
  <c r="S299" i="3"/>
  <c r="R299" i="3"/>
  <c r="AK299" i="3"/>
  <c r="AD299" i="3"/>
  <c r="Q299" i="3"/>
  <c r="O299" i="3"/>
  <c r="M299" i="3"/>
  <c r="AE299" i="3"/>
  <c r="U299" i="3"/>
  <c r="AF299" i="3"/>
  <c r="V299" i="3"/>
  <c r="C299" i="3"/>
  <c r="D299" i="3"/>
  <c r="G299" i="3"/>
  <c r="H299" i="3"/>
  <c r="F299" i="3"/>
  <c r="T299" i="3"/>
  <c r="P299" i="3"/>
  <c r="BC296" i="3"/>
  <c r="BD296" i="3"/>
  <c r="AV297" i="3"/>
  <c r="BG295" i="3"/>
  <c r="BH295" i="3"/>
  <c r="BI295" i="3"/>
  <c r="BM299" i="3"/>
  <c r="AT298" i="3"/>
  <c r="BB296" i="3"/>
  <c r="BQ296" i="3"/>
  <c r="AO299" i="3"/>
  <c r="AX298" i="3"/>
  <c r="AY297" i="3"/>
  <c r="Y299" i="3"/>
  <c r="Z299" i="3"/>
  <c r="A301" i="3"/>
  <c r="B300" i="3"/>
  <c r="AR300" i="3"/>
  <c r="AQ300" i="3"/>
  <c r="C300" i="3"/>
  <c r="AK300" i="3"/>
  <c r="AM300" i="3"/>
  <c r="S300" i="3"/>
  <c r="R300" i="3"/>
  <c r="Q300" i="3"/>
  <c r="AD300" i="3"/>
  <c r="M300" i="3"/>
  <c r="AE300" i="3"/>
  <c r="AF300" i="3"/>
  <c r="P300" i="3"/>
  <c r="O300" i="3"/>
  <c r="V300" i="3"/>
  <c r="U300" i="3"/>
  <c r="F300" i="3"/>
  <c r="G300" i="3"/>
  <c r="H300" i="3"/>
  <c r="D300" i="3"/>
  <c r="T300" i="3"/>
  <c r="BN299" i="3"/>
  <c r="X299" i="3"/>
  <c r="AG299" i="3"/>
  <c r="AH299" i="3"/>
  <c r="AN299" i="3"/>
  <c r="AU298" i="3"/>
  <c r="AW298" i="3"/>
  <c r="BA297" i="3"/>
  <c r="BJ295" i="3"/>
  <c r="BK295" i="3"/>
  <c r="AV298" i="3"/>
  <c r="BM300" i="3"/>
  <c r="BG296" i="3"/>
  <c r="BH296" i="3"/>
  <c r="BI296" i="3"/>
  <c r="BC297" i="3"/>
  <c r="BG297" i="3"/>
  <c r="BH297" i="3"/>
  <c r="BI297" i="3"/>
  <c r="BN300" i="3"/>
  <c r="AX299" i="3"/>
  <c r="BB297" i="3"/>
  <c r="BQ297" i="3"/>
  <c r="BF297" i="3"/>
  <c r="BJ296" i="3"/>
  <c r="BK296" i="3"/>
  <c r="AT299" i="3"/>
  <c r="AW299" i="3"/>
  <c r="AR301" i="3"/>
  <c r="B301" i="3"/>
  <c r="AQ301" i="3"/>
  <c r="A302" i="3"/>
  <c r="C301" i="3"/>
  <c r="T301" i="3"/>
  <c r="AK301" i="3"/>
  <c r="AM301" i="3"/>
  <c r="S301" i="3"/>
  <c r="Q301" i="3"/>
  <c r="AD301" i="3"/>
  <c r="P301" i="3"/>
  <c r="R301" i="3"/>
  <c r="M301" i="3"/>
  <c r="O301" i="3"/>
  <c r="AF301" i="3"/>
  <c r="AE301" i="3"/>
  <c r="V301" i="3"/>
  <c r="U301" i="3"/>
  <c r="F301" i="3"/>
  <c r="D301" i="3"/>
  <c r="G301" i="3"/>
  <c r="H301" i="3"/>
  <c r="AG300" i="3"/>
  <c r="AH300" i="3"/>
  <c r="X300" i="3"/>
  <c r="BA298" i="3"/>
  <c r="AY298" i="3"/>
  <c r="AN300" i="3"/>
  <c r="AO300" i="3"/>
  <c r="AU299" i="3"/>
  <c r="Y300" i="3"/>
  <c r="Z300" i="3"/>
  <c r="BC298" i="3"/>
  <c r="BD298" i="3"/>
  <c r="BD297" i="3"/>
  <c r="BM301" i="3"/>
  <c r="AT300" i="3"/>
  <c r="AG301" i="3"/>
  <c r="AY299" i="3"/>
  <c r="AO301" i="3"/>
  <c r="AU300" i="3"/>
  <c r="AX300" i="3"/>
  <c r="AR302" i="3"/>
  <c r="B302" i="3"/>
  <c r="AQ302" i="3"/>
  <c r="A303" i="3"/>
  <c r="D302" i="3"/>
  <c r="AK302" i="3"/>
  <c r="T302" i="3"/>
  <c r="S302" i="3"/>
  <c r="Q302" i="3"/>
  <c r="AM302" i="3"/>
  <c r="R302" i="3"/>
  <c r="AD302" i="3"/>
  <c r="P302" i="3"/>
  <c r="O302" i="3"/>
  <c r="AE302" i="3"/>
  <c r="V302" i="3"/>
  <c r="U302" i="3"/>
  <c r="M302" i="3"/>
  <c r="AF302" i="3"/>
  <c r="G302" i="3"/>
  <c r="H302" i="3"/>
  <c r="F302" i="3"/>
  <c r="C302" i="3"/>
  <c r="BN301" i="3"/>
  <c r="AN301" i="3"/>
  <c r="BB298" i="3"/>
  <c r="BQ298" i="3"/>
  <c r="BF298" i="3"/>
  <c r="Y301" i="3"/>
  <c r="Z301" i="3"/>
  <c r="AV299" i="3"/>
  <c r="BA299" i="3"/>
  <c r="AW300" i="3"/>
  <c r="AH301" i="3"/>
  <c r="X301" i="3"/>
  <c r="BG298" i="3"/>
  <c r="BH298" i="3"/>
  <c r="BI298" i="3"/>
  <c r="AV300" i="3"/>
  <c r="AN302" i="3"/>
  <c r="AX301" i="3"/>
  <c r="BC299" i="3"/>
  <c r="BG299" i="3"/>
  <c r="BH299" i="3"/>
  <c r="BI299" i="3"/>
  <c r="BN302" i="3"/>
  <c r="AT301" i="3"/>
  <c r="AY300" i="3"/>
  <c r="BA300" i="3"/>
  <c r="BF300" i="3"/>
  <c r="X302" i="3"/>
  <c r="Y302" i="3"/>
  <c r="Z302" i="3"/>
  <c r="AU301" i="3"/>
  <c r="BM302" i="3"/>
  <c r="AG302" i="3"/>
  <c r="BF299" i="3"/>
  <c r="BJ298" i="3"/>
  <c r="BK298" i="3"/>
  <c r="BB299" i="3"/>
  <c r="BQ299" i="3"/>
  <c r="BJ297" i="3"/>
  <c r="BK297" i="3"/>
  <c r="AQ303" i="3"/>
  <c r="B303" i="3"/>
  <c r="A304" i="3"/>
  <c r="AR303" i="3"/>
  <c r="D303" i="3"/>
  <c r="AM303" i="3"/>
  <c r="S303" i="3"/>
  <c r="R303" i="3"/>
  <c r="AK303" i="3"/>
  <c r="T303" i="3"/>
  <c r="Q303" i="3"/>
  <c r="AD303" i="3"/>
  <c r="P303" i="3"/>
  <c r="O303" i="3"/>
  <c r="AF303" i="3"/>
  <c r="AE303" i="3"/>
  <c r="M303" i="3"/>
  <c r="U303" i="3"/>
  <c r="V303" i="3"/>
  <c r="C303" i="3"/>
  <c r="G303" i="3"/>
  <c r="H303" i="3"/>
  <c r="F303" i="3"/>
  <c r="AW301" i="3"/>
  <c r="AH302" i="3"/>
  <c r="AO302" i="3"/>
  <c r="BN303" i="3"/>
  <c r="BM303" i="3"/>
  <c r="AY301" i="3"/>
  <c r="BC300" i="3"/>
  <c r="BD300" i="3"/>
  <c r="BD299" i="3"/>
  <c r="AV301" i="3"/>
  <c r="BB300" i="3"/>
  <c r="AO303" i="3"/>
  <c r="BQ300" i="3"/>
  <c r="BJ299" i="3"/>
  <c r="BK299" i="3"/>
  <c r="Y303" i="3"/>
  <c r="Z303" i="3"/>
  <c r="A305" i="3"/>
  <c r="B304" i="3"/>
  <c r="AR304" i="3"/>
  <c r="AQ304" i="3"/>
  <c r="AK304" i="3"/>
  <c r="S304" i="3"/>
  <c r="AM304" i="3"/>
  <c r="T304" i="3"/>
  <c r="AD304" i="3"/>
  <c r="P304" i="3"/>
  <c r="R304" i="3"/>
  <c r="Q304" i="3"/>
  <c r="M304" i="3"/>
  <c r="O304" i="3"/>
  <c r="AF304" i="3"/>
  <c r="AE304" i="3"/>
  <c r="U304" i="3"/>
  <c r="V304" i="3"/>
  <c r="C304" i="3"/>
  <c r="F304" i="3"/>
  <c r="G304" i="3"/>
  <c r="H304" i="3"/>
  <c r="D304" i="3"/>
  <c r="AX302" i="3"/>
  <c r="X303" i="3"/>
  <c r="AG303" i="3"/>
  <c r="AH303" i="3"/>
  <c r="AN303" i="3"/>
  <c r="AU302" i="3"/>
  <c r="BA301" i="3"/>
  <c r="AT302" i="3"/>
  <c r="AW302" i="3"/>
  <c r="BG300" i="3"/>
  <c r="BH300" i="3"/>
  <c r="BI300" i="3"/>
  <c r="BC301" i="3"/>
  <c r="BD301" i="3"/>
  <c r="AN304" i="3"/>
  <c r="BM304" i="3"/>
  <c r="AX303" i="3"/>
  <c r="AG304" i="3"/>
  <c r="AU303" i="3"/>
  <c r="AT303" i="3"/>
  <c r="AV302" i="3"/>
  <c r="BA302" i="3"/>
  <c r="BF301" i="3"/>
  <c r="BJ300" i="3"/>
  <c r="BK300" i="3"/>
  <c r="BQ301" i="3"/>
  <c r="BB301" i="3"/>
  <c r="AR305" i="3"/>
  <c r="B305" i="3"/>
  <c r="AQ305" i="3"/>
  <c r="A306" i="3"/>
  <c r="AK305" i="3"/>
  <c r="R305" i="3"/>
  <c r="AM305" i="3"/>
  <c r="Q305" i="3"/>
  <c r="AD305" i="3"/>
  <c r="O305" i="3"/>
  <c r="M305" i="3"/>
  <c r="AF305" i="3"/>
  <c r="U305" i="3"/>
  <c r="P305" i="3"/>
  <c r="AE305" i="3"/>
  <c r="V305" i="3"/>
  <c r="D305" i="3"/>
  <c r="G305" i="3"/>
  <c r="H305" i="3"/>
  <c r="F305" i="3"/>
  <c r="C305" i="3"/>
  <c r="S305" i="3"/>
  <c r="T305" i="3"/>
  <c r="AW303" i="3"/>
  <c r="AY302" i="3"/>
  <c r="BN304" i="3"/>
  <c r="X304" i="3"/>
  <c r="AH304" i="3"/>
  <c r="AO304" i="3"/>
  <c r="Y304" i="3"/>
  <c r="Z304" i="3"/>
  <c r="BG301" i="3"/>
  <c r="BH301" i="3"/>
  <c r="BI301" i="3"/>
  <c r="AU304" i="3"/>
  <c r="AN305" i="3"/>
  <c r="BM305" i="3"/>
  <c r="AG305" i="3"/>
  <c r="AV303" i="3"/>
  <c r="AY303" i="3"/>
  <c r="AW304" i="3"/>
  <c r="AR306" i="3"/>
  <c r="B306" i="3"/>
  <c r="AQ306" i="3"/>
  <c r="A307" i="3"/>
  <c r="D306" i="3"/>
  <c r="AM306" i="3"/>
  <c r="S306" i="3"/>
  <c r="T306" i="3"/>
  <c r="AK306" i="3"/>
  <c r="Q306" i="3"/>
  <c r="P306" i="3"/>
  <c r="AD306" i="3"/>
  <c r="O306" i="3"/>
  <c r="AE306" i="3"/>
  <c r="M306" i="3"/>
  <c r="AF306" i="3"/>
  <c r="V306" i="3"/>
  <c r="U306" i="3"/>
  <c r="C306" i="3"/>
  <c r="G306" i="3"/>
  <c r="H306" i="3"/>
  <c r="R306" i="3"/>
  <c r="F306" i="3"/>
  <c r="X305" i="3"/>
  <c r="Y305" i="3"/>
  <c r="Z305" i="3"/>
  <c r="BN305" i="3"/>
  <c r="AH305" i="3"/>
  <c r="BC302" i="3"/>
  <c r="AT304" i="3"/>
  <c r="AX304" i="3"/>
  <c r="BQ302" i="3"/>
  <c r="BF302" i="3"/>
  <c r="BJ301" i="3"/>
  <c r="BK301" i="3"/>
  <c r="BB302" i="3"/>
  <c r="AO305" i="3"/>
  <c r="BA303" i="3"/>
  <c r="BM306" i="3"/>
  <c r="BN306" i="3"/>
  <c r="AT305" i="3"/>
  <c r="AN306" i="3"/>
  <c r="AU305" i="3"/>
  <c r="AW305" i="3"/>
  <c r="AY304" i="3"/>
  <c r="BC303" i="3"/>
  <c r="BG303" i="3"/>
  <c r="BH303" i="3"/>
  <c r="BI303" i="3"/>
  <c r="AO306" i="3"/>
  <c r="BD302" i="3"/>
  <c r="BG302" i="3"/>
  <c r="BH302" i="3"/>
  <c r="BI302" i="3"/>
  <c r="BB303" i="3"/>
  <c r="BF303" i="3"/>
  <c r="BJ302" i="3"/>
  <c r="BK302" i="3"/>
  <c r="BQ303" i="3"/>
  <c r="BA304" i="3"/>
  <c r="AV304" i="3"/>
  <c r="Y306" i="3"/>
  <c r="Z306" i="3"/>
  <c r="AX305" i="3"/>
  <c r="X306" i="3"/>
  <c r="AQ307" i="3"/>
  <c r="B307" i="3"/>
  <c r="A308" i="3"/>
  <c r="AR307" i="3"/>
  <c r="C307" i="3"/>
  <c r="AM307" i="3"/>
  <c r="Q307" i="3"/>
  <c r="AK307" i="3"/>
  <c r="S307" i="3"/>
  <c r="R307" i="3"/>
  <c r="AD307" i="3"/>
  <c r="P307" i="3"/>
  <c r="O307" i="3"/>
  <c r="M307" i="3"/>
  <c r="AF307" i="3"/>
  <c r="AE307" i="3"/>
  <c r="U307" i="3"/>
  <c r="V307" i="3"/>
  <c r="D307" i="3"/>
  <c r="G307" i="3"/>
  <c r="H307" i="3"/>
  <c r="F307" i="3"/>
  <c r="T307" i="3"/>
  <c r="AG306" i="3"/>
  <c r="AH306" i="3"/>
  <c r="BM307" i="3"/>
  <c r="AO307" i="3"/>
  <c r="AV305" i="3"/>
  <c r="AY305" i="3"/>
  <c r="BN307" i="3"/>
  <c r="BC304" i="3"/>
  <c r="BG304" i="3"/>
  <c r="BH304" i="3"/>
  <c r="BI304" i="3"/>
  <c r="BA305" i="3"/>
  <c r="BB305" i="3"/>
  <c r="BD303" i="3"/>
  <c r="AX306" i="3"/>
  <c r="AG307" i="3"/>
  <c r="Y307" i="3"/>
  <c r="Z307" i="3"/>
  <c r="A309" i="3"/>
  <c r="B308" i="3"/>
  <c r="AR308" i="3"/>
  <c r="AQ308" i="3"/>
  <c r="AK308" i="3"/>
  <c r="S308" i="3"/>
  <c r="Q308" i="3"/>
  <c r="D308" i="3"/>
  <c r="AM308" i="3"/>
  <c r="R308" i="3"/>
  <c r="AD308" i="3"/>
  <c r="P308" i="3"/>
  <c r="O308" i="3"/>
  <c r="M308" i="3"/>
  <c r="AE308" i="3"/>
  <c r="AF308" i="3"/>
  <c r="U308" i="3"/>
  <c r="V308" i="3"/>
  <c r="C308" i="3"/>
  <c r="G308" i="3"/>
  <c r="H308" i="3"/>
  <c r="F308" i="3"/>
  <c r="T308" i="3"/>
  <c r="BQ304" i="3"/>
  <c r="BB304" i="3"/>
  <c r="BF304" i="3"/>
  <c r="BJ303" i="3"/>
  <c r="BK303" i="3"/>
  <c r="AW306" i="3"/>
  <c r="AH307" i="3"/>
  <c r="X307" i="3"/>
  <c r="AU306" i="3"/>
  <c r="AN307" i="3"/>
  <c r="AT306" i="3"/>
  <c r="BN308" i="3"/>
  <c r="BM308" i="3"/>
  <c r="AN308" i="3"/>
  <c r="BC305" i="3"/>
  <c r="BD305" i="3"/>
  <c r="BD304" i="3"/>
  <c r="AG308" i="3"/>
  <c r="BQ305" i="3"/>
  <c r="Y308" i="3"/>
  <c r="Z308" i="3"/>
  <c r="BF305" i="3"/>
  <c r="BJ304" i="3"/>
  <c r="BK304" i="3"/>
  <c r="AY306" i="3"/>
  <c r="AU307" i="3"/>
  <c r="AT307" i="3"/>
  <c r="AW307" i="3"/>
  <c r="BA306" i="3"/>
  <c r="AV306" i="3"/>
  <c r="AR309" i="3"/>
  <c r="B309" i="3"/>
  <c r="AQ309" i="3"/>
  <c r="A310" i="3"/>
  <c r="AM309" i="3"/>
  <c r="D309" i="3"/>
  <c r="AK309" i="3"/>
  <c r="Q309" i="3"/>
  <c r="P309" i="3"/>
  <c r="T309" i="3"/>
  <c r="R309" i="3"/>
  <c r="AD309" i="3"/>
  <c r="O309" i="3"/>
  <c r="AE309" i="3"/>
  <c r="M309" i="3"/>
  <c r="AF309" i="3"/>
  <c r="U309" i="3"/>
  <c r="V309" i="3"/>
  <c r="G309" i="3"/>
  <c r="H309" i="3"/>
  <c r="C309" i="3"/>
  <c r="F309" i="3"/>
  <c r="S309" i="3"/>
  <c r="X308" i="3"/>
  <c r="AH308" i="3"/>
  <c r="AO308" i="3"/>
  <c r="AX307" i="3"/>
  <c r="BG305" i="3"/>
  <c r="BH305" i="3"/>
  <c r="BI305" i="3"/>
  <c r="BM309" i="3"/>
  <c r="BN309" i="3"/>
  <c r="BC306" i="3"/>
  <c r="BD306" i="3"/>
  <c r="AV307" i="3"/>
  <c r="AY307" i="3"/>
  <c r="AX308" i="3"/>
  <c r="AU308" i="3"/>
  <c r="AO309" i="3"/>
  <c r="AN309" i="3"/>
  <c r="Y309" i="3"/>
  <c r="Z309" i="3"/>
  <c r="AR310" i="3"/>
  <c r="B310" i="3"/>
  <c r="AQ310" i="3"/>
  <c r="A311" i="3"/>
  <c r="D310" i="3"/>
  <c r="AK310" i="3"/>
  <c r="AM310" i="3"/>
  <c r="S310" i="3"/>
  <c r="Q310" i="3"/>
  <c r="R310" i="3"/>
  <c r="AD310" i="3"/>
  <c r="AE310" i="3"/>
  <c r="U310" i="3"/>
  <c r="P310" i="3"/>
  <c r="O310" i="3"/>
  <c r="M310" i="3"/>
  <c r="AF310" i="3"/>
  <c r="V310" i="3"/>
  <c r="G310" i="3"/>
  <c r="H310" i="3"/>
  <c r="C310" i="3"/>
  <c r="F310" i="3"/>
  <c r="T310" i="3"/>
  <c r="AT308" i="3"/>
  <c r="AW308" i="3"/>
  <c r="X309" i="3"/>
  <c r="AG309" i="3"/>
  <c r="AH309" i="3"/>
  <c r="BA307" i="3"/>
  <c r="BQ306" i="3"/>
  <c r="BB306" i="3"/>
  <c r="BF306" i="3"/>
  <c r="BN310" i="3"/>
  <c r="BG306" i="3"/>
  <c r="BH306" i="3"/>
  <c r="BI306" i="3"/>
  <c r="AY308" i="3"/>
  <c r="BC307" i="3"/>
  <c r="BD307" i="3"/>
  <c r="AO310" i="3"/>
  <c r="AX309" i="3"/>
  <c r="AG310" i="3"/>
  <c r="Y310" i="3"/>
  <c r="Z310" i="3"/>
  <c r="X310" i="3"/>
  <c r="BB307" i="3"/>
  <c r="BQ307" i="3"/>
  <c r="BF307" i="3"/>
  <c r="BJ306" i="3"/>
  <c r="BK306" i="3"/>
  <c r="AV308" i="3"/>
  <c r="BA308" i="3"/>
  <c r="AU309" i="3"/>
  <c r="AT309" i="3"/>
  <c r="AW309" i="3"/>
  <c r="BM310" i="3"/>
  <c r="AH310" i="3"/>
  <c r="AN310" i="3"/>
  <c r="BJ305" i="3"/>
  <c r="BK305" i="3"/>
  <c r="AQ311" i="3"/>
  <c r="B311" i="3"/>
  <c r="A312" i="3"/>
  <c r="AR311" i="3"/>
  <c r="D311" i="3"/>
  <c r="AM311" i="3"/>
  <c r="T311" i="3"/>
  <c r="AK311" i="3"/>
  <c r="R311" i="3"/>
  <c r="Q311" i="3"/>
  <c r="AD311" i="3"/>
  <c r="P311" i="3"/>
  <c r="M311" i="3"/>
  <c r="V311" i="3"/>
  <c r="O311" i="3"/>
  <c r="AE311" i="3"/>
  <c r="AF311" i="3"/>
  <c r="U311" i="3"/>
  <c r="F311" i="3"/>
  <c r="C311" i="3"/>
  <c r="G311" i="3"/>
  <c r="H311" i="3"/>
  <c r="BN311" i="3"/>
  <c r="S311" i="3"/>
  <c r="AT310" i="3"/>
  <c r="AO311" i="3"/>
  <c r="BC308" i="3"/>
  <c r="BD308" i="3"/>
  <c r="BG307" i="3"/>
  <c r="BH307" i="3"/>
  <c r="BI307" i="3"/>
  <c r="AY309" i="3"/>
  <c r="AW310" i="3"/>
  <c r="AU310" i="3"/>
  <c r="AG311" i="3"/>
  <c r="X311" i="3"/>
  <c r="Y311" i="3"/>
  <c r="Z311" i="3"/>
  <c r="A313" i="3"/>
  <c r="B312" i="3"/>
  <c r="AR312" i="3"/>
  <c r="AQ312" i="3"/>
  <c r="T312" i="3"/>
  <c r="S312" i="3"/>
  <c r="AK312" i="3"/>
  <c r="AM312" i="3"/>
  <c r="R312" i="3"/>
  <c r="Q312" i="3"/>
  <c r="AD312" i="3"/>
  <c r="P312" i="3"/>
  <c r="AE312" i="3"/>
  <c r="M312" i="3"/>
  <c r="V312" i="3"/>
  <c r="U312" i="3"/>
  <c r="O312" i="3"/>
  <c r="AF312" i="3"/>
  <c r="D312" i="3"/>
  <c r="C312" i="3"/>
  <c r="G312" i="3"/>
  <c r="H312" i="3"/>
  <c r="F312" i="3"/>
  <c r="AV309" i="3"/>
  <c r="BA309" i="3"/>
  <c r="BF308" i="3"/>
  <c r="BJ307" i="3"/>
  <c r="BK307" i="3"/>
  <c r="BB308" i="3"/>
  <c r="BQ308" i="3"/>
  <c r="BM311" i="3"/>
  <c r="AH311" i="3"/>
  <c r="AX310" i="3"/>
  <c r="AN311" i="3"/>
  <c r="BN312" i="3"/>
  <c r="BM312" i="3"/>
  <c r="AV310" i="3"/>
  <c r="BC309" i="3"/>
  <c r="BG309" i="3"/>
  <c r="BH309" i="3"/>
  <c r="BI309" i="3"/>
  <c r="BG308" i="3"/>
  <c r="BH308" i="3"/>
  <c r="BI308" i="3"/>
  <c r="AY310" i="3"/>
  <c r="AN312" i="3"/>
  <c r="AU311" i="3"/>
  <c r="AT311" i="3"/>
  <c r="AW311" i="3"/>
  <c r="AH312" i="3"/>
  <c r="BA310" i="3"/>
  <c r="BQ310" i="3"/>
  <c r="Y312" i="3"/>
  <c r="Z312" i="3"/>
  <c r="AR313" i="3"/>
  <c r="B313" i="3"/>
  <c r="AQ313" i="3"/>
  <c r="A314" i="3"/>
  <c r="C313" i="3"/>
  <c r="AM313" i="3"/>
  <c r="S313" i="3"/>
  <c r="AK313" i="3"/>
  <c r="T313" i="3"/>
  <c r="Q313" i="3"/>
  <c r="AD313" i="3"/>
  <c r="P313" i="3"/>
  <c r="AF313" i="3"/>
  <c r="U313" i="3"/>
  <c r="O313" i="3"/>
  <c r="M313" i="3"/>
  <c r="AE313" i="3"/>
  <c r="V313" i="3"/>
  <c r="D313" i="3"/>
  <c r="R313" i="3"/>
  <c r="F313" i="3"/>
  <c r="G313" i="3"/>
  <c r="H313" i="3"/>
  <c r="X312" i="3"/>
  <c r="AX311" i="3"/>
  <c r="AG312" i="3"/>
  <c r="AO312" i="3"/>
  <c r="BF309" i="3"/>
  <c r="BJ308" i="3"/>
  <c r="BK308" i="3"/>
  <c r="BQ309" i="3"/>
  <c r="BB309" i="3"/>
  <c r="BM313" i="3"/>
  <c r="BC310" i="3"/>
  <c r="BG310" i="3"/>
  <c r="BH310" i="3"/>
  <c r="BI310" i="3"/>
  <c r="AG313" i="3"/>
  <c r="BD309" i="3"/>
  <c r="AO313" i="3"/>
  <c r="AU312" i="3"/>
  <c r="AV311" i="3"/>
  <c r="AW312" i="3"/>
  <c r="BA311" i="3"/>
  <c r="BQ311" i="3"/>
  <c r="AY311" i="3"/>
  <c r="BB310" i="3"/>
  <c r="BF310" i="3"/>
  <c r="BJ309" i="3"/>
  <c r="BK309" i="3"/>
  <c r="Y313" i="3"/>
  <c r="Z313" i="3"/>
  <c r="AR314" i="3"/>
  <c r="B314" i="3"/>
  <c r="AQ314" i="3"/>
  <c r="A315" i="3"/>
  <c r="D314" i="3"/>
  <c r="AK314" i="3"/>
  <c r="AM314" i="3"/>
  <c r="T314" i="3"/>
  <c r="S314" i="3"/>
  <c r="Q314" i="3"/>
  <c r="R314" i="3"/>
  <c r="AD314" i="3"/>
  <c r="P314" i="3"/>
  <c r="AF314" i="3"/>
  <c r="O314" i="3"/>
  <c r="M314" i="3"/>
  <c r="AE314" i="3"/>
  <c r="U314" i="3"/>
  <c r="V314" i="3"/>
  <c r="F314" i="3"/>
  <c r="C314" i="3"/>
  <c r="G314" i="3"/>
  <c r="H314" i="3"/>
  <c r="AT312" i="3"/>
  <c r="AH313" i="3"/>
  <c r="AX312" i="3"/>
  <c r="BN313" i="3"/>
  <c r="AN313" i="3"/>
  <c r="X313" i="3"/>
  <c r="BD310" i="3"/>
  <c r="AY312" i="3"/>
  <c r="BC311" i="3"/>
  <c r="BD311" i="3"/>
  <c r="BF311" i="3"/>
  <c r="BJ310" i="3"/>
  <c r="BK310" i="3"/>
  <c r="BB311" i="3"/>
  <c r="AX313" i="3"/>
  <c r="AN314" i="3"/>
  <c r="AT313" i="3"/>
  <c r="AG314" i="3"/>
  <c r="X314" i="3"/>
  <c r="Y314" i="3"/>
  <c r="Z314" i="3"/>
  <c r="AV312" i="3"/>
  <c r="BA312" i="3"/>
  <c r="AQ315" i="3"/>
  <c r="B315" i="3"/>
  <c r="A316" i="3"/>
  <c r="AR315" i="3"/>
  <c r="AK315" i="3"/>
  <c r="AM315" i="3"/>
  <c r="R315" i="3"/>
  <c r="Q315" i="3"/>
  <c r="AD315" i="3"/>
  <c r="P315" i="3"/>
  <c r="O315" i="3"/>
  <c r="M315" i="3"/>
  <c r="AF315" i="3"/>
  <c r="V315" i="3"/>
  <c r="AE315" i="3"/>
  <c r="U315" i="3"/>
  <c r="C315" i="3"/>
  <c r="D315" i="3"/>
  <c r="G315" i="3"/>
  <c r="H315" i="3"/>
  <c r="F315" i="3"/>
  <c r="T315" i="3"/>
  <c r="S315" i="3"/>
  <c r="AU313" i="3"/>
  <c r="AW313" i="3"/>
  <c r="BN314" i="3"/>
  <c r="BM314" i="3"/>
  <c r="AH314" i="3"/>
  <c r="AO314" i="3"/>
  <c r="BC312" i="3"/>
  <c r="BG312" i="3"/>
  <c r="BH312" i="3"/>
  <c r="BI312" i="3"/>
  <c r="BG311" i="3"/>
  <c r="BH311" i="3"/>
  <c r="BI311" i="3"/>
  <c r="AY313" i="3"/>
  <c r="AG315" i="3"/>
  <c r="BM315" i="3"/>
  <c r="AN315" i="3"/>
  <c r="AV313" i="3"/>
  <c r="AX314" i="3"/>
  <c r="A317" i="3"/>
  <c r="B316" i="3"/>
  <c r="AR316" i="3"/>
  <c r="AQ316" i="3"/>
  <c r="D316" i="3"/>
  <c r="C316" i="3"/>
  <c r="AK316" i="3"/>
  <c r="T316" i="3"/>
  <c r="AM316" i="3"/>
  <c r="S316" i="3"/>
  <c r="Q316" i="3"/>
  <c r="AD316" i="3"/>
  <c r="P316" i="3"/>
  <c r="M316" i="3"/>
  <c r="AF316" i="3"/>
  <c r="V316" i="3"/>
  <c r="U316" i="3"/>
  <c r="O316" i="3"/>
  <c r="AE316" i="3"/>
  <c r="F316" i="3"/>
  <c r="R316" i="3"/>
  <c r="G316" i="3"/>
  <c r="H316" i="3"/>
  <c r="AT314" i="3"/>
  <c r="AW314" i="3"/>
  <c r="AU314" i="3"/>
  <c r="BN315" i="3"/>
  <c r="AH315" i="3"/>
  <c r="AO315" i="3"/>
  <c r="BA313" i="3"/>
  <c r="Y315" i="3"/>
  <c r="Z315" i="3"/>
  <c r="BB312" i="3"/>
  <c r="BQ312" i="3"/>
  <c r="BF312" i="3"/>
  <c r="BJ311" i="3"/>
  <c r="BK311" i="3"/>
  <c r="X315" i="3"/>
  <c r="BD312" i="3"/>
  <c r="BM316" i="3"/>
  <c r="AN316" i="3"/>
  <c r="BC313" i="3"/>
  <c r="BD313" i="3"/>
  <c r="AU315" i="3"/>
  <c r="BN316" i="3"/>
  <c r="AY314" i="3"/>
  <c r="AX315" i="3"/>
  <c r="AT315" i="3"/>
  <c r="AH316" i="3"/>
  <c r="BQ313" i="3"/>
  <c r="BB313" i="3"/>
  <c r="BF313" i="3"/>
  <c r="BJ312" i="3"/>
  <c r="BK312" i="3"/>
  <c r="AV314" i="3"/>
  <c r="BA314" i="3"/>
  <c r="AR317" i="3"/>
  <c r="B317" i="3"/>
  <c r="AQ317" i="3"/>
  <c r="A318" i="3"/>
  <c r="AK317" i="3"/>
  <c r="S317" i="3"/>
  <c r="AM317" i="3"/>
  <c r="R317" i="3"/>
  <c r="AD317" i="3"/>
  <c r="P317" i="3"/>
  <c r="AE317" i="3"/>
  <c r="M317" i="3"/>
  <c r="O317" i="3"/>
  <c r="V317" i="3"/>
  <c r="AF317" i="3"/>
  <c r="U317" i="3"/>
  <c r="Q317" i="3"/>
  <c r="C317" i="3"/>
  <c r="D317" i="3"/>
  <c r="G317" i="3"/>
  <c r="H317" i="3"/>
  <c r="F317" i="3"/>
  <c r="T317" i="3"/>
  <c r="AW315" i="3"/>
  <c r="AG316" i="3"/>
  <c r="AO316" i="3"/>
  <c r="Y316" i="3"/>
  <c r="Z316" i="3"/>
  <c r="X316" i="3"/>
  <c r="AV315" i="3"/>
  <c r="AN317" i="3"/>
  <c r="BC314" i="3"/>
  <c r="BD314" i="3"/>
  <c r="BG313" i="3"/>
  <c r="BH313" i="3"/>
  <c r="BI313" i="3"/>
  <c r="AY315" i="3"/>
  <c r="BM317" i="3"/>
  <c r="BA315" i="3"/>
  <c r="BQ315" i="3"/>
  <c r="AW316" i="3"/>
  <c r="AU316" i="3"/>
  <c r="AX316" i="3"/>
  <c r="AR318" i="3"/>
  <c r="B318" i="3"/>
  <c r="AQ318" i="3"/>
  <c r="A319" i="3"/>
  <c r="C318" i="3"/>
  <c r="R318" i="3"/>
  <c r="Q318" i="3"/>
  <c r="AK318" i="3"/>
  <c r="AM318" i="3"/>
  <c r="P318" i="3"/>
  <c r="S318" i="3"/>
  <c r="AD318" i="3"/>
  <c r="O318" i="3"/>
  <c r="AE318" i="3"/>
  <c r="M318" i="3"/>
  <c r="U318" i="3"/>
  <c r="AF318" i="3"/>
  <c r="V318" i="3"/>
  <c r="G318" i="3"/>
  <c r="H318" i="3"/>
  <c r="D318" i="3"/>
  <c r="F318" i="3"/>
  <c r="T318" i="3"/>
  <c r="BF314" i="3"/>
  <c r="BJ313" i="3"/>
  <c r="BK313" i="3"/>
  <c r="BQ314" i="3"/>
  <c r="BB314" i="3"/>
  <c r="AT316" i="3"/>
  <c r="Y317" i="3"/>
  <c r="Z317" i="3"/>
  <c r="BN317" i="3"/>
  <c r="X317" i="3"/>
  <c r="AG317" i="3"/>
  <c r="AH317" i="3"/>
  <c r="AO317" i="3"/>
  <c r="BM318" i="3"/>
  <c r="BC315" i="3"/>
  <c r="BD315" i="3"/>
  <c r="BF315" i="3"/>
  <c r="BJ314" i="3"/>
  <c r="BK314" i="3"/>
  <c r="BG314" i="3"/>
  <c r="BH314" i="3"/>
  <c r="BI314" i="3"/>
  <c r="BN318" i="3"/>
  <c r="BB315" i="3"/>
  <c r="AY316" i="3"/>
  <c r="AN318" i="3"/>
  <c r="AX317" i="3"/>
  <c r="BA316" i="3"/>
  <c r="BB316" i="3"/>
  <c r="Y318" i="3"/>
  <c r="Z318" i="3"/>
  <c r="AU317" i="3"/>
  <c r="X318" i="3"/>
  <c r="AQ319" i="3"/>
  <c r="B319" i="3"/>
  <c r="A320" i="3"/>
  <c r="AR319" i="3"/>
  <c r="AM319" i="3"/>
  <c r="D319" i="3"/>
  <c r="AK319" i="3"/>
  <c r="Q319" i="3"/>
  <c r="S319" i="3"/>
  <c r="AD319" i="3"/>
  <c r="P319" i="3"/>
  <c r="O319" i="3"/>
  <c r="AE319" i="3"/>
  <c r="AF319" i="3"/>
  <c r="M319" i="3"/>
  <c r="U319" i="3"/>
  <c r="V319" i="3"/>
  <c r="C319" i="3"/>
  <c r="F319" i="3"/>
  <c r="R319" i="3"/>
  <c r="G319" i="3"/>
  <c r="H319" i="3"/>
  <c r="T319" i="3"/>
  <c r="AT317" i="3"/>
  <c r="AW317" i="3"/>
  <c r="AV316" i="3"/>
  <c r="AG318" i="3"/>
  <c r="AH318" i="3"/>
  <c r="AO318" i="3"/>
  <c r="BG315" i="3"/>
  <c r="BH315" i="3"/>
  <c r="BI315" i="3"/>
  <c r="AO319" i="3"/>
  <c r="BN319" i="3"/>
  <c r="BM319" i="3"/>
  <c r="BC316" i="3"/>
  <c r="BD316" i="3"/>
  <c r="BF316" i="3"/>
  <c r="BJ315" i="3"/>
  <c r="BK315" i="3"/>
  <c r="AY317" i="3"/>
  <c r="BQ316" i="3"/>
  <c r="AX318" i="3"/>
  <c r="AG319" i="3"/>
  <c r="AV317" i="3"/>
  <c r="BA317" i="3"/>
  <c r="AW318" i="3"/>
  <c r="Y319" i="3"/>
  <c r="Z319" i="3"/>
  <c r="X319" i="3"/>
  <c r="AH319" i="3"/>
  <c r="AT318" i="3"/>
  <c r="A321" i="3"/>
  <c r="B320" i="3"/>
  <c r="AR320" i="3"/>
  <c r="AQ320" i="3"/>
  <c r="D320" i="3"/>
  <c r="AM320" i="3"/>
  <c r="AK320" i="3"/>
  <c r="S320" i="3"/>
  <c r="R320" i="3"/>
  <c r="AD320" i="3"/>
  <c r="Q320" i="3"/>
  <c r="P320" i="3"/>
  <c r="M320" i="3"/>
  <c r="U320" i="3"/>
  <c r="V320" i="3"/>
  <c r="O320" i="3"/>
  <c r="AE320" i="3"/>
  <c r="AF320" i="3"/>
  <c r="G320" i="3"/>
  <c r="H320" i="3"/>
  <c r="F320" i="3"/>
  <c r="C320" i="3"/>
  <c r="T320" i="3"/>
  <c r="AN319" i="3"/>
  <c r="AU318" i="3"/>
  <c r="BN320" i="3"/>
  <c r="BG316" i="3"/>
  <c r="BH316" i="3"/>
  <c r="BI316" i="3"/>
  <c r="AT319" i="3"/>
  <c r="AY318" i="3"/>
  <c r="BC317" i="3"/>
  <c r="BG317" i="3"/>
  <c r="BH317" i="3"/>
  <c r="BI317" i="3"/>
  <c r="AO320" i="3"/>
  <c r="AW319" i="3"/>
  <c r="AU319" i="3"/>
  <c r="AG320" i="3"/>
  <c r="X320" i="3"/>
  <c r="AV318" i="3"/>
  <c r="BA318" i="3"/>
  <c r="Y320" i="3"/>
  <c r="Z320" i="3"/>
  <c r="BM320" i="3"/>
  <c r="AH320" i="3"/>
  <c r="AN320" i="3"/>
  <c r="AR321" i="3"/>
  <c r="B321" i="3"/>
  <c r="AQ321" i="3"/>
  <c r="A322" i="3"/>
  <c r="T321" i="3"/>
  <c r="AK321" i="3"/>
  <c r="AM321" i="3"/>
  <c r="S321" i="3"/>
  <c r="Q321" i="3"/>
  <c r="R321" i="3"/>
  <c r="AD321" i="3"/>
  <c r="P321" i="3"/>
  <c r="O321" i="3"/>
  <c r="M321" i="3"/>
  <c r="AF321" i="3"/>
  <c r="V321" i="3"/>
  <c r="U321" i="3"/>
  <c r="AE321" i="3"/>
  <c r="D321" i="3"/>
  <c r="F321" i="3"/>
  <c r="C321" i="3"/>
  <c r="G321" i="3"/>
  <c r="H321" i="3"/>
  <c r="BQ317" i="3"/>
  <c r="BB317" i="3"/>
  <c r="BF317" i="3"/>
  <c r="BJ316" i="3"/>
  <c r="BK316" i="3"/>
  <c r="AX319" i="3"/>
  <c r="BD317" i="3"/>
  <c r="AV319" i="3"/>
  <c r="BC318" i="3"/>
  <c r="BG318" i="3"/>
  <c r="BH318" i="3"/>
  <c r="BI318" i="3"/>
  <c r="BA319" i="3"/>
  <c r="BB319" i="3"/>
  <c r="AX320" i="3"/>
  <c r="X321" i="3"/>
  <c r="Y321" i="3"/>
  <c r="Z321" i="3"/>
  <c r="AO321" i="3"/>
  <c r="AN321" i="3"/>
  <c r="AR322" i="3"/>
  <c r="B322" i="3"/>
  <c r="AQ322" i="3"/>
  <c r="A323" i="3"/>
  <c r="D322" i="3"/>
  <c r="AK322" i="3"/>
  <c r="S322" i="3"/>
  <c r="Q322" i="3"/>
  <c r="C322" i="3"/>
  <c r="AM322" i="3"/>
  <c r="R322" i="3"/>
  <c r="AD322" i="3"/>
  <c r="P322" i="3"/>
  <c r="AE322" i="3"/>
  <c r="O322" i="3"/>
  <c r="M322" i="3"/>
  <c r="AF322" i="3"/>
  <c r="V322" i="3"/>
  <c r="U322" i="3"/>
  <c r="G322" i="3"/>
  <c r="H322" i="3"/>
  <c r="F322" i="3"/>
  <c r="T322" i="3"/>
  <c r="AH321" i="3"/>
  <c r="AU320" i="3"/>
  <c r="AT320" i="3"/>
  <c r="AY319" i="3"/>
  <c r="BN321" i="3"/>
  <c r="BM321" i="3"/>
  <c r="AG321" i="3"/>
  <c r="AW320" i="3"/>
  <c r="BB318" i="3"/>
  <c r="BF318" i="3"/>
  <c r="BJ317" i="3"/>
  <c r="BK317" i="3"/>
  <c r="BQ318" i="3"/>
  <c r="BM322" i="3"/>
  <c r="BD318" i="3"/>
  <c r="BQ319" i="3"/>
  <c r="AN322" i="3"/>
  <c r="BC319" i="3"/>
  <c r="BD319" i="3"/>
  <c r="BF319" i="3"/>
  <c r="BJ318" i="3"/>
  <c r="BK318" i="3"/>
  <c r="AY320" i="3"/>
  <c r="AW321" i="3"/>
  <c r="AV320" i="3"/>
  <c r="AQ323" i="3"/>
  <c r="B323" i="3"/>
  <c r="A324" i="3"/>
  <c r="AR323" i="3"/>
  <c r="AM323" i="3"/>
  <c r="S323" i="3"/>
  <c r="AK323" i="3"/>
  <c r="R323" i="3"/>
  <c r="P323" i="3"/>
  <c r="T323" i="3"/>
  <c r="Q323" i="3"/>
  <c r="AD323" i="3"/>
  <c r="O323" i="3"/>
  <c r="AF323" i="3"/>
  <c r="U323" i="3"/>
  <c r="V323" i="3"/>
  <c r="M323" i="3"/>
  <c r="AE323" i="3"/>
  <c r="D323" i="3"/>
  <c r="C323" i="3"/>
  <c r="F323" i="3"/>
  <c r="G323" i="3"/>
  <c r="H323" i="3"/>
  <c r="AX321" i="3"/>
  <c r="AU321" i="3"/>
  <c r="BA320" i="3"/>
  <c r="AT321" i="3"/>
  <c r="Y322" i="3"/>
  <c r="Z322" i="3"/>
  <c r="BN322" i="3"/>
  <c r="AG322" i="3"/>
  <c r="AH322" i="3"/>
  <c r="AO322" i="3"/>
  <c r="X322" i="3"/>
  <c r="BC320" i="3"/>
  <c r="BD320" i="3"/>
  <c r="AG323" i="3"/>
  <c r="AO323" i="3"/>
  <c r="BG319" i="3"/>
  <c r="BH319" i="3"/>
  <c r="BI319" i="3"/>
  <c r="AY321" i="3"/>
  <c r="BN323" i="3"/>
  <c r="AT322" i="3"/>
  <c r="AU322" i="3"/>
  <c r="X323" i="3"/>
  <c r="AV321" i="3"/>
  <c r="BA321" i="3"/>
  <c r="Y323" i="3"/>
  <c r="Z323" i="3"/>
  <c r="A325" i="3"/>
  <c r="B324" i="3"/>
  <c r="AR324" i="3"/>
  <c r="AQ324" i="3"/>
  <c r="D324" i="3"/>
  <c r="AM324" i="3"/>
  <c r="AK324" i="3"/>
  <c r="R324" i="3"/>
  <c r="Q324" i="3"/>
  <c r="AD324" i="3"/>
  <c r="T324" i="3"/>
  <c r="P324" i="3"/>
  <c r="O324" i="3"/>
  <c r="V324" i="3"/>
  <c r="AE324" i="3"/>
  <c r="AF324" i="3"/>
  <c r="M324" i="3"/>
  <c r="U324" i="3"/>
  <c r="F324" i="3"/>
  <c r="C324" i="3"/>
  <c r="G324" i="3"/>
  <c r="H324" i="3"/>
  <c r="S324" i="3"/>
  <c r="AX322" i="3"/>
  <c r="BM323" i="3"/>
  <c r="AN323" i="3"/>
  <c r="BF320" i="3"/>
  <c r="BJ319" i="3"/>
  <c r="BK319" i="3"/>
  <c r="BQ320" i="3"/>
  <c r="BB320" i="3"/>
  <c r="AW322" i="3"/>
  <c r="AH323" i="3"/>
  <c r="BN324" i="3"/>
  <c r="BG320" i="3"/>
  <c r="BH320" i="3"/>
  <c r="BI320" i="3"/>
  <c r="BC321" i="3"/>
  <c r="BG321" i="3"/>
  <c r="BH321" i="3"/>
  <c r="BI321" i="3"/>
  <c r="BM324" i="3"/>
  <c r="AV322" i="3"/>
  <c r="BA322" i="3"/>
  <c r="BB322" i="3"/>
  <c r="AW323" i="3"/>
  <c r="AO324" i="3"/>
  <c r="AG324" i="3"/>
  <c r="AT323" i="3"/>
  <c r="Y324" i="3"/>
  <c r="Z324" i="3"/>
  <c r="AR325" i="3"/>
  <c r="B325" i="3"/>
  <c r="AQ325" i="3"/>
  <c r="A326" i="3"/>
  <c r="C325" i="3"/>
  <c r="AM325" i="3"/>
  <c r="AK325" i="3"/>
  <c r="S325" i="3"/>
  <c r="R325" i="3"/>
  <c r="D325" i="3"/>
  <c r="AD325" i="3"/>
  <c r="P325" i="3"/>
  <c r="O325" i="3"/>
  <c r="M325" i="3"/>
  <c r="V325" i="3"/>
  <c r="AF325" i="3"/>
  <c r="AE325" i="3"/>
  <c r="U325" i="3"/>
  <c r="Q325" i="3"/>
  <c r="G325" i="3"/>
  <c r="H325" i="3"/>
  <c r="F325" i="3"/>
  <c r="T325" i="3"/>
  <c r="BB321" i="3"/>
  <c r="BF321" i="3"/>
  <c r="BJ320" i="3"/>
  <c r="BK320" i="3"/>
  <c r="BQ321" i="3"/>
  <c r="AX323" i="3"/>
  <c r="AY322" i="3"/>
  <c r="AU323" i="3"/>
  <c r="X324" i="3"/>
  <c r="AH324" i="3"/>
  <c r="AN324" i="3"/>
  <c r="BM325" i="3"/>
  <c r="BN325" i="3"/>
  <c r="BD321" i="3"/>
  <c r="BC322" i="3"/>
  <c r="BD322" i="3"/>
  <c r="AO325" i="3"/>
  <c r="BQ322" i="3"/>
  <c r="BF322" i="3"/>
  <c r="BJ321" i="3"/>
  <c r="BK321" i="3"/>
  <c r="AG325" i="3"/>
  <c r="BA323" i="3"/>
  <c r="BB323" i="3"/>
  <c r="AY323" i="3"/>
  <c r="AX324" i="3"/>
  <c r="Y325" i="3"/>
  <c r="Z325" i="3"/>
  <c r="AR326" i="3"/>
  <c r="B326" i="3"/>
  <c r="AQ326" i="3"/>
  <c r="A327" i="3"/>
  <c r="AK326" i="3"/>
  <c r="T326" i="3"/>
  <c r="S326" i="3"/>
  <c r="AM326" i="3"/>
  <c r="R326" i="3"/>
  <c r="AD326" i="3"/>
  <c r="P326" i="3"/>
  <c r="O326" i="3"/>
  <c r="M326" i="3"/>
  <c r="AE326" i="3"/>
  <c r="AF326" i="3"/>
  <c r="V326" i="3"/>
  <c r="U326" i="3"/>
  <c r="C326" i="3"/>
  <c r="G326" i="3"/>
  <c r="H326" i="3"/>
  <c r="F326" i="3"/>
  <c r="Q326" i="3"/>
  <c r="D326" i="3"/>
  <c r="AU324" i="3"/>
  <c r="AW324" i="3"/>
  <c r="AN325" i="3"/>
  <c r="AV323" i="3"/>
  <c r="AT324" i="3"/>
  <c r="AH325" i="3"/>
  <c r="X325" i="3"/>
  <c r="BM326" i="3"/>
  <c r="BG322" i="3"/>
  <c r="BH322" i="3"/>
  <c r="BI322" i="3"/>
  <c r="AO326" i="3"/>
  <c r="BN326" i="3"/>
  <c r="BQ323" i="3"/>
  <c r="AY324" i="3"/>
  <c r="BF323" i="3"/>
  <c r="BJ322" i="3"/>
  <c r="BK322" i="3"/>
  <c r="BC323" i="3"/>
  <c r="BG323" i="3"/>
  <c r="BH323" i="3"/>
  <c r="BI323" i="3"/>
  <c r="AX325" i="3"/>
  <c r="AT325" i="3"/>
  <c r="AU325" i="3"/>
  <c r="Y326" i="3"/>
  <c r="Z326" i="3"/>
  <c r="AQ327" i="3"/>
  <c r="B327" i="3"/>
  <c r="A328" i="3"/>
  <c r="AR327" i="3"/>
  <c r="D327" i="3"/>
  <c r="AM327" i="3"/>
  <c r="S327" i="3"/>
  <c r="AK327" i="3"/>
  <c r="R327" i="3"/>
  <c r="Q327" i="3"/>
  <c r="P327" i="3"/>
  <c r="AD327" i="3"/>
  <c r="O327" i="3"/>
  <c r="AE327" i="3"/>
  <c r="U327" i="3"/>
  <c r="M327" i="3"/>
  <c r="AF327" i="3"/>
  <c r="V327" i="3"/>
  <c r="C327" i="3"/>
  <c r="G327" i="3"/>
  <c r="H327" i="3"/>
  <c r="F327" i="3"/>
  <c r="T327" i="3"/>
  <c r="AW325" i="3"/>
  <c r="X326" i="3"/>
  <c r="AG326" i="3"/>
  <c r="AH326" i="3"/>
  <c r="AN326" i="3"/>
  <c r="AV324" i="3"/>
  <c r="BA324" i="3"/>
  <c r="BM327" i="3"/>
  <c r="BD323" i="3"/>
  <c r="BC324" i="3"/>
  <c r="BG324" i="3"/>
  <c r="BH324" i="3"/>
  <c r="BI324" i="3"/>
  <c r="AY325" i="3"/>
  <c r="BN327" i="3"/>
  <c r="AT326" i="3"/>
  <c r="AV325" i="3"/>
  <c r="AG327" i="3"/>
  <c r="AU326" i="3"/>
  <c r="AN327" i="3"/>
  <c r="AO327" i="3"/>
  <c r="A329" i="3"/>
  <c r="B328" i="3"/>
  <c r="AR328" i="3"/>
  <c r="AQ328" i="3"/>
  <c r="C328" i="3"/>
  <c r="D328" i="3"/>
  <c r="AM328" i="3"/>
  <c r="AK328" i="3"/>
  <c r="R328" i="3"/>
  <c r="Q328" i="3"/>
  <c r="S328" i="3"/>
  <c r="AD328" i="3"/>
  <c r="P328" i="3"/>
  <c r="O328" i="3"/>
  <c r="M328" i="3"/>
  <c r="AE328" i="3"/>
  <c r="AF328" i="3"/>
  <c r="U328" i="3"/>
  <c r="V328" i="3"/>
  <c r="G328" i="3"/>
  <c r="H328" i="3"/>
  <c r="F328" i="3"/>
  <c r="T328" i="3"/>
  <c r="AX326" i="3"/>
  <c r="X327" i="3"/>
  <c r="BQ324" i="3"/>
  <c r="BF324" i="3"/>
  <c r="BJ323" i="3"/>
  <c r="BK323" i="3"/>
  <c r="BB324" i="3"/>
  <c r="AW326" i="3"/>
  <c r="Y327" i="3"/>
  <c r="Z327" i="3"/>
  <c r="AH327" i="3"/>
  <c r="BA325" i="3"/>
  <c r="BD324" i="3"/>
  <c r="BM328" i="3"/>
  <c r="BN328" i="3"/>
  <c r="BC325" i="3"/>
  <c r="BD325" i="3"/>
  <c r="AO328" i="3"/>
  <c r="AV326" i="3"/>
  <c r="AY326" i="3"/>
  <c r="AG328" i="3"/>
  <c r="AW327" i="3"/>
  <c r="AT327" i="3"/>
  <c r="Y328" i="3"/>
  <c r="Z328" i="3"/>
  <c r="BA326" i="3"/>
  <c r="BQ326" i="3"/>
  <c r="BB325" i="3"/>
  <c r="BQ325" i="3"/>
  <c r="BF325" i="3"/>
  <c r="BJ324" i="3"/>
  <c r="BK324" i="3"/>
  <c r="AR329" i="3"/>
  <c r="B329" i="3"/>
  <c r="AQ329" i="3"/>
  <c r="A330" i="3"/>
  <c r="AK329" i="3"/>
  <c r="AM329" i="3"/>
  <c r="S329" i="3"/>
  <c r="R329" i="3"/>
  <c r="AD329" i="3"/>
  <c r="P329" i="3"/>
  <c r="O329" i="3"/>
  <c r="M329" i="3"/>
  <c r="AF329" i="3"/>
  <c r="V329" i="3"/>
  <c r="U329" i="3"/>
  <c r="AE329" i="3"/>
  <c r="Q329" i="3"/>
  <c r="D329" i="3"/>
  <c r="G329" i="3"/>
  <c r="H329" i="3"/>
  <c r="F329" i="3"/>
  <c r="C329" i="3"/>
  <c r="T329" i="3"/>
  <c r="AN328" i="3"/>
  <c r="X328" i="3"/>
  <c r="AU327" i="3"/>
  <c r="AH328" i="3"/>
  <c r="AX327" i="3"/>
  <c r="BG325" i="3"/>
  <c r="BH325" i="3"/>
  <c r="BI325" i="3"/>
  <c r="BN329" i="3"/>
  <c r="AY327" i="3"/>
  <c r="BC326" i="3"/>
  <c r="BD326" i="3"/>
  <c r="AX328" i="3"/>
  <c r="AO329" i="3"/>
  <c r="AV327" i="3"/>
  <c r="BF326" i="3"/>
  <c r="BJ325" i="3"/>
  <c r="BK325" i="3"/>
  <c r="AW328" i="3"/>
  <c r="AU328" i="3"/>
  <c r="BB326" i="3"/>
  <c r="X329" i="3"/>
  <c r="AR330" i="3"/>
  <c r="B330" i="3"/>
  <c r="AQ330" i="3"/>
  <c r="A331" i="3"/>
  <c r="D330" i="3"/>
  <c r="C330" i="3"/>
  <c r="S330" i="3"/>
  <c r="R330" i="3"/>
  <c r="AM330" i="3"/>
  <c r="AK330" i="3"/>
  <c r="Q330" i="3"/>
  <c r="AD330" i="3"/>
  <c r="P330" i="3"/>
  <c r="O330" i="3"/>
  <c r="M330" i="3"/>
  <c r="V330" i="3"/>
  <c r="AE330" i="3"/>
  <c r="AF330" i="3"/>
  <c r="U330" i="3"/>
  <c r="F330" i="3"/>
  <c r="G330" i="3"/>
  <c r="H330" i="3"/>
  <c r="T330" i="3"/>
  <c r="AH329" i="3"/>
  <c r="AT328" i="3"/>
  <c r="Y329" i="3"/>
  <c r="Z329" i="3"/>
  <c r="BM329" i="3"/>
  <c r="AG329" i="3"/>
  <c r="AN329" i="3"/>
  <c r="BA327" i="3"/>
  <c r="BN330" i="3"/>
  <c r="BM330" i="3"/>
  <c r="BG326" i="3"/>
  <c r="BH326" i="3"/>
  <c r="BI326" i="3"/>
  <c r="BC327" i="3"/>
  <c r="BG327" i="3"/>
  <c r="BH327" i="3"/>
  <c r="BI327" i="3"/>
  <c r="AN330" i="3"/>
  <c r="AY328" i="3"/>
  <c r="AT329" i="3"/>
  <c r="AG330" i="3"/>
  <c r="BB327" i="3"/>
  <c r="BQ327" i="3"/>
  <c r="BF327" i="3"/>
  <c r="BJ326" i="3"/>
  <c r="BK326" i="3"/>
  <c r="BA328" i="3"/>
  <c r="AV328" i="3"/>
  <c r="AQ331" i="3"/>
  <c r="B331" i="3"/>
  <c r="A332" i="3"/>
  <c r="AR331" i="3"/>
  <c r="AM331" i="3"/>
  <c r="AK331" i="3"/>
  <c r="T331" i="3"/>
  <c r="R331" i="3"/>
  <c r="Q331" i="3"/>
  <c r="AD331" i="3"/>
  <c r="M331" i="3"/>
  <c r="AF331" i="3"/>
  <c r="O331" i="3"/>
  <c r="AE331" i="3"/>
  <c r="V331" i="3"/>
  <c r="U331" i="3"/>
  <c r="D331" i="3"/>
  <c r="C331" i="3"/>
  <c r="F331" i="3"/>
  <c r="G331" i="3"/>
  <c r="H331" i="3"/>
  <c r="P331" i="3"/>
  <c r="S331" i="3"/>
  <c r="AX329" i="3"/>
  <c r="AU329" i="3"/>
  <c r="AW329" i="3"/>
  <c r="Y330" i="3"/>
  <c r="Z330" i="3"/>
  <c r="AH330" i="3"/>
  <c r="AO330" i="3"/>
  <c r="X330" i="3"/>
  <c r="BD327" i="3"/>
  <c r="AG331" i="3"/>
  <c r="AY329" i="3"/>
  <c r="AT330" i="3"/>
  <c r="BM331" i="3"/>
  <c r="BC328" i="3"/>
  <c r="BD328" i="3"/>
  <c r="AX330" i="3"/>
  <c r="AN331" i="3"/>
  <c r="Y331" i="3"/>
  <c r="Z331" i="3"/>
  <c r="BA329" i="3"/>
  <c r="BB329" i="3"/>
  <c r="AU330" i="3"/>
  <c r="AW330" i="3"/>
  <c r="X331" i="3"/>
  <c r="BN331" i="3"/>
  <c r="AH331" i="3"/>
  <c r="AO331" i="3"/>
  <c r="AV329" i="3"/>
  <c r="A333" i="3"/>
  <c r="B332" i="3"/>
  <c r="AR332" i="3"/>
  <c r="AQ332" i="3"/>
  <c r="C332" i="3"/>
  <c r="AK332" i="3"/>
  <c r="Q332" i="3"/>
  <c r="AM332" i="3"/>
  <c r="D332" i="3"/>
  <c r="AD332" i="3"/>
  <c r="S332" i="3"/>
  <c r="R332" i="3"/>
  <c r="P332" i="3"/>
  <c r="M332" i="3"/>
  <c r="AE332" i="3"/>
  <c r="O332" i="3"/>
  <c r="AF332" i="3"/>
  <c r="V332" i="3"/>
  <c r="U332" i="3"/>
  <c r="G332" i="3"/>
  <c r="H332" i="3"/>
  <c r="F332" i="3"/>
  <c r="T332" i="3"/>
  <c r="BF328" i="3"/>
  <c r="BJ327" i="3"/>
  <c r="BK327" i="3"/>
  <c r="BB328" i="3"/>
  <c r="BQ328" i="3"/>
  <c r="BM332" i="3"/>
  <c r="BC329" i="3"/>
  <c r="BD329" i="3"/>
  <c r="AN332" i="3"/>
  <c r="AV330" i="3"/>
  <c r="BG328" i="3"/>
  <c r="BH328" i="3"/>
  <c r="BI328" i="3"/>
  <c r="AY330" i="3"/>
  <c r="AX331" i="3"/>
  <c r="AU331" i="3"/>
  <c r="AG332" i="3"/>
  <c r="BF329" i="3"/>
  <c r="BJ328" i="3"/>
  <c r="BK328" i="3"/>
  <c r="BA330" i="3"/>
  <c r="BB330" i="3"/>
  <c r="BQ329" i="3"/>
  <c r="X332" i="3"/>
  <c r="Y332" i="3"/>
  <c r="Z332" i="3"/>
  <c r="BN332" i="3"/>
  <c r="AH332" i="3"/>
  <c r="AO332" i="3"/>
  <c r="AW331" i="3"/>
  <c r="AR333" i="3"/>
  <c r="B333" i="3"/>
  <c r="AQ333" i="3"/>
  <c r="A334" i="3"/>
  <c r="AK333" i="3"/>
  <c r="AM333" i="3"/>
  <c r="T333" i="3"/>
  <c r="Q333" i="3"/>
  <c r="S333" i="3"/>
  <c r="R333" i="3"/>
  <c r="AD333" i="3"/>
  <c r="P333" i="3"/>
  <c r="AE333" i="3"/>
  <c r="O333" i="3"/>
  <c r="M333" i="3"/>
  <c r="AF333" i="3"/>
  <c r="V333" i="3"/>
  <c r="U333" i="3"/>
  <c r="D333" i="3"/>
  <c r="C333" i="3"/>
  <c r="G333" i="3"/>
  <c r="H333" i="3"/>
  <c r="F333" i="3"/>
  <c r="AT331" i="3"/>
  <c r="BM333" i="3"/>
  <c r="BG329" i="3"/>
  <c r="BH329" i="3"/>
  <c r="BI329" i="3"/>
  <c r="BN333" i="3"/>
  <c r="AY331" i="3"/>
  <c r="BC330" i="3"/>
  <c r="BD330" i="3"/>
  <c r="AN333" i="3"/>
  <c r="BQ330" i="3"/>
  <c r="AW332" i="3"/>
  <c r="AU332" i="3"/>
  <c r="AT332" i="3"/>
  <c r="BF330" i="3"/>
  <c r="BJ329" i="3"/>
  <c r="BK329" i="3"/>
  <c r="AV331" i="3"/>
  <c r="BA331" i="3"/>
  <c r="Y333" i="3"/>
  <c r="Z333" i="3"/>
  <c r="X333" i="3"/>
  <c r="AG333" i="3"/>
  <c r="AH333" i="3"/>
  <c r="AO333" i="3"/>
  <c r="AX332" i="3"/>
  <c r="AR334" i="3"/>
  <c r="B334" i="3"/>
  <c r="AQ334" i="3"/>
  <c r="A335" i="3"/>
  <c r="D334" i="3"/>
  <c r="AM334" i="3"/>
  <c r="AK334" i="3"/>
  <c r="S334" i="3"/>
  <c r="Q334" i="3"/>
  <c r="R334" i="3"/>
  <c r="T334" i="3"/>
  <c r="AD334" i="3"/>
  <c r="P334" i="3"/>
  <c r="O334" i="3"/>
  <c r="M334" i="3"/>
  <c r="AF334" i="3"/>
  <c r="AE334" i="3"/>
  <c r="V334" i="3"/>
  <c r="U334" i="3"/>
  <c r="G334" i="3"/>
  <c r="H334" i="3"/>
  <c r="C334" i="3"/>
  <c r="F334" i="3"/>
  <c r="BC331" i="3"/>
  <c r="BD331" i="3"/>
  <c r="AV332" i="3"/>
  <c r="BG330" i="3"/>
  <c r="BH330" i="3"/>
  <c r="BI330" i="3"/>
  <c r="BA332" i="3"/>
  <c r="BB332" i="3"/>
  <c r="AT333" i="3"/>
  <c r="AO334" i="3"/>
  <c r="AG334" i="3"/>
  <c r="AY332" i="3"/>
  <c r="X334" i="3"/>
  <c r="BB331" i="3"/>
  <c r="BQ331" i="3"/>
  <c r="BF331" i="3"/>
  <c r="BJ330" i="3"/>
  <c r="BK330" i="3"/>
  <c r="AW333" i="3"/>
  <c r="Y334" i="3"/>
  <c r="Z334" i="3"/>
  <c r="AQ335" i="3"/>
  <c r="B335" i="3"/>
  <c r="A336" i="3"/>
  <c r="AR335" i="3"/>
  <c r="D335" i="3"/>
  <c r="AM335" i="3"/>
  <c r="T335" i="3"/>
  <c r="Q335" i="3"/>
  <c r="AK335" i="3"/>
  <c r="S335" i="3"/>
  <c r="R335" i="3"/>
  <c r="AD335" i="3"/>
  <c r="P335" i="3"/>
  <c r="O335" i="3"/>
  <c r="AE335" i="3"/>
  <c r="M335" i="3"/>
  <c r="AF335" i="3"/>
  <c r="U335" i="3"/>
  <c r="V335" i="3"/>
  <c r="C335" i="3"/>
  <c r="G335" i="3"/>
  <c r="H335" i="3"/>
  <c r="F335" i="3"/>
  <c r="BM334" i="3"/>
  <c r="BN334" i="3"/>
  <c r="AH334" i="3"/>
  <c r="AN334" i="3"/>
  <c r="AU333" i="3"/>
  <c r="AX333" i="3"/>
  <c r="BN335" i="3"/>
  <c r="BC332" i="3"/>
  <c r="BG332" i="3"/>
  <c r="BH332" i="3"/>
  <c r="BI332" i="3"/>
  <c r="BM335" i="3"/>
  <c r="BG331" i="3"/>
  <c r="BH331" i="3"/>
  <c r="BI331" i="3"/>
  <c r="AO335" i="3"/>
  <c r="BF332" i="3"/>
  <c r="BJ331" i="3"/>
  <c r="BK331" i="3"/>
  <c r="AY333" i="3"/>
  <c r="BQ332" i="3"/>
  <c r="AU334" i="3"/>
  <c r="BA333" i="3"/>
  <c r="BF333" i="3"/>
  <c r="AG335" i="3"/>
  <c r="AX334" i="3"/>
  <c r="X335" i="3"/>
  <c r="AH335" i="3"/>
  <c r="AN335" i="3"/>
  <c r="AV333" i="3"/>
  <c r="AW334" i="3"/>
  <c r="Y335" i="3"/>
  <c r="Z335" i="3"/>
  <c r="A337" i="3"/>
  <c r="B336" i="3"/>
  <c r="AR336" i="3"/>
  <c r="AQ336" i="3"/>
  <c r="C336" i="3"/>
  <c r="AM336" i="3"/>
  <c r="T336" i="3"/>
  <c r="S336" i="3"/>
  <c r="AK336" i="3"/>
  <c r="Q336" i="3"/>
  <c r="R336" i="3"/>
  <c r="P336" i="3"/>
  <c r="AD336" i="3"/>
  <c r="AE336" i="3"/>
  <c r="O336" i="3"/>
  <c r="M336" i="3"/>
  <c r="AF336" i="3"/>
  <c r="V336" i="3"/>
  <c r="U336" i="3"/>
  <c r="D336" i="3"/>
  <c r="G336" i="3"/>
  <c r="H336" i="3"/>
  <c r="F336" i="3"/>
  <c r="AT334" i="3"/>
  <c r="BC333" i="3"/>
  <c r="BD333" i="3"/>
  <c r="BD332" i="3"/>
  <c r="BM336" i="3"/>
  <c r="BJ332" i="3"/>
  <c r="BK332" i="3"/>
  <c r="BN336" i="3"/>
  <c r="AT335" i="3"/>
  <c r="AO336" i="3"/>
  <c r="BQ333" i="3"/>
  <c r="AY334" i="3"/>
  <c r="AX335" i="3"/>
  <c r="BB333" i="3"/>
  <c r="AU335" i="3"/>
  <c r="AH336" i="3"/>
  <c r="AR337" i="3"/>
  <c r="B337" i="3"/>
  <c r="AQ337" i="3"/>
  <c r="A338" i="3"/>
  <c r="AK337" i="3"/>
  <c r="AM337" i="3"/>
  <c r="R337" i="3"/>
  <c r="Q337" i="3"/>
  <c r="AD337" i="3"/>
  <c r="P337" i="3"/>
  <c r="O337" i="3"/>
  <c r="AE337" i="3"/>
  <c r="AF337" i="3"/>
  <c r="M337" i="3"/>
  <c r="V337" i="3"/>
  <c r="U337" i="3"/>
  <c r="C337" i="3"/>
  <c r="G337" i="3"/>
  <c r="H337" i="3"/>
  <c r="F337" i="3"/>
  <c r="D337" i="3"/>
  <c r="T337" i="3"/>
  <c r="S337" i="3"/>
  <c r="X336" i="3"/>
  <c r="AV334" i="3"/>
  <c r="BA334" i="3"/>
  <c r="Y336" i="3"/>
  <c r="Z336" i="3"/>
  <c r="AG336" i="3"/>
  <c r="AN336" i="3"/>
  <c r="AW335" i="3"/>
  <c r="BG333" i="3"/>
  <c r="BH333" i="3"/>
  <c r="BI333" i="3"/>
  <c r="BM337" i="3"/>
  <c r="AV335" i="3"/>
  <c r="BC334" i="3"/>
  <c r="BD334" i="3"/>
  <c r="AO337" i="3"/>
  <c r="AY335" i="3"/>
  <c r="AW336" i="3"/>
  <c r="AU336" i="3"/>
  <c r="AX336" i="3"/>
  <c r="Y337" i="3"/>
  <c r="Z337" i="3"/>
  <c r="AT336" i="3"/>
  <c r="BA335" i="3"/>
  <c r="AH337" i="3"/>
  <c r="BF334" i="3"/>
  <c r="BJ333" i="3"/>
  <c r="BK333" i="3"/>
  <c r="BQ334" i="3"/>
  <c r="BB334" i="3"/>
  <c r="AR338" i="3"/>
  <c r="B338" i="3"/>
  <c r="AQ338" i="3"/>
  <c r="A339" i="3"/>
  <c r="D338" i="3"/>
  <c r="AM338" i="3"/>
  <c r="AK338" i="3"/>
  <c r="S338" i="3"/>
  <c r="Q338" i="3"/>
  <c r="AD338" i="3"/>
  <c r="P338" i="3"/>
  <c r="T338" i="3"/>
  <c r="O338" i="3"/>
  <c r="AE338" i="3"/>
  <c r="AF338" i="3"/>
  <c r="M338" i="3"/>
  <c r="U338" i="3"/>
  <c r="V338" i="3"/>
  <c r="R338" i="3"/>
  <c r="C338" i="3"/>
  <c r="F338" i="3"/>
  <c r="G338" i="3"/>
  <c r="H338" i="3"/>
  <c r="X337" i="3"/>
  <c r="BN337" i="3"/>
  <c r="AG337" i="3"/>
  <c r="AN337" i="3"/>
  <c r="BC335" i="3"/>
  <c r="BG335" i="3"/>
  <c r="BH335" i="3"/>
  <c r="BI335" i="3"/>
  <c r="AN338" i="3"/>
  <c r="BN338" i="3"/>
  <c r="BG334" i="3"/>
  <c r="BH334" i="3"/>
  <c r="BI334" i="3"/>
  <c r="AY336" i="3"/>
  <c r="AG338" i="3"/>
  <c r="AT337" i="3"/>
  <c r="X338" i="3"/>
  <c r="AQ339" i="3"/>
  <c r="B339" i="3"/>
  <c r="A340" i="3"/>
  <c r="AR339" i="3"/>
  <c r="D339" i="3"/>
  <c r="AM339" i="3"/>
  <c r="C339" i="3"/>
  <c r="AK339" i="3"/>
  <c r="S339" i="3"/>
  <c r="Q339" i="3"/>
  <c r="R339" i="3"/>
  <c r="AD339" i="3"/>
  <c r="P339" i="3"/>
  <c r="O339" i="3"/>
  <c r="M339" i="3"/>
  <c r="AF339" i="3"/>
  <c r="AE339" i="3"/>
  <c r="U339" i="3"/>
  <c r="V339" i="3"/>
  <c r="F339" i="3"/>
  <c r="G339" i="3"/>
  <c r="H339" i="3"/>
  <c r="T339" i="3"/>
  <c r="AU337" i="3"/>
  <c r="AW337" i="3"/>
  <c r="Y338" i="3"/>
  <c r="Z338" i="3"/>
  <c r="BQ335" i="3"/>
  <c r="BB335" i="3"/>
  <c r="BF335" i="3"/>
  <c r="BJ334" i="3"/>
  <c r="BK334" i="3"/>
  <c r="BM338" i="3"/>
  <c r="AO338" i="3"/>
  <c r="BA336" i="3"/>
  <c r="AV336" i="3"/>
  <c r="AH338" i="3"/>
  <c r="AX337" i="3"/>
  <c r="AV337" i="3"/>
  <c r="BN339" i="3"/>
  <c r="BD335" i="3"/>
  <c r="AO339" i="3"/>
  <c r="BM339" i="3"/>
  <c r="BC336" i="3"/>
  <c r="BG336" i="3"/>
  <c r="BH336" i="3"/>
  <c r="BI336" i="3"/>
  <c r="AX338" i="3"/>
  <c r="AU338" i="3"/>
  <c r="AW338" i="3"/>
  <c r="Y339" i="3"/>
  <c r="Z339" i="3"/>
  <c r="BQ336" i="3"/>
  <c r="BB336" i="3"/>
  <c r="BF336" i="3"/>
  <c r="BJ335" i="3"/>
  <c r="BK335" i="3"/>
  <c r="A341" i="3"/>
  <c r="B340" i="3"/>
  <c r="AR340" i="3"/>
  <c r="AQ340" i="3"/>
  <c r="AK340" i="3"/>
  <c r="AM340" i="3"/>
  <c r="S340" i="3"/>
  <c r="Q340" i="3"/>
  <c r="C340" i="3"/>
  <c r="AD340" i="3"/>
  <c r="P340" i="3"/>
  <c r="R340" i="3"/>
  <c r="O340" i="3"/>
  <c r="M340" i="3"/>
  <c r="AF340" i="3"/>
  <c r="AE340" i="3"/>
  <c r="U340" i="3"/>
  <c r="V340" i="3"/>
  <c r="G340" i="3"/>
  <c r="H340" i="3"/>
  <c r="D340" i="3"/>
  <c r="F340" i="3"/>
  <c r="T340" i="3"/>
  <c r="AT338" i="3"/>
  <c r="AG339" i="3"/>
  <c r="X339" i="3"/>
  <c r="BA337" i="3"/>
  <c r="AY337" i="3"/>
  <c r="AH339" i="3"/>
  <c r="AN339" i="3"/>
  <c r="BM340" i="3"/>
  <c r="BC337" i="3"/>
  <c r="BD337" i="3"/>
  <c r="BD336" i="3"/>
  <c r="AY338" i="3"/>
  <c r="AG340" i="3"/>
  <c r="AN340" i="3"/>
  <c r="Y340" i="3"/>
  <c r="Z340" i="3"/>
  <c r="BQ337" i="3"/>
  <c r="BB337" i="3"/>
  <c r="BF337" i="3"/>
  <c r="BJ336" i="3"/>
  <c r="BK336" i="3"/>
  <c r="AT339" i="3"/>
  <c r="AX339" i="3"/>
  <c r="AV338" i="3"/>
  <c r="BA338" i="3"/>
  <c r="AR341" i="3"/>
  <c r="B341" i="3"/>
  <c r="A342" i="3"/>
  <c r="AQ341" i="3"/>
  <c r="AK341" i="3"/>
  <c r="T341" i="3"/>
  <c r="S341" i="3"/>
  <c r="AM341" i="3"/>
  <c r="R341" i="3"/>
  <c r="AD341" i="3"/>
  <c r="P341" i="3"/>
  <c r="Q341" i="3"/>
  <c r="O341" i="3"/>
  <c r="AE341" i="3"/>
  <c r="M341" i="3"/>
  <c r="AF341" i="3"/>
  <c r="U341" i="3"/>
  <c r="V341" i="3"/>
  <c r="C341" i="3"/>
  <c r="G341" i="3"/>
  <c r="H341" i="3"/>
  <c r="D341" i="3"/>
  <c r="F341" i="3"/>
  <c r="AU339" i="3"/>
  <c r="BN340" i="3"/>
  <c r="X340" i="3"/>
  <c r="AO340" i="3"/>
  <c r="AW339" i="3"/>
  <c r="AH340" i="3"/>
  <c r="BG337" i="3"/>
  <c r="BH337" i="3"/>
  <c r="BI337" i="3"/>
  <c r="BC338" i="3"/>
  <c r="BD338" i="3"/>
  <c r="AX340" i="3"/>
  <c r="BM341" i="3"/>
  <c r="AO341" i="3"/>
  <c r="AU340" i="3"/>
  <c r="AW340" i="3"/>
  <c r="AY339" i="3"/>
  <c r="BB338" i="3"/>
  <c r="BF338" i="3"/>
  <c r="BJ337" i="3"/>
  <c r="BK337" i="3"/>
  <c r="BQ338" i="3"/>
  <c r="BN341" i="3"/>
  <c r="AG341" i="3"/>
  <c r="AH341" i="3"/>
  <c r="AN341" i="3"/>
  <c r="Y341" i="3"/>
  <c r="Z341" i="3"/>
  <c r="AR342" i="3"/>
  <c r="B342" i="3"/>
  <c r="A343" i="3"/>
  <c r="AQ342" i="3"/>
  <c r="AM342" i="3"/>
  <c r="AK342" i="3"/>
  <c r="Q342" i="3"/>
  <c r="R342" i="3"/>
  <c r="AD342" i="3"/>
  <c r="O342" i="3"/>
  <c r="P342" i="3"/>
  <c r="AF342" i="3"/>
  <c r="AE342" i="3"/>
  <c r="M342" i="3"/>
  <c r="V342" i="3"/>
  <c r="U342" i="3"/>
  <c r="D342" i="3"/>
  <c r="F342" i="3"/>
  <c r="C342" i="3"/>
  <c r="G342" i="3"/>
  <c r="H342" i="3"/>
  <c r="T342" i="3"/>
  <c r="S342" i="3"/>
  <c r="BA339" i="3"/>
  <c r="AV339" i="3"/>
  <c r="AT340" i="3"/>
  <c r="X341" i="3"/>
  <c r="AY340" i="3"/>
  <c r="BC339" i="3"/>
  <c r="BD339" i="3"/>
  <c r="BG338" i="3"/>
  <c r="BH338" i="3"/>
  <c r="BI338" i="3"/>
  <c r="AG342" i="3"/>
  <c r="BA340" i="3"/>
  <c r="BQ340" i="3"/>
  <c r="AV340" i="3"/>
  <c r="AU341" i="3"/>
  <c r="AN342" i="3"/>
  <c r="AT341" i="3"/>
  <c r="Y342" i="3"/>
  <c r="Z342" i="3"/>
  <c r="X342" i="3"/>
  <c r="BN342" i="3"/>
  <c r="BM342" i="3"/>
  <c r="AO342" i="3"/>
  <c r="AX341" i="3"/>
  <c r="BF339" i="3"/>
  <c r="BJ338" i="3"/>
  <c r="BK338" i="3"/>
  <c r="BB339" i="3"/>
  <c r="BQ339" i="3"/>
  <c r="AQ343" i="3"/>
  <c r="AR343" i="3"/>
  <c r="B343" i="3"/>
  <c r="A344" i="3"/>
  <c r="D343" i="3"/>
  <c r="AK343" i="3"/>
  <c r="S343" i="3"/>
  <c r="Q343" i="3"/>
  <c r="AM343" i="3"/>
  <c r="T343" i="3"/>
  <c r="R343" i="3"/>
  <c r="AD343" i="3"/>
  <c r="P343" i="3"/>
  <c r="O343" i="3"/>
  <c r="AE343" i="3"/>
  <c r="V343" i="3"/>
  <c r="U343" i="3"/>
  <c r="AF343" i="3"/>
  <c r="M343" i="3"/>
  <c r="G343" i="3"/>
  <c r="H343" i="3"/>
  <c r="C343" i="3"/>
  <c r="F343" i="3"/>
  <c r="AH342" i="3"/>
  <c r="AW341" i="3"/>
  <c r="BC340" i="3"/>
  <c r="BD340" i="3"/>
  <c r="BG339" i="3"/>
  <c r="BH339" i="3"/>
  <c r="BI339" i="3"/>
  <c r="AV341" i="3"/>
  <c r="BF340" i="3"/>
  <c r="BJ339" i="3"/>
  <c r="BK339" i="3"/>
  <c r="BM343" i="3"/>
  <c r="BN343" i="3"/>
  <c r="BB340" i="3"/>
  <c r="AX342" i="3"/>
  <c r="AO343" i="3"/>
  <c r="AY341" i="3"/>
  <c r="Y343" i="3"/>
  <c r="Z343" i="3"/>
  <c r="AH343" i="3"/>
  <c r="AT342" i="3"/>
  <c r="AW342" i="3"/>
  <c r="X343" i="3"/>
  <c r="AG343" i="3"/>
  <c r="AN343" i="3"/>
  <c r="BA341" i="3"/>
  <c r="A345" i="3"/>
  <c r="B344" i="3"/>
  <c r="AR344" i="3"/>
  <c r="AQ344" i="3"/>
  <c r="C344" i="3"/>
  <c r="AM344" i="3"/>
  <c r="AK344" i="3"/>
  <c r="S344" i="3"/>
  <c r="T344" i="3"/>
  <c r="R344" i="3"/>
  <c r="Q344" i="3"/>
  <c r="AD344" i="3"/>
  <c r="P344" i="3"/>
  <c r="O344" i="3"/>
  <c r="M344" i="3"/>
  <c r="AF344" i="3"/>
  <c r="AE344" i="3"/>
  <c r="V344" i="3"/>
  <c r="U344" i="3"/>
  <c r="D344" i="3"/>
  <c r="G344" i="3"/>
  <c r="H344" i="3"/>
  <c r="F344" i="3"/>
  <c r="AU342" i="3"/>
  <c r="BC341" i="3"/>
  <c r="BD341" i="3"/>
  <c r="BG340" i="3"/>
  <c r="BH340" i="3"/>
  <c r="BI340" i="3"/>
  <c r="AY342" i="3"/>
  <c r="BM344" i="3"/>
  <c r="AN344" i="3"/>
  <c r="AW343" i="3"/>
  <c r="AU343" i="3"/>
  <c r="Y344" i="3"/>
  <c r="Z344" i="3"/>
  <c r="AR345" i="3"/>
  <c r="B345" i="3"/>
  <c r="AQ345" i="3"/>
  <c r="A346" i="3"/>
  <c r="D345" i="3"/>
  <c r="C345" i="3"/>
  <c r="AK345" i="3"/>
  <c r="AM345" i="3"/>
  <c r="T345" i="3"/>
  <c r="S345" i="3"/>
  <c r="Q345" i="3"/>
  <c r="AD345" i="3"/>
  <c r="P345" i="3"/>
  <c r="O345" i="3"/>
  <c r="M345" i="3"/>
  <c r="AE345" i="3"/>
  <c r="U345" i="3"/>
  <c r="AF345" i="3"/>
  <c r="V345" i="3"/>
  <c r="R345" i="3"/>
  <c r="F345" i="3"/>
  <c r="G345" i="3"/>
  <c r="H345" i="3"/>
  <c r="BF341" i="3"/>
  <c r="BJ340" i="3"/>
  <c r="BK340" i="3"/>
  <c r="BB341" i="3"/>
  <c r="BQ341" i="3"/>
  <c r="AV342" i="3"/>
  <c r="BA342" i="3"/>
  <c r="BN344" i="3"/>
  <c r="AG344" i="3"/>
  <c r="AO344" i="3"/>
  <c r="X344" i="3"/>
  <c r="AX343" i="3"/>
  <c r="AH344" i="3"/>
  <c r="AT343" i="3"/>
  <c r="BC342" i="3"/>
  <c r="BD342" i="3"/>
  <c r="BG341" i="3"/>
  <c r="BH341" i="3"/>
  <c r="BI341" i="3"/>
  <c r="AY343" i="3"/>
  <c r="BN345" i="3"/>
  <c r="AN345" i="3"/>
  <c r="AG345" i="3"/>
  <c r="AX344" i="3"/>
  <c r="AV343" i="3"/>
  <c r="BA343" i="3"/>
  <c r="BF342" i="3"/>
  <c r="BJ341" i="3"/>
  <c r="BK341" i="3"/>
  <c r="BB342" i="3"/>
  <c r="BQ342" i="3"/>
  <c r="Y345" i="3"/>
  <c r="Z345" i="3"/>
  <c r="AU344" i="3"/>
  <c r="AW344" i="3"/>
  <c r="BM345" i="3"/>
  <c r="AO345" i="3"/>
  <c r="AR346" i="3"/>
  <c r="B346" i="3"/>
  <c r="AQ346" i="3"/>
  <c r="A347" i="3"/>
  <c r="D346" i="3"/>
  <c r="T346" i="3"/>
  <c r="AM346" i="3"/>
  <c r="AK346" i="3"/>
  <c r="R346" i="3"/>
  <c r="Q346" i="3"/>
  <c r="AD346" i="3"/>
  <c r="P346" i="3"/>
  <c r="S346" i="3"/>
  <c r="O346" i="3"/>
  <c r="M346" i="3"/>
  <c r="AE346" i="3"/>
  <c r="AF346" i="3"/>
  <c r="U346" i="3"/>
  <c r="V346" i="3"/>
  <c r="C346" i="3"/>
  <c r="G346" i="3"/>
  <c r="H346" i="3"/>
  <c r="F346" i="3"/>
  <c r="AT344" i="3"/>
  <c r="AH345" i="3"/>
  <c r="X345" i="3"/>
  <c r="BN346" i="3"/>
  <c r="BG342" i="3"/>
  <c r="BH342" i="3"/>
  <c r="BI342" i="3"/>
  <c r="BM346" i="3"/>
  <c r="BC343" i="3"/>
  <c r="BG343" i="3"/>
  <c r="BH343" i="3"/>
  <c r="BI343" i="3"/>
  <c r="AY344" i="3"/>
  <c r="AX345" i="3"/>
  <c r="AG346" i="3"/>
  <c r="AO346" i="3"/>
  <c r="AV344" i="3"/>
  <c r="BA344" i="3"/>
  <c r="Y346" i="3"/>
  <c r="Z346" i="3"/>
  <c r="AH346" i="3"/>
  <c r="AN346" i="3"/>
  <c r="AU345" i="3"/>
  <c r="AQ347" i="3"/>
  <c r="B347" i="3"/>
  <c r="A348" i="3"/>
  <c r="AR347" i="3"/>
  <c r="AM347" i="3"/>
  <c r="AK347" i="3"/>
  <c r="S347" i="3"/>
  <c r="R347" i="3"/>
  <c r="Q347" i="3"/>
  <c r="P347" i="3"/>
  <c r="AD347" i="3"/>
  <c r="O347" i="3"/>
  <c r="M347" i="3"/>
  <c r="AE347" i="3"/>
  <c r="V347" i="3"/>
  <c r="U347" i="3"/>
  <c r="AF347" i="3"/>
  <c r="D347" i="3"/>
  <c r="C347" i="3"/>
  <c r="G347" i="3"/>
  <c r="H347" i="3"/>
  <c r="F347" i="3"/>
  <c r="T347" i="3"/>
  <c r="BQ343" i="3"/>
  <c r="BB343" i="3"/>
  <c r="BF343" i="3"/>
  <c r="BJ342" i="3"/>
  <c r="BK342" i="3"/>
  <c r="X346" i="3"/>
  <c r="AT345" i="3"/>
  <c r="AW345" i="3"/>
  <c r="BD343" i="3"/>
  <c r="BN347" i="3"/>
  <c r="BM347" i="3"/>
  <c r="BC344" i="3"/>
  <c r="BG344" i="3"/>
  <c r="BH344" i="3"/>
  <c r="BI344" i="3"/>
  <c r="AY345" i="3"/>
  <c r="AO347" i="3"/>
  <c r="AU346" i="3"/>
  <c r="AX346" i="3"/>
  <c r="AG347" i="3"/>
  <c r="BA345" i="3"/>
  <c r="AV345" i="3"/>
  <c r="A349" i="3"/>
  <c r="B348" i="3"/>
  <c r="AR348" i="3"/>
  <c r="AQ348" i="3"/>
  <c r="AM348" i="3"/>
  <c r="S348" i="3"/>
  <c r="D348" i="3"/>
  <c r="AK348" i="3"/>
  <c r="T348" i="3"/>
  <c r="Q348" i="3"/>
  <c r="AD348" i="3"/>
  <c r="P348" i="3"/>
  <c r="AE348" i="3"/>
  <c r="O348" i="3"/>
  <c r="AF348" i="3"/>
  <c r="V348" i="3"/>
  <c r="M348" i="3"/>
  <c r="U348" i="3"/>
  <c r="R348" i="3"/>
  <c r="F348" i="3"/>
  <c r="C348" i="3"/>
  <c r="G348" i="3"/>
  <c r="H348" i="3"/>
  <c r="X347" i="3"/>
  <c r="AH347" i="3"/>
  <c r="AN347" i="3"/>
  <c r="AT346" i="3"/>
  <c r="AW346" i="3"/>
  <c r="BQ344" i="3"/>
  <c r="BB344" i="3"/>
  <c r="BF344" i="3"/>
  <c r="BJ343" i="3"/>
  <c r="BK343" i="3"/>
  <c r="Y347" i="3"/>
  <c r="Z347" i="3"/>
  <c r="AU347" i="3"/>
  <c r="BC345" i="3"/>
  <c r="BD345" i="3"/>
  <c r="BD344" i="3"/>
  <c r="BN348" i="3"/>
  <c r="BM348" i="3"/>
  <c r="AY346" i="3"/>
  <c r="AW347" i="3"/>
  <c r="AO348" i="3"/>
  <c r="BA346" i="3"/>
  <c r="BQ346" i="3"/>
  <c r="AT347" i="3"/>
  <c r="AX347" i="3"/>
  <c r="Y348" i="3"/>
  <c r="Z348" i="3"/>
  <c r="AR349" i="3"/>
  <c r="B349" i="3"/>
  <c r="AQ349" i="3"/>
  <c r="A350" i="3"/>
  <c r="C349" i="3"/>
  <c r="AK349" i="3"/>
  <c r="S349" i="3"/>
  <c r="AM349" i="3"/>
  <c r="R349" i="3"/>
  <c r="AD349" i="3"/>
  <c r="Q349" i="3"/>
  <c r="P349" i="3"/>
  <c r="O349" i="3"/>
  <c r="AE349" i="3"/>
  <c r="M349" i="3"/>
  <c r="AF349" i="3"/>
  <c r="V349" i="3"/>
  <c r="U349" i="3"/>
  <c r="F349" i="3"/>
  <c r="D349" i="3"/>
  <c r="G349" i="3"/>
  <c r="H349" i="3"/>
  <c r="T349" i="3"/>
  <c r="BF345" i="3"/>
  <c r="BJ344" i="3"/>
  <c r="BK344" i="3"/>
  <c r="BQ345" i="3"/>
  <c r="BB345" i="3"/>
  <c r="AV346" i="3"/>
  <c r="X348" i="3"/>
  <c r="AG348" i="3"/>
  <c r="AH348" i="3"/>
  <c r="AN348" i="3"/>
  <c r="BC346" i="3"/>
  <c r="BD346" i="3"/>
  <c r="BM349" i="3"/>
  <c r="BG345" i="3"/>
  <c r="BH345" i="3"/>
  <c r="BI345" i="3"/>
  <c r="AN349" i="3"/>
  <c r="AY347" i="3"/>
  <c r="BN349" i="3"/>
  <c r="AU348" i="3"/>
  <c r="AX348" i="3"/>
  <c r="BB346" i="3"/>
  <c r="BF346" i="3"/>
  <c r="BJ345" i="3"/>
  <c r="BK345" i="3"/>
  <c r="AR350" i="3"/>
  <c r="B350" i="3"/>
  <c r="AQ350" i="3"/>
  <c r="A351" i="3"/>
  <c r="D350" i="3"/>
  <c r="AM350" i="3"/>
  <c r="R350" i="3"/>
  <c r="AK350" i="3"/>
  <c r="Q350" i="3"/>
  <c r="P350" i="3"/>
  <c r="AD350" i="3"/>
  <c r="M350" i="3"/>
  <c r="AF350" i="3"/>
  <c r="AE350" i="3"/>
  <c r="U350" i="3"/>
  <c r="O350" i="3"/>
  <c r="V350" i="3"/>
  <c r="G350" i="3"/>
  <c r="H350" i="3"/>
  <c r="C350" i="3"/>
  <c r="F350" i="3"/>
  <c r="T350" i="3"/>
  <c r="S350" i="3"/>
  <c r="AW348" i="3"/>
  <c r="Y349" i="3"/>
  <c r="Z349" i="3"/>
  <c r="AG349" i="3"/>
  <c r="AH349" i="3"/>
  <c r="AO349" i="3"/>
  <c r="AV347" i="3"/>
  <c r="BA347" i="3"/>
  <c r="AT348" i="3"/>
  <c r="X349" i="3"/>
  <c r="BG346" i="3"/>
  <c r="BH346" i="3"/>
  <c r="BI346" i="3"/>
  <c r="AO350" i="3"/>
  <c r="BC347" i="3"/>
  <c r="BG347" i="3"/>
  <c r="BH347" i="3"/>
  <c r="BI347" i="3"/>
  <c r="BM350" i="3"/>
  <c r="BN350" i="3"/>
  <c r="AY348" i="3"/>
  <c r="AX349" i="3"/>
  <c r="AG350" i="3"/>
  <c r="AV348" i="3"/>
  <c r="BA348" i="3"/>
  <c r="AU349" i="3"/>
  <c r="AW349" i="3"/>
  <c r="AT349" i="3"/>
  <c r="Y350" i="3"/>
  <c r="Z350" i="3"/>
  <c r="AH350" i="3"/>
  <c r="BB347" i="3"/>
  <c r="BQ347" i="3"/>
  <c r="BF347" i="3"/>
  <c r="BJ346" i="3"/>
  <c r="BK346" i="3"/>
  <c r="AQ351" i="3"/>
  <c r="B351" i="3"/>
  <c r="A352" i="3"/>
  <c r="AR351" i="3"/>
  <c r="D351" i="3"/>
  <c r="AM351" i="3"/>
  <c r="AK351" i="3"/>
  <c r="Q351" i="3"/>
  <c r="S351" i="3"/>
  <c r="AD351" i="3"/>
  <c r="AE351" i="3"/>
  <c r="M351" i="3"/>
  <c r="U351" i="3"/>
  <c r="V351" i="3"/>
  <c r="P351" i="3"/>
  <c r="O351" i="3"/>
  <c r="AF351" i="3"/>
  <c r="R351" i="3"/>
  <c r="C351" i="3"/>
  <c r="F351" i="3"/>
  <c r="G351" i="3"/>
  <c r="H351" i="3"/>
  <c r="T351" i="3"/>
  <c r="X350" i="3"/>
  <c r="AN350" i="3"/>
  <c r="BN351" i="3"/>
  <c r="BD347" i="3"/>
  <c r="AU350" i="3"/>
  <c r="BM351" i="3"/>
  <c r="BC348" i="3"/>
  <c r="BD348" i="3"/>
  <c r="AW350" i="3"/>
  <c r="AY349" i="3"/>
  <c r="AT350" i="3"/>
  <c r="AN351" i="3"/>
  <c r="Y351" i="3"/>
  <c r="Z351" i="3"/>
  <c r="AH351" i="3"/>
  <c r="A353" i="3"/>
  <c r="B352" i="3"/>
  <c r="AR352" i="3"/>
  <c r="AQ352" i="3"/>
  <c r="AM352" i="3"/>
  <c r="S352" i="3"/>
  <c r="AK352" i="3"/>
  <c r="C352" i="3"/>
  <c r="R352" i="3"/>
  <c r="Q352" i="3"/>
  <c r="AD352" i="3"/>
  <c r="P352" i="3"/>
  <c r="M352" i="3"/>
  <c r="AF352" i="3"/>
  <c r="V352" i="3"/>
  <c r="O352" i="3"/>
  <c r="AE352" i="3"/>
  <c r="U352" i="3"/>
  <c r="G352" i="3"/>
  <c r="H352" i="3"/>
  <c r="F352" i="3"/>
  <c r="D352" i="3"/>
  <c r="T352" i="3"/>
  <c r="AV349" i="3"/>
  <c r="BA349" i="3"/>
  <c r="X351" i="3"/>
  <c r="AG351" i="3"/>
  <c r="AO351" i="3"/>
  <c r="AX350" i="3"/>
  <c r="BB348" i="3"/>
  <c r="BQ348" i="3"/>
  <c r="BF348" i="3"/>
  <c r="BJ347" i="3"/>
  <c r="BK347" i="3"/>
  <c r="BM352" i="3"/>
  <c r="AO352" i="3"/>
  <c r="AV350" i="3"/>
  <c r="BC349" i="3"/>
  <c r="BD349" i="3"/>
  <c r="BG348" i="3"/>
  <c r="BH348" i="3"/>
  <c r="BI348" i="3"/>
  <c r="AY350" i="3"/>
  <c r="AG352" i="3"/>
  <c r="AU351" i="3"/>
  <c r="AX351" i="3"/>
  <c r="BA350" i="3"/>
  <c r="BQ350" i="3"/>
  <c r="BF349" i="3"/>
  <c r="BJ348" i="3"/>
  <c r="BK348" i="3"/>
  <c r="BB349" i="3"/>
  <c r="BQ349" i="3"/>
  <c r="BN352" i="3"/>
  <c r="AH352" i="3"/>
  <c r="AW351" i="3"/>
  <c r="AT351" i="3"/>
  <c r="Y352" i="3"/>
  <c r="Z352" i="3"/>
  <c r="X352" i="3"/>
  <c r="AR353" i="3"/>
  <c r="B353" i="3"/>
  <c r="AQ353" i="3"/>
  <c r="A354" i="3"/>
  <c r="AM353" i="3"/>
  <c r="AK353" i="3"/>
  <c r="R353" i="3"/>
  <c r="T353" i="3"/>
  <c r="AD353" i="3"/>
  <c r="S353" i="3"/>
  <c r="Q353" i="3"/>
  <c r="P353" i="3"/>
  <c r="O353" i="3"/>
  <c r="M353" i="3"/>
  <c r="V353" i="3"/>
  <c r="U353" i="3"/>
  <c r="AF353" i="3"/>
  <c r="AE353" i="3"/>
  <c r="D353" i="3"/>
  <c r="G353" i="3"/>
  <c r="H353" i="3"/>
  <c r="F353" i="3"/>
  <c r="C353" i="3"/>
  <c r="AN352" i="3"/>
  <c r="BC350" i="3"/>
  <c r="BD350" i="3"/>
  <c r="BG349" i="3"/>
  <c r="BH349" i="3"/>
  <c r="BI349" i="3"/>
  <c r="AU352" i="3"/>
  <c r="BM353" i="3"/>
  <c r="AN353" i="3"/>
  <c r="AY351" i="3"/>
  <c r="AW352" i="3"/>
  <c r="AT352" i="3"/>
  <c r="BF350" i="3"/>
  <c r="BJ349" i="3"/>
  <c r="BK349" i="3"/>
  <c r="BB350" i="3"/>
  <c r="Y353" i="3"/>
  <c r="Z353" i="3"/>
  <c r="AR354" i="3"/>
  <c r="B354" i="3"/>
  <c r="AQ354" i="3"/>
  <c r="A355" i="3"/>
  <c r="D354" i="3"/>
  <c r="C354" i="3"/>
  <c r="R354" i="3"/>
  <c r="AM354" i="3"/>
  <c r="AK354" i="3"/>
  <c r="S354" i="3"/>
  <c r="Q354" i="3"/>
  <c r="AD354" i="3"/>
  <c r="P354" i="3"/>
  <c r="M354" i="3"/>
  <c r="AE354" i="3"/>
  <c r="V354" i="3"/>
  <c r="O354" i="3"/>
  <c r="AF354" i="3"/>
  <c r="U354" i="3"/>
  <c r="F354" i="3"/>
  <c r="G354" i="3"/>
  <c r="H354" i="3"/>
  <c r="T354" i="3"/>
  <c r="AV351" i="3"/>
  <c r="BA351" i="3"/>
  <c r="X353" i="3"/>
  <c r="BN353" i="3"/>
  <c r="AG353" i="3"/>
  <c r="AO353" i="3"/>
  <c r="AX352" i="3"/>
  <c r="AH353" i="3"/>
  <c r="BN354" i="3"/>
  <c r="BG350" i="3"/>
  <c r="BH350" i="3"/>
  <c r="BI350" i="3"/>
  <c r="BM354" i="3"/>
  <c r="AV352" i="3"/>
  <c r="BA352" i="3"/>
  <c r="BF352" i="3"/>
  <c r="BC351" i="3"/>
  <c r="BD351" i="3"/>
  <c r="AG354" i="3"/>
  <c r="AX353" i="3"/>
  <c r="AO354" i="3"/>
  <c r="BB351" i="3"/>
  <c r="BQ351" i="3"/>
  <c r="BF351" i="3"/>
  <c r="BJ350" i="3"/>
  <c r="BK350" i="3"/>
  <c r="AQ355" i="3"/>
  <c r="B355" i="3"/>
  <c r="A356" i="3"/>
  <c r="AR355" i="3"/>
  <c r="D355" i="3"/>
  <c r="AM355" i="3"/>
  <c r="T355" i="3"/>
  <c r="AK355" i="3"/>
  <c r="S355" i="3"/>
  <c r="Q355" i="3"/>
  <c r="R355" i="3"/>
  <c r="AD355" i="3"/>
  <c r="P355" i="3"/>
  <c r="M355" i="3"/>
  <c r="AF355" i="3"/>
  <c r="V355" i="3"/>
  <c r="O355" i="3"/>
  <c r="AE355" i="3"/>
  <c r="U355" i="3"/>
  <c r="F355" i="3"/>
  <c r="G355" i="3"/>
  <c r="H355" i="3"/>
  <c r="C355" i="3"/>
  <c r="AW353" i="3"/>
  <c r="AY352" i="3"/>
  <c r="AT353" i="3"/>
  <c r="AU353" i="3"/>
  <c r="Y354" i="3"/>
  <c r="Z354" i="3"/>
  <c r="AH354" i="3"/>
  <c r="AN354" i="3"/>
  <c r="X354" i="3"/>
  <c r="BC352" i="3"/>
  <c r="BG352" i="3"/>
  <c r="BH352" i="3"/>
  <c r="BI352" i="3"/>
  <c r="BN355" i="3"/>
  <c r="AO355" i="3"/>
  <c r="AT354" i="3"/>
  <c r="AG355" i="3"/>
  <c r="BB352" i="3"/>
  <c r="BQ352" i="3"/>
  <c r="AY353" i="3"/>
  <c r="BG351" i="3"/>
  <c r="BH351" i="3"/>
  <c r="BI351" i="3"/>
  <c r="X355" i="3"/>
  <c r="Y355" i="3"/>
  <c r="Z355" i="3"/>
  <c r="A357" i="3"/>
  <c r="B356" i="3"/>
  <c r="AR356" i="3"/>
  <c r="AQ356" i="3"/>
  <c r="AK356" i="3"/>
  <c r="T356" i="3"/>
  <c r="AM356" i="3"/>
  <c r="S356" i="3"/>
  <c r="R356" i="3"/>
  <c r="AD356" i="3"/>
  <c r="P356" i="3"/>
  <c r="O356" i="3"/>
  <c r="AE356" i="3"/>
  <c r="V356" i="3"/>
  <c r="AF356" i="3"/>
  <c r="M356" i="3"/>
  <c r="U356" i="3"/>
  <c r="D356" i="3"/>
  <c r="C356" i="3"/>
  <c r="Q356" i="3"/>
  <c r="F356" i="3"/>
  <c r="G356" i="3"/>
  <c r="H356" i="3"/>
  <c r="AH355" i="3"/>
  <c r="AN355" i="3"/>
  <c r="AX354" i="3"/>
  <c r="AW354" i="3"/>
  <c r="BJ351" i="3"/>
  <c r="BK351" i="3"/>
  <c r="AV353" i="3"/>
  <c r="BA353" i="3"/>
  <c r="BM355" i="3"/>
  <c r="AU354" i="3"/>
  <c r="BN356" i="3"/>
  <c r="BD352" i="3"/>
  <c r="BM356" i="3"/>
  <c r="AN356" i="3"/>
  <c r="BC353" i="3"/>
  <c r="BG353" i="3"/>
  <c r="BH353" i="3"/>
  <c r="BI353" i="3"/>
  <c r="AX355" i="3"/>
  <c r="AT355" i="3"/>
  <c r="AU355" i="3"/>
  <c r="AH356" i="3"/>
  <c r="BA354" i="3"/>
  <c r="BB354" i="3"/>
  <c r="BB353" i="3"/>
  <c r="BQ353" i="3"/>
  <c r="BF353" i="3"/>
  <c r="BJ352" i="3"/>
  <c r="BK352" i="3"/>
  <c r="AR357" i="3"/>
  <c r="B357" i="3"/>
  <c r="AQ357" i="3"/>
  <c r="A358" i="3"/>
  <c r="AM357" i="3"/>
  <c r="S357" i="3"/>
  <c r="R357" i="3"/>
  <c r="Q357" i="3"/>
  <c r="C357" i="3"/>
  <c r="AK357" i="3"/>
  <c r="AD357" i="3"/>
  <c r="P357" i="3"/>
  <c r="O357" i="3"/>
  <c r="AE357" i="3"/>
  <c r="AF357" i="3"/>
  <c r="U357" i="3"/>
  <c r="V357" i="3"/>
  <c r="M357" i="3"/>
  <c r="G357" i="3"/>
  <c r="H357" i="3"/>
  <c r="F357" i="3"/>
  <c r="D357" i="3"/>
  <c r="T357" i="3"/>
  <c r="AY354" i="3"/>
  <c r="AW355" i="3"/>
  <c r="X356" i="3"/>
  <c r="AG356" i="3"/>
  <c r="AO356" i="3"/>
  <c r="AV354" i="3"/>
  <c r="Y356" i="3"/>
  <c r="Z356" i="3"/>
  <c r="BD353" i="3"/>
  <c r="BM357" i="3"/>
  <c r="AY355" i="3"/>
  <c r="AG357" i="3"/>
  <c r="AV355" i="3"/>
  <c r="AW356" i="3"/>
  <c r="AO357" i="3"/>
  <c r="AX356" i="3"/>
  <c r="BF354" i="3"/>
  <c r="BJ353" i="3"/>
  <c r="BK353" i="3"/>
  <c r="AT356" i="3"/>
  <c r="BQ354" i="3"/>
  <c r="Y357" i="3"/>
  <c r="Z357" i="3"/>
  <c r="AU356" i="3"/>
  <c r="BA355" i="3"/>
  <c r="BC354" i="3"/>
  <c r="BN357" i="3"/>
  <c r="AH357" i="3"/>
  <c r="X357" i="3"/>
  <c r="AN357" i="3"/>
  <c r="AR358" i="3"/>
  <c r="B358" i="3"/>
  <c r="AQ358" i="3"/>
  <c r="A359" i="3"/>
  <c r="C358" i="3"/>
  <c r="AK358" i="3"/>
  <c r="S358" i="3"/>
  <c r="AM358" i="3"/>
  <c r="T358" i="3"/>
  <c r="AD358" i="3"/>
  <c r="R358" i="3"/>
  <c r="P358" i="3"/>
  <c r="O358" i="3"/>
  <c r="AE358" i="3"/>
  <c r="M358" i="3"/>
  <c r="V358" i="3"/>
  <c r="AF358" i="3"/>
  <c r="U358" i="3"/>
  <c r="Q358" i="3"/>
  <c r="D358" i="3"/>
  <c r="F358" i="3"/>
  <c r="G358" i="3"/>
  <c r="H358" i="3"/>
  <c r="BM358" i="3"/>
  <c r="BN358" i="3"/>
  <c r="AY356" i="3"/>
  <c r="BC355" i="3"/>
  <c r="BD355" i="3"/>
  <c r="AN358" i="3"/>
  <c r="AG358" i="3"/>
  <c r="AV356" i="3"/>
  <c r="AW357" i="3"/>
  <c r="AX357" i="3"/>
  <c r="AU357" i="3"/>
  <c r="BA356" i="3"/>
  <c r="BQ356" i="3"/>
  <c r="AT357" i="3"/>
  <c r="Y358" i="3"/>
  <c r="Z358" i="3"/>
  <c r="BB355" i="3"/>
  <c r="BQ355" i="3"/>
  <c r="BF355" i="3"/>
  <c r="BJ354" i="3"/>
  <c r="BK354" i="3"/>
  <c r="X358" i="3"/>
  <c r="AQ359" i="3"/>
  <c r="B359" i="3"/>
  <c r="A360" i="3"/>
  <c r="AR359" i="3"/>
  <c r="C359" i="3"/>
  <c r="AK359" i="3"/>
  <c r="S359" i="3"/>
  <c r="AM359" i="3"/>
  <c r="R359" i="3"/>
  <c r="Q359" i="3"/>
  <c r="P359" i="3"/>
  <c r="AD359" i="3"/>
  <c r="M359" i="3"/>
  <c r="AF359" i="3"/>
  <c r="AE359" i="3"/>
  <c r="O359" i="3"/>
  <c r="V359" i="3"/>
  <c r="U359" i="3"/>
  <c r="G359" i="3"/>
  <c r="H359" i="3"/>
  <c r="D359" i="3"/>
  <c r="F359" i="3"/>
  <c r="T359" i="3"/>
  <c r="BD354" i="3"/>
  <c r="BG354" i="3"/>
  <c r="BH354" i="3"/>
  <c r="BI354" i="3"/>
  <c r="AH358" i="3"/>
  <c r="AO358" i="3"/>
  <c r="BM359" i="3"/>
  <c r="BC356" i="3"/>
  <c r="BG356" i="3"/>
  <c r="BH356" i="3"/>
  <c r="BI356" i="3"/>
  <c r="AN359" i="3"/>
  <c r="BG355" i="3"/>
  <c r="BH355" i="3"/>
  <c r="BI355" i="3"/>
  <c r="AV357" i="3"/>
  <c r="BN359" i="3"/>
  <c r="BB356" i="3"/>
  <c r="AY357" i="3"/>
  <c r="BF356" i="3"/>
  <c r="BJ355" i="3"/>
  <c r="BK355" i="3"/>
  <c r="BA357" i="3"/>
  <c r="BF357" i="3"/>
  <c r="AG359" i="3"/>
  <c r="AW358" i="3"/>
  <c r="AX358" i="3"/>
  <c r="Y359" i="3"/>
  <c r="Z359" i="3"/>
  <c r="AH359" i="3"/>
  <c r="AO359" i="3"/>
  <c r="AT358" i="3"/>
  <c r="A361" i="3"/>
  <c r="B360" i="3"/>
  <c r="AR360" i="3"/>
  <c r="AQ360" i="3"/>
  <c r="C360" i="3"/>
  <c r="AK360" i="3"/>
  <c r="R360" i="3"/>
  <c r="AM360" i="3"/>
  <c r="Q360" i="3"/>
  <c r="P360" i="3"/>
  <c r="S360" i="3"/>
  <c r="AD360" i="3"/>
  <c r="O360" i="3"/>
  <c r="M360" i="3"/>
  <c r="AE360" i="3"/>
  <c r="AF360" i="3"/>
  <c r="U360" i="3"/>
  <c r="V360" i="3"/>
  <c r="D360" i="3"/>
  <c r="G360" i="3"/>
  <c r="H360" i="3"/>
  <c r="F360" i="3"/>
  <c r="T360" i="3"/>
  <c r="X359" i="3"/>
  <c r="AU358" i="3"/>
  <c r="BM360" i="3"/>
  <c r="BD356" i="3"/>
  <c r="AU359" i="3"/>
  <c r="BC357" i="3"/>
  <c r="BD357" i="3"/>
  <c r="AN360" i="3"/>
  <c r="BN360" i="3"/>
  <c r="BB357" i="3"/>
  <c r="Y360" i="3"/>
  <c r="Z360" i="3"/>
  <c r="BJ356" i="3"/>
  <c r="BK356" i="3"/>
  <c r="AT359" i="3"/>
  <c r="BQ357" i="3"/>
  <c r="AW359" i="3"/>
  <c r="AY358" i="3"/>
  <c r="AG360" i="3"/>
  <c r="AR361" i="3"/>
  <c r="B361" i="3"/>
  <c r="AQ361" i="3"/>
  <c r="A362" i="3"/>
  <c r="AK361" i="3"/>
  <c r="S361" i="3"/>
  <c r="R361" i="3"/>
  <c r="Q361" i="3"/>
  <c r="AM361" i="3"/>
  <c r="AD361" i="3"/>
  <c r="P361" i="3"/>
  <c r="AF361" i="3"/>
  <c r="V361" i="3"/>
  <c r="O361" i="3"/>
  <c r="M361" i="3"/>
  <c r="AE361" i="3"/>
  <c r="U361" i="3"/>
  <c r="C361" i="3"/>
  <c r="G361" i="3"/>
  <c r="H361" i="3"/>
  <c r="F361" i="3"/>
  <c r="D361" i="3"/>
  <c r="T361" i="3"/>
  <c r="BA358" i="3"/>
  <c r="AV358" i="3"/>
  <c r="X360" i="3"/>
  <c r="AH360" i="3"/>
  <c r="AO360" i="3"/>
  <c r="AX359" i="3"/>
  <c r="BM361" i="3"/>
  <c r="BC358" i="3"/>
  <c r="BD358" i="3"/>
  <c r="BG357" i="3"/>
  <c r="BH357" i="3"/>
  <c r="BI357" i="3"/>
  <c r="AV359" i="3"/>
  <c r="AN361" i="3"/>
  <c r="AG361" i="3"/>
  <c r="AY359" i="3"/>
  <c r="Y361" i="3"/>
  <c r="Z361" i="3"/>
  <c r="AX360" i="3"/>
  <c r="BA359" i="3"/>
  <c r="BF359" i="3"/>
  <c r="BQ358" i="3"/>
  <c r="BB358" i="3"/>
  <c r="BF358" i="3"/>
  <c r="BJ357" i="3"/>
  <c r="BK357" i="3"/>
  <c r="X361" i="3"/>
  <c r="AT360" i="3"/>
  <c r="AW360" i="3"/>
  <c r="BN361" i="3"/>
  <c r="AO361" i="3"/>
  <c r="AR362" i="3"/>
  <c r="B362" i="3"/>
  <c r="AQ362" i="3"/>
  <c r="A363" i="3"/>
  <c r="AK362" i="3"/>
  <c r="AM362" i="3"/>
  <c r="R362" i="3"/>
  <c r="D362" i="3"/>
  <c r="S362" i="3"/>
  <c r="Q362" i="3"/>
  <c r="AD362" i="3"/>
  <c r="P362" i="3"/>
  <c r="M362" i="3"/>
  <c r="O362" i="3"/>
  <c r="AE362" i="3"/>
  <c r="V362" i="3"/>
  <c r="AF362" i="3"/>
  <c r="U362" i="3"/>
  <c r="C362" i="3"/>
  <c r="F362" i="3"/>
  <c r="G362" i="3"/>
  <c r="H362" i="3"/>
  <c r="T362" i="3"/>
  <c r="AU360" i="3"/>
  <c r="AH361" i="3"/>
  <c r="BG358" i="3"/>
  <c r="BH358" i="3"/>
  <c r="BI358" i="3"/>
  <c r="AY360" i="3"/>
  <c r="BC359" i="3"/>
  <c r="BD359" i="3"/>
  <c r="BQ359" i="3"/>
  <c r="AX361" i="3"/>
  <c r="BN362" i="3"/>
  <c r="BJ358" i="3"/>
  <c r="BK358" i="3"/>
  <c r="AO362" i="3"/>
  <c r="BB359" i="3"/>
  <c r="AV360" i="3"/>
  <c r="X362" i="3"/>
  <c r="AQ363" i="3"/>
  <c r="B363" i="3"/>
  <c r="A364" i="3"/>
  <c r="AR363" i="3"/>
  <c r="D363" i="3"/>
  <c r="AK363" i="3"/>
  <c r="R363" i="3"/>
  <c r="AM363" i="3"/>
  <c r="T363" i="3"/>
  <c r="AD363" i="3"/>
  <c r="Q363" i="3"/>
  <c r="O363" i="3"/>
  <c r="AE363" i="3"/>
  <c r="V363" i="3"/>
  <c r="U363" i="3"/>
  <c r="M363" i="3"/>
  <c r="AF363" i="3"/>
  <c r="G363" i="3"/>
  <c r="H363" i="3"/>
  <c r="F363" i="3"/>
  <c r="C363" i="3"/>
  <c r="S363" i="3"/>
  <c r="P363" i="3"/>
  <c r="AG362" i="3"/>
  <c r="AH362" i="3"/>
  <c r="AW361" i="3"/>
  <c r="Y362" i="3"/>
  <c r="Z362" i="3"/>
  <c r="BM362" i="3"/>
  <c r="AN362" i="3"/>
  <c r="AU361" i="3"/>
  <c r="AT361" i="3"/>
  <c r="BA360" i="3"/>
  <c r="BC360" i="3"/>
  <c r="BG360" i="3"/>
  <c r="BH360" i="3"/>
  <c r="BI360" i="3"/>
  <c r="BG359" i="3"/>
  <c r="BH359" i="3"/>
  <c r="BI359" i="3"/>
  <c r="AN363" i="3"/>
  <c r="AY361" i="3"/>
  <c r="BN363" i="3"/>
  <c r="AU362" i="3"/>
  <c r="Y363" i="3"/>
  <c r="Z363" i="3"/>
  <c r="AV361" i="3"/>
  <c r="BA361" i="3"/>
  <c r="BB360" i="3"/>
  <c r="BQ360" i="3"/>
  <c r="BF360" i="3"/>
  <c r="BJ359" i="3"/>
  <c r="BK359" i="3"/>
  <c r="A365" i="3"/>
  <c r="B364" i="3"/>
  <c r="AR364" i="3"/>
  <c r="AQ364" i="3"/>
  <c r="D364" i="3"/>
  <c r="C364" i="3"/>
  <c r="R364" i="3"/>
  <c r="Q364" i="3"/>
  <c r="AM364" i="3"/>
  <c r="AK364" i="3"/>
  <c r="S364" i="3"/>
  <c r="AD364" i="3"/>
  <c r="M364" i="3"/>
  <c r="V364" i="3"/>
  <c r="U364" i="3"/>
  <c r="P364" i="3"/>
  <c r="O364" i="3"/>
  <c r="AE364" i="3"/>
  <c r="AF364" i="3"/>
  <c r="G364" i="3"/>
  <c r="H364" i="3"/>
  <c r="F364" i="3"/>
  <c r="T364" i="3"/>
  <c r="AT362" i="3"/>
  <c r="AW362" i="3"/>
  <c r="X363" i="3"/>
  <c r="BM363" i="3"/>
  <c r="AG363" i="3"/>
  <c r="AX362" i="3"/>
  <c r="AH363" i="3"/>
  <c r="AO363" i="3"/>
  <c r="BD360" i="3"/>
  <c r="BC361" i="3"/>
  <c r="BG361" i="3"/>
  <c r="BH361" i="3"/>
  <c r="BI361" i="3"/>
  <c r="BN364" i="3"/>
  <c r="Y364" i="3"/>
  <c r="Z364" i="3"/>
  <c r="AV362" i="3"/>
  <c r="BM364" i="3"/>
  <c r="AN364" i="3"/>
  <c r="AR365" i="3"/>
  <c r="B365" i="3"/>
  <c r="AQ365" i="3"/>
  <c r="A366" i="3"/>
  <c r="AM365" i="3"/>
  <c r="T365" i="3"/>
  <c r="AK365" i="3"/>
  <c r="Q365" i="3"/>
  <c r="P365" i="3"/>
  <c r="S365" i="3"/>
  <c r="R365" i="3"/>
  <c r="AD365" i="3"/>
  <c r="O365" i="3"/>
  <c r="M365" i="3"/>
  <c r="AF365" i="3"/>
  <c r="AE365" i="3"/>
  <c r="U365" i="3"/>
  <c r="V365" i="3"/>
  <c r="D365" i="3"/>
  <c r="G365" i="3"/>
  <c r="H365" i="3"/>
  <c r="F365" i="3"/>
  <c r="C365" i="3"/>
  <c r="BQ361" i="3"/>
  <c r="BF361" i="3"/>
  <c r="BJ360" i="3"/>
  <c r="BK360" i="3"/>
  <c r="BB361" i="3"/>
  <c r="AY362" i="3"/>
  <c r="AT363" i="3"/>
  <c r="AW363" i="3"/>
  <c r="AX363" i="3"/>
  <c r="AU363" i="3"/>
  <c r="BA362" i="3"/>
  <c r="AG364" i="3"/>
  <c r="AH364" i="3"/>
  <c r="AO364" i="3"/>
  <c r="X364" i="3"/>
  <c r="BD361" i="3"/>
  <c r="BC362" i="3"/>
  <c r="BD362" i="3"/>
  <c r="AO365" i="3"/>
  <c r="BN365" i="3"/>
  <c r="AG365" i="3"/>
  <c r="AU364" i="3"/>
  <c r="X365" i="3"/>
  <c r="AY363" i="3"/>
  <c r="BB362" i="3"/>
  <c r="BF362" i="3"/>
  <c r="BJ361" i="3"/>
  <c r="BK361" i="3"/>
  <c r="BQ362" i="3"/>
  <c r="Y365" i="3"/>
  <c r="Z365" i="3"/>
  <c r="AX364" i="3"/>
  <c r="AV363" i="3"/>
  <c r="BM365" i="3"/>
  <c r="AN365" i="3"/>
  <c r="AR366" i="3"/>
  <c r="B366" i="3"/>
  <c r="AQ366" i="3"/>
  <c r="A367" i="3"/>
  <c r="T366" i="3"/>
  <c r="S366" i="3"/>
  <c r="AK366" i="3"/>
  <c r="AM366" i="3"/>
  <c r="Q366" i="3"/>
  <c r="R366" i="3"/>
  <c r="AD366" i="3"/>
  <c r="P366" i="3"/>
  <c r="O366" i="3"/>
  <c r="AF366" i="3"/>
  <c r="V366" i="3"/>
  <c r="M366" i="3"/>
  <c r="AE366" i="3"/>
  <c r="U366" i="3"/>
  <c r="F366" i="3"/>
  <c r="C366" i="3"/>
  <c r="D366" i="3"/>
  <c r="G366" i="3"/>
  <c r="H366" i="3"/>
  <c r="AW364" i="3"/>
  <c r="BA363" i="3"/>
  <c r="AT364" i="3"/>
  <c r="AH365" i="3"/>
  <c r="BC363" i="3"/>
  <c r="BD363" i="3"/>
  <c r="BG362" i="3"/>
  <c r="BH362" i="3"/>
  <c r="BI362" i="3"/>
  <c r="AY364" i="3"/>
  <c r="AX365" i="3"/>
  <c r="AG366" i="3"/>
  <c r="AO366" i="3"/>
  <c r="AV364" i="3"/>
  <c r="BA364" i="3"/>
  <c r="X366" i="3"/>
  <c r="BM366" i="3"/>
  <c r="BF363" i="3"/>
  <c r="BJ362" i="3"/>
  <c r="BK362" i="3"/>
  <c r="BB363" i="3"/>
  <c r="BQ363" i="3"/>
  <c r="AQ367" i="3"/>
  <c r="B367" i="3"/>
  <c r="A368" i="3"/>
  <c r="AR367" i="3"/>
  <c r="D367" i="3"/>
  <c r="AM367" i="3"/>
  <c r="AK367" i="3"/>
  <c r="S367" i="3"/>
  <c r="R367" i="3"/>
  <c r="Q367" i="3"/>
  <c r="T367" i="3"/>
  <c r="AD367" i="3"/>
  <c r="P367" i="3"/>
  <c r="AE367" i="3"/>
  <c r="O367" i="3"/>
  <c r="AF367" i="3"/>
  <c r="U367" i="3"/>
  <c r="V367" i="3"/>
  <c r="M367" i="3"/>
  <c r="G367" i="3"/>
  <c r="H367" i="3"/>
  <c r="C367" i="3"/>
  <c r="F367" i="3"/>
  <c r="AW365" i="3"/>
  <c r="BN366" i="3"/>
  <c r="AN366" i="3"/>
  <c r="AT365" i="3"/>
  <c r="Y366" i="3"/>
  <c r="Z366" i="3"/>
  <c r="AH366" i="3"/>
  <c r="AU365" i="3"/>
  <c r="BG363" i="3"/>
  <c r="BH363" i="3"/>
  <c r="BI363" i="3"/>
  <c r="AY365" i="3"/>
  <c r="BC364" i="3"/>
  <c r="BG364" i="3"/>
  <c r="BH364" i="3"/>
  <c r="BI364" i="3"/>
  <c r="AX366" i="3"/>
  <c r="BM367" i="3"/>
  <c r="BN367" i="3"/>
  <c r="AN367" i="3"/>
  <c r="AO367" i="3"/>
  <c r="BA365" i="3"/>
  <c r="AV365" i="3"/>
  <c r="AT366" i="3"/>
  <c r="AG367" i="3"/>
  <c r="AH367" i="3"/>
  <c r="Y367" i="3"/>
  <c r="Z367" i="3"/>
  <c r="A369" i="3"/>
  <c r="B368" i="3"/>
  <c r="AR368" i="3"/>
  <c r="AQ368" i="3"/>
  <c r="D368" i="3"/>
  <c r="S368" i="3"/>
  <c r="Q368" i="3"/>
  <c r="C368" i="3"/>
  <c r="AM368" i="3"/>
  <c r="AK368" i="3"/>
  <c r="P368" i="3"/>
  <c r="T368" i="3"/>
  <c r="R368" i="3"/>
  <c r="AD368" i="3"/>
  <c r="O368" i="3"/>
  <c r="M368" i="3"/>
  <c r="AE368" i="3"/>
  <c r="AF368" i="3"/>
  <c r="V368" i="3"/>
  <c r="U368" i="3"/>
  <c r="G368" i="3"/>
  <c r="H368" i="3"/>
  <c r="F368" i="3"/>
  <c r="BB364" i="3"/>
  <c r="BQ364" i="3"/>
  <c r="BF364" i="3"/>
  <c r="BJ363" i="3"/>
  <c r="BK363" i="3"/>
  <c r="AU366" i="3"/>
  <c r="AW366" i="3"/>
  <c r="X367" i="3"/>
  <c r="BN368" i="3"/>
  <c r="BC365" i="3"/>
  <c r="BG365" i="3"/>
  <c r="BH365" i="3"/>
  <c r="BI365" i="3"/>
  <c r="BD364" i="3"/>
  <c r="BM368" i="3"/>
  <c r="AY366" i="3"/>
  <c r="AO368" i="3"/>
  <c r="AT367" i="3"/>
  <c r="AU367" i="3"/>
  <c r="AW367" i="3"/>
  <c r="AH368" i="3"/>
  <c r="Y368" i="3"/>
  <c r="Z368" i="3"/>
  <c r="AR369" i="3"/>
  <c r="B369" i="3"/>
  <c r="AQ369" i="3"/>
  <c r="A370" i="3"/>
  <c r="D369" i="3"/>
  <c r="AM369" i="3"/>
  <c r="R369" i="3"/>
  <c r="AK369" i="3"/>
  <c r="Q369" i="3"/>
  <c r="S369" i="3"/>
  <c r="AD369" i="3"/>
  <c r="O369" i="3"/>
  <c r="AE369" i="3"/>
  <c r="V369" i="3"/>
  <c r="P369" i="3"/>
  <c r="M369" i="3"/>
  <c r="AF369" i="3"/>
  <c r="U369" i="3"/>
  <c r="C369" i="3"/>
  <c r="G369" i="3"/>
  <c r="H369" i="3"/>
  <c r="F369" i="3"/>
  <c r="T369" i="3"/>
  <c r="BA366" i="3"/>
  <c r="AV366" i="3"/>
  <c r="BQ365" i="3"/>
  <c r="BF365" i="3"/>
  <c r="BJ364" i="3"/>
  <c r="BK364" i="3"/>
  <c r="BB365" i="3"/>
  <c r="AG368" i="3"/>
  <c r="AN368" i="3"/>
  <c r="AX367" i="3"/>
  <c r="X368" i="3"/>
  <c r="BD365" i="3"/>
  <c r="BM369" i="3"/>
  <c r="AO369" i="3"/>
  <c r="BC366" i="3"/>
  <c r="BD366" i="3"/>
  <c r="AH369" i="3"/>
  <c r="BN369" i="3"/>
  <c r="AV367" i="3"/>
  <c r="AT368" i="3"/>
  <c r="AU368" i="3"/>
  <c r="Y369" i="3"/>
  <c r="Z369" i="3"/>
  <c r="AY367" i="3"/>
  <c r="BA367" i="3"/>
  <c r="BB367" i="3"/>
  <c r="AX368" i="3"/>
  <c r="BQ366" i="3"/>
  <c r="BB366" i="3"/>
  <c r="BF366" i="3"/>
  <c r="BJ365" i="3"/>
  <c r="BK365" i="3"/>
  <c r="X369" i="3"/>
  <c r="AG369" i="3"/>
  <c r="AR370" i="3"/>
  <c r="B370" i="3"/>
  <c r="AQ370" i="3"/>
  <c r="A371" i="3"/>
  <c r="AK370" i="3"/>
  <c r="AM370" i="3"/>
  <c r="T370" i="3"/>
  <c r="Q370" i="3"/>
  <c r="C370" i="3"/>
  <c r="S370" i="3"/>
  <c r="AD370" i="3"/>
  <c r="P370" i="3"/>
  <c r="O370" i="3"/>
  <c r="AF370" i="3"/>
  <c r="U370" i="3"/>
  <c r="V370" i="3"/>
  <c r="AE370" i="3"/>
  <c r="M370" i="3"/>
  <c r="D370" i="3"/>
  <c r="R370" i="3"/>
  <c r="F370" i="3"/>
  <c r="G370" i="3"/>
  <c r="H370" i="3"/>
  <c r="AW368" i="3"/>
  <c r="AN369" i="3"/>
  <c r="BM370" i="3"/>
  <c r="BG366" i="3"/>
  <c r="BH366" i="3"/>
  <c r="BI366" i="3"/>
  <c r="BC367" i="3"/>
  <c r="BD367" i="3"/>
  <c r="AG370" i="3"/>
  <c r="AO370" i="3"/>
  <c r="BF367" i="3"/>
  <c r="BJ366" i="3"/>
  <c r="BK366" i="3"/>
  <c r="AV368" i="3"/>
  <c r="BQ367" i="3"/>
  <c r="AY368" i="3"/>
  <c r="AW369" i="3"/>
  <c r="AX369" i="3"/>
  <c r="AQ371" i="3"/>
  <c r="B371" i="3"/>
  <c r="A372" i="3"/>
  <c r="AR371" i="3"/>
  <c r="C371" i="3"/>
  <c r="AK371" i="3"/>
  <c r="AM371" i="3"/>
  <c r="S371" i="3"/>
  <c r="AD371" i="3"/>
  <c r="Q371" i="3"/>
  <c r="R371" i="3"/>
  <c r="P371" i="3"/>
  <c r="O371" i="3"/>
  <c r="M371" i="3"/>
  <c r="AF371" i="3"/>
  <c r="AE371" i="3"/>
  <c r="V371" i="3"/>
  <c r="U371" i="3"/>
  <c r="D371" i="3"/>
  <c r="F371" i="3"/>
  <c r="G371" i="3"/>
  <c r="H371" i="3"/>
  <c r="T371" i="3"/>
  <c r="BA368" i="3"/>
  <c r="AU369" i="3"/>
  <c r="BN370" i="3"/>
  <c r="AH370" i="3"/>
  <c r="AN370" i="3"/>
  <c r="AT369" i="3"/>
  <c r="Y370" i="3"/>
  <c r="Z370" i="3"/>
  <c r="X370" i="3"/>
  <c r="BN371" i="3"/>
  <c r="BC368" i="3"/>
  <c r="BD368" i="3"/>
  <c r="BG367" i="3"/>
  <c r="BH367" i="3"/>
  <c r="BI367" i="3"/>
  <c r="BM371" i="3"/>
  <c r="AY369" i="3"/>
  <c r="AX370" i="3"/>
  <c r="AO371" i="3"/>
  <c r="AG371" i="3"/>
  <c r="AU370" i="3"/>
  <c r="Y371" i="3"/>
  <c r="Z371" i="3"/>
  <c r="BA369" i="3"/>
  <c r="AV369" i="3"/>
  <c r="BQ368" i="3"/>
  <c r="BB368" i="3"/>
  <c r="BF368" i="3"/>
  <c r="BJ367" i="3"/>
  <c r="BK367" i="3"/>
  <c r="A373" i="3"/>
  <c r="B372" i="3"/>
  <c r="AR372" i="3"/>
  <c r="AQ372" i="3"/>
  <c r="AK372" i="3"/>
  <c r="AM372" i="3"/>
  <c r="S372" i="3"/>
  <c r="R372" i="3"/>
  <c r="P372" i="3"/>
  <c r="Q372" i="3"/>
  <c r="AD372" i="3"/>
  <c r="AE372" i="3"/>
  <c r="O372" i="3"/>
  <c r="U372" i="3"/>
  <c r="M372" i="3"/>
  <c r="AF372" i="3"/>
  <c r="V372" i="3"/>
  <c r="G372" i="3"/>
  <c r="H372" i="3"/>
  <c r="F372" i="3"/>
  <c r="C372" i="3"/>
  <c r="D372" i="3"/>
  <c r="T372" i="3"/>
  <c r="AW370" i="3"/>
  <c r="AH371" i="3"/>
  <c r="AN371" i="3"/>
  <c r="X371" i="3"/>
  <c r="AT370" i="3"/>
  <c r="AY370" i="3"/>
  <c r="BG368" i="3"/>
  <c r="BH368" i="3"/>
  <c r="BI368" i="3"/>
  <c r="BM372" i="3"/>
  <c r="BC369" i="3"/>
  <c r="BG369" i="3"/>
  <c r="BH369" i="3"/>
  <c r="BI369" i="3"/>
  <c r="AU371" i="3"/>
  <c r="AO372" i="3"/>
  <c r="AT371" i="3"/>
  <c r="AW371" i="3"/>
  <c r="AH372" i="3"/>
  <c r="AV370" i="3"/>
  <c r="BA370" i="3"/>
  <c r="BF369" i="3"/>
  <c r="BJ368" i="3"/>
  <c r="BK368" i="3"/>
  <c r="BB369" i="3"/>
  <c r="BQ369" i="3"/>
  <c r="AX371" i="3"/>
  <c r="Y372" i="3"/>
  <c r="Z372" i="3"/>
  <c r="X372" i="3"/>
  <c r="BN372" i="3"/>
  <c r="AG372" i="3"/>
  <c r="AN372" i="3"/>
  <c r="AR373" i="3"/>
  <c r="B373" i="3"/>
  <c r="AQ373" i="3"/>
  <c r="A374" i="3"/>
  <c r="D373" i="3"/>
  <c r="AM373" i="3"/>
  <c r="AK373" i="3"/>
  <c r="T373" i="3"/>
  <c r="S373" i="3"/>
  <c r="R373" i="3"/>
  <c r="AD373" i="3"/>
  <c r="P373" i="3"/>
  <c r="AE373" i="3"/>
  <c r="AF373" i="3"/>
  <c r="V373" i="3"/>
  <c r="O373" i="3"/>
  <c r="M373" i="3"/>
  <c r="U373" i="3"/>
  <c r="C373" i="3"/>
  <c r="G373" i="3"/>
  <c r="H373" i="3"/>
  <c r="F373" i="3"/>
  <c r="Q373" i="3"/>
  <c r="BM373" i="3"/>
  <c r="AV371" i="3"/>
  <c r="BD369" i="3"/>
  <c r="BC370" i="3"/>
  <c r="BD370" i="3"/>
  <c r="BN373" i="3"/>
  <c r="AU372" i="3"/>
  <c r="AT372" i="3"/>
  <c r="AN373" i="3"/>
  <c r="AW372" i="3"/>
  <c r="BA371" i="3"/>
  <c r="BB371" i="3"/>
  <c r="AX372" i="3"/>
  <c r="AY371" i="3"/>
  <c r="Y373" i="3"/>
  <c r="Z373" i="3"/>
  <c r="BB370" i="3"/>
  <c r="BQ370" i="3"/>
  <c r="BF370" i="3"/>
  <c r="BJ369" i="3"/>
  <c r="BK369" i="3"/>
  <c r="X373" i="3"/>
  <c r="AG373" i="3"/>
  <c r="AH373" i="3"/>
  <c r="AO373" i="3"/>
  <c r="AR374" i="3"/>
  <c r="B374" i="3"/>
  <c r="AQ374" i="3"/>
  <c r="A375" i="3"/>
  <c r="C374" i="3"/>
  <c r="AM374" i="3"/>
  <c r="AK374" i="3"/>
  <c r="Q374" i="3"/>
  <c r="R374" i="3"/>
  <c r="AD374" i="3"/>
  <c r="M374" i="3"/>
  <c r="AE374" i="3"/>
  <c r="AF374" i="3"/>
  <c r="V374" i="3"/>
  <c r="P374" i="3"/>
  <c r="O374" i="3"/>
  <c r="U374" i="3"/>
  <c r="D374" i="3"/>
  <c r="G374" i="3"/>
  <c r="H374" i="3"/>
  <c r="F374" i="3"/>
  <c r="T374" i="3"/>
  <c r="S374" i="3"/>
  <c r="BC371" i="3"/>
  <c r="BD371" i="3"/>
  <c r="BG370" i="3"/>
  <c r="BH370" i="3"/>
  <c r="BI370" i="3"/>
  <c r="BA372" i="3"/>
  <c r="BB372" i="3"/>
  <c r="BM374" i="3"/>
  <c r="AV372" i="3"/>
  <c r="AT373" i="3"/>
  <c r="AG374" i="3"/>
  <c r="BQ371" i="3"/>
  <c r="BF371" i="3"/>
  <c r="BJ370" i="3"/>
  <c r="BK370" i="3"/>
  <c r="AY372" i="3"/>
  <c r="AN374" i="3"/>
  <c r="AU373" i="3"/>
  <c r="Y374" i="3"/>
  <c r="Z374" i="3"/>
  <c r="BN374" i="3"/>
  <c r="AO374" i="3"/>
  <c r="AX373" i="3"/>
  <c r="AQ375" i="3"/>
  <c r="B375" i="3"/>
  <c r="A376" i="3"/>
  <c r="AR375" i="3"/>
  <c r="AK375" i="3"/>
  <c r="AM375" i="3"/>
  <c r="T375" i="3"/>
  <c r="S375" i="3"/>
  <c r="C375" i="3"/>
  <c r="Q375" i="3"/>
  <c r="R375" i="3"/>
  <c r="AD375" i="3"/>
  <c r="P375" i="3"/>
  <c r="O375" i="3"/>
  <c r="AE375" i="3"/>
  <c r="AF375" i="3"/>
  <c r="M375" i="3"/>
  <c r="V375" i="3"/>
  <c r="U375" i="3"/>
  <c r="D375" i="3"/>
  <c r="F375" i="3"/>
  <c r="G375" i="3"/>
  <c r="H375" i="3"/>
  <c r="X374" i="3"/>
  <c r="AH374" i="3"/>
  <c r="AW373" i="3"/>
  <c r="BM375" i="3"/>
  <c r="BN375" i="3"/>
  <c r="BF372" i="3"/>
  <c r="BJ371" i="3"/>
  <c r="BK371" i="3"/>
  <c r="BG371" i="3"/>
  <c r="BH371" i="3"/>
  <c r="BI371" i="3"/>
  <c r="AV373" i="3"/>
  <c r="BQ372" i="3"/>
  <c r="BC372" i="3"/>
  <c r="AG375" i="3"/>
  <c r="AX374" i="3"/>
  <c r="BA373" i="3"/>
  <c r="AY373" i="3"/>
  <c r="Y375" i="3"/>
  <c r="Z375" i="3"/>
  <c r="X375" i="3"/>
  <c r="AH375" i="3"/>
  <c r="AT374" i="3"/>
  <c r="AN375" i="3"/>
  <c r="AO375" i="3"/>
  <c r="A377" i="3"/>
  <c r="B376" i="3"/>
  <c r="AR376" i="3"/>
  <c r="AQ376" i="3"/>
  <c r="D376" i="3"/>
  <c r="T376" i="3"/>
  <c r="AM376" i="3"/>
  <c r="AK376" i="3"/>
  <c r="S376" i="3"/>
  <c r="R376" i="3"/>
  <c r="AD376" i="3"/>
  <c r="P376" i="3"/>
  <c r="M376" i="3"/>
  <c r="AE376" i="3"/>
  <c r="O376" i="3"/>
  <c r="AF376" i="3"/>
  <c r="U376" i="3"/>
  <c r="V376" i="3"/>
  <c r="Q376" i="3"/>
  <c r="C376" i="3"/>
  <c r="F376" i="3"/>
  <c r="G376" i="3"/>
  <c r="H376" i="3"/>
  <c r="AU374" i="3"/>
  <c r="AW374" i="3"/>
  <c r="AU375" i="3"/>
  <c r="BC373" i="3"/>
  <c r="BG373" i="3"/>
  <c r="BH373" i="3"/>
  <c r="BI373" i="3"/>
  <c r="BG372" i="3"/>
  <c r="BH372" i="3"/>
  <c r="BI372" i="3"/>
  <c r="BD372" i="3"/>
  <c r="BN376" i="3"/>
  <c r="BM376" i="3"/>
  <c r="AY374" i="3"/>
  <c r="AW375" i="3"/>
  <c r="AN376" i="3"/>
  <c r="AV374" i="3"/>
  <c r="BA374" i="3"/>
  <c r="BF373" i="3"/>
  <c r="BJ372" i="3"/>
  <c r="BK372" i="3"/>
  <c r="BB373" i="3"/>
  <c r="BQ373" i="3"/>
  <c r="X376" i="3"/>
  <c r="AG376" i="3"/>
  <c r="AO376" i="3"/>
  <c r="AX375" i="3"/>
  <c r="Y376" i="3"/>
  <c r="Z376" i="3"/>
  <c r="AR377" i="3"/>
  <c r="B377" i="3"/>
  <c r="AQ377" i="3"/>
  <c r="A378" i="3"/>
  <c r="S377" i="3"/>
  <c r="C377" i="3"/>
  <c r="AK377" i="3"/>
  <c r="AM377" i="3"/>
  <c r="T377" i="3"/>
  <c r="Q377" i="3"/>
  <c r="AD377" i="3"/>
  <c r="P377" i="3"/>
  <c r="O377" i="3"/>
  <c r="AE377" i="3"/>
  <c r="M377" i="3"/>
  <c r="U377" i="3"/>
  <c r="V377" i="3"/>
  <c r="AF377" i="3"/>
  <c r="G377" i="3"/>
  <c r="H377" i="3"/>
  <c r="R377" i="3"/>
  <c r="D377" i="3"/>
  <c r="F377" i="3"/>
  <c r="BM377" i="3"/>
  <c r="BD373" i="3"/>
  <c r="AH376" i="3"/>
  <c r="AT375" i="3"/>
  <c r="BC374" i="3"/>
  <c r="BD374" i="3"/>
  <c r="AY375" i="3"/>
  <c r="AO377" i="3"/>
  <c r="AH377" i="3"/>
  <c r="AU376" i="3"/>
  <c r="AX376" i="3"/>
  <c r="Y377" i="3"/>
  <c r="Z377" i="3"/>
  <c r="AT376" i="3"/>
  <c r="BN377" i="3"/>
  <c r="AV375" i="3"/>
  <c r="BA375" i="3"/>
  <c r="AR378" i="3"/>
  <c r="B378" i="3"/>
  <c r="AQ378" i="3"/>
  <c r="A379" i="3"/>
  <c r="AM378" i="3"/>
  <c r="AK378" i="3"/>
  <c r="Q378" i="3"/>
  <c r="T378" i="3"/>
  <c r="S378" i="3"/>
  <c r="P378" i="3"/>
  <c r="R378" i="3"/>
  <c r="AD378" i="3"/>
  <c r="M378" i="3"/>
  <c r="O378" i="3"/>
  <c r="AE378" i="3"/>
  <c r="AF378" i="3"/>
  <c r="V378" i="3"/>
  <c r="U378" i="3"/>
  <c r="C378" i="3"/>
  <c r="D378" i="3"/>
  <c r="G378" i="3"/>
  <c r="H378" i="3"/>
  <c r="F378" i="3"/>
  <c r="BB374" i="3"/>
  <c r="BF374" i="3"/>
  <c r="BJ373" i="3"/>
  <c r="BK373" i="3"/>
  <c r="BQ374" i="3"/>
  <c r="AG377" i="3"/>
  <c r="AN377" i="3"/>
  <c r="X377" i="3"/>
  <c r="AW376" i="3"/>
  <c r="BC375" i="3"/>
  <c r="BG375" i="3"/>
  <c r="BH375" i="3"/>
  <c r="BI375" i="3"/>
  <c r="AY376" i="3"/>
  <c r="BG374" i="3"/>
  <c r="BH374" i="3"/>
  <c r="BI374" i="3"/>
  <c r="AN378" i="3"/>
  <c r="BN378" i="3"/>
  <c r="AW377" i="3"/>
  <c r="AX377" i="3"/>
  <c r="AG378" i="3"/>
  <c r="X378" i="3"/>
  <c r="Y378" i="3"/>
  <c r="Z378" i="3"/>
  <c r="AQ379" i="3"/>
  <c r="B379" i="3"/>
  <c r="A380" i="3"/>
  <c r="AR379" i="3"/>
  <c r="C379" i="3"/>
  <c r="AK379" i="3"/>
  <c r="S379" i="3"/>
  <c r="AM379" i="3"/>
  <c r="R379" i="3"/>
  <c r="Q379" i="3"/>
  <c r="AD379" i="3"/>
  <c r="P379" i="3"/>
  <c r="M379" i="3"/>
  <c r="AE379" i="3"/>
  <c r="O379" i="3"/>
  <c r="AF379" i="3"/>
  <c r="U379" i="3"/>
  <c r="V379" i="3"/>
  <c r="D379" i="3"/>
  <c r="G379" i="3"/>
  <c r="H379" i="3"/>
  <c r="F379" i="3"/>
  <c r="T379" i="3"/>
  <c r="BQ375" i="3"/>
  <c r="BB375" i="3"/>
  <c r="BF375" i="3"/>
  <c r="BJ374" i="3"/>
  <c r="BK374" i="3"/>
  <c r="BA376" i="3"/>
  <c r="AV376" i="3"/>
  <c r="BM378" i="3"/>
  <c r="AH378" i="3"/>
  <c r="AO378" i="3"/>
  <c r="AT377" i="3"/>
  <c r="AU377" i="3"/>
  <c r="BD375" i="3"/>
  <c r="BM379" i="3"/>
  <c r="BC376" i="3"/>
  <c r="BG376" i="3"/>
  <c r="BH376" i="3"/>
  <c r="BI376" i="3"/>
  <c r="AN379" i="3"/>
  <c r="AY377" i="3"/>
  <c r="AW378" i="3"/>
  <c r="AX378" i="3"/>
  <c r="AT378" i="3"/>
  <c r="AV377" i="3"/>
  <c r="BA377" i="3"/>
  <c r="A381" i="3"/>
  <c r="B380" i="3"/>
  <c r="AR380" i="3"/>
  <c r="AQ380" i="3"/>
  <c r="D380" i="3"/>
  <c r="AM380" i="3"/>
  <c r="T380" i="3"/>
  <c r="AK380" i="3"/>
  <c r="Q380" i="3"/>
  <c r="S380" i="3"/>
  <c r="AD380" i="3"/>
  <c r="P380" i="3"/>
  <c r="AE380" i="3"/>
  <c r="M380" i="3"/>
  <c r="AF380" i="3"/>
  <c r="V380" i="3"/>
  <c r="O380" i="3"/>
  <c r="U380" i="3"/>
  <c r="C380" i="3"/>
  <c r="F380" i="3"/>
  <c r="R380" i="3"/>
  <c r="G380" i="3"/>
  <c r="H380" i="3"/>
  <c r="X379" i="3"/>
  <c r="BB376" i="3"/>
  <c r="BQ376" i="3"/>
  <c r="BF376" i="3"/>
  <c r="BJ375" i="3"/>
  <c r="BK375" i="3"/>
  <c r="AU378" i="3"/>
  <c r="Y379" i="3"/>
  <c r="Z379" i="3"/>
  <c r="BN379" i="3"/>
  <c r="AH379" i="3"/>
  <c r="AG379" i="3"/>
  <c r="AO379" i="3"/>
  <c r="BD376" i="3"/>
  <c r="AO380" i="3"/>
  <c r="BC377" i="3"/>
  <c r="BG377" i="3"/>
  <c r="BH377" i="3"/>
  <c r="BI377" i="3"/>
  <c r="AH380" i="3"/>
  <c r="BN380" i="3"/>
  <c r="BM380" i="3"/>
  <c r="AV378" i="3"/>
  <c r="AY378" i="3"/>
  <c r="Y380" i="3"/>
  <c r="Z380" i="3"/>
  <c r="AR381" i="3"/>
  <c r="B381" i="3"/>
  <c r="AQ381" i="3"/>
  <c r="A382" i="3"/>
  <c r="AM381" i="3"/>
  <c r="Q381" i="3"/>
  <c r="C381" i="3"/>
  <c r="AK381" i="3"/>
  <c r="R381" i="3"/>
  <c r="S381" i="3"/>
  <c r="AD381" i="3"/>
  <c r="P381" i="3"/>
  <c r="O381" i="3"/>
  <c r="M381" i="3"/>
  <c r="AF381" i="3"/>
  <c r="U381" i="3"/>
  <c r="AE381" i="3"/>
  <c r="V381" i="3"/>
  <c r="D381" i="3"/>
  <c r="F381" i="3"/>
  <c r="G381" i="3"/>
  <c r="H381" i="3"/>
  <c r="T381" i="3"/>
  <c r="AX379" i="3"/>
  <c r="BA378" i="3"/>
  <c r="AU379" i="3"/>
  <c r="AT379" i="3"/>
  <c r="AW379" i="3"/>
  <c r="X380" i="3"/>
  <c r="AG380" i="3"/>
  <c r="BB377" i="3"/>
  <c r="BQ377" i="3"/>
  <c r="BF377" i="3"/>
  <c r="BJ376" i="3"/>
  <c r="BK376" i="3"/>
  <c r="AN380" i="3"/>
  <c r="BN381" i="3"/>
  <c r="BD377" i="3"/>
  <c r="AT380" i="3"/>
  <c r="AG381" i="3"/>
  <c r="AN381" i="3"/>
  <c r="BM381" i="3"/>
  <c r="AY379" i="3"/>
  <c r="BC378" i="3"/>
  <c r="BD378" i="3"/>
  <c r="AU380" i="3"/>
  <c r="AX380" i="3"/>
  <c r="AH381" i="3"/>
  <c r="X381" i="3"/>
  <c r="AV379" i="3"/>
  <c r="BA379" i="3"/>
  <c r="BB378" i="3"/>
  <c r="BQ378" i="3"/>
  <c r="BF378" i="3"/>
  <c r="BJ377" i="3"/>
  <c r="BK377" i="3"/>
  <c r="AR382" i="3"/>
  <c r="B382" i="3"/>
  <c r="AQ382" i="3"/>
  <c r="A383" i="3"/>
  <c r="C382" i="3"/>
  <c r="D382" i="3"/>
  <c r="AK382" i="3"/>
  <c r="S382" i="3"/>
  <c r="R382" i="3"/>
  <c r="AM382" i="3"/>
  <c r="AD382" i="3"/>
  <c r="P382" i="3"/>
  <c r="O382" i="3"/>
  <c r="AE382" i="3"/>
  <c r="U382" i="3"/>
  <c r="AF382" i="3"/>
  <c r="M382" i="3"/>
  <c r="V382" i="3"/>
  <c r="Q382" i="3"/>
  <c r="G382" i="3"/>
  <c r="H382" i="3"/>
  <c r="F382" i="3"/>
  <c r="T382" i="3"/>
  <c r="AW380" i="3"/>
  <c r="Y381" i="3"/>
  <c r="Z381" i="3"/>
  <c r="AO381" i="3"/>
  <c r="BN382" i="3"/>
  <c r="AY380" i="3"/>
  <c r="AV380" i="3"/>
  <c r="BC379" i="3"/>
  <c r="BG379" i="3"/>
  <c r="BH379" i="3"/>
  <c r="BI379" i="3"/>
  <c r="AU381" i="3"/>
  <c r="AO382" i="3"/>
  <c r="BG378" i="3"/>
  <c r="BH378" i="3"/>
  <c r="BI378" i="3"/>
  <c r="AN382" i="3"/>
  <c r="Y382" i="3"/>
  <c r="Z382" i="3"/>
  <c r="AQ383" i="3"/>
  <c r="B383" i="3"/>
  <c r="A384" i="3"/>
  <c r="AR383" i="3"/>
  <c r="Q383" i="3"/>
  <c r="AK383" i="3"/>
  <c r="AM383" i="3"/>
  <c r="S383" i="3"/>
  <c r="AD383" i="3"/>
  <c r="O383" i="3"/>
  <c r="P383" i="3"/>
  <c r="M383" i="3"/>
  <c r="AE383" i="3"/>
  <c r="AF383" i="3"/>
  <c r="V383" i="3"/>
  <c r="U383" i="3"/>
  <c r="D383" i="3"/>
  <c r="F383" i="3"/>
  <c r="R383" i="3"/>
  <c r="C383" i="3"/>
  <c r="G383" i="3"/>
  <c r="H383" i="3"/>
  <c r="BN383" i="3"/>
  <c r="T383" i="3"/>
  <c r="AG382" i="3"/>
  <c r="BA380" i="3"/>
  <c r="AX381" i="3"/>
  <c r="X382" i="3"/>
  <c r="BM382" i="3"/>
  <c r="BQ379" i="3"/>
  <c r="BF379" i="3"/>
  <c r="BJ378" i="3"/>
  <c r="BK378" i="3"/>
  <c r="BB379" i="3"/>
  <c r="AH382" i="3"/>
  <c r="AT381" i="3"/>
  <c r="AW381" i="3"/>
  <c r="BC380" i="3"/>
  <c r="BD380" i="3"/>
  <c r="BD379" i="3"/>
  <c r="AX382" i="3"/>
  <c r="AN383" i="3"/>
  <c r="AG383" i="3"/>
  <c r="X383" i="3"/>
  <c r="AT382" i="3"/>
  <c r="AU382" i="3"/>
  <c r="AY381" i="3"/>
  <c r="BB380" i="3"/>
  <c r="BF380" i="3"/>
  <c r="BJ379" i="3"/>
  <c r="BK379" i="3"/>
  <c r="BQ380" i="3"/>
  <c r="A385" i="3"/>
  <c r="B384" i="3"/>
  <c r="AR384" i="3"/>
  <c r="AQ384" i="3"/>
  <c r="D384" i="3"/>
  <c r="AK384" i="3"/>
  <c r="AM384" i="3"/>
  <c r="S384" i="3"/>
  <c r="R384" i="3"/>
  <c r="Q384" i="3"/>
  <c r="AD384" i="3"/>
  <c r="P384" i="3"/>
  <c r="M384" i="3"/>
  <c r="O384" i="3"/>
  <c r="AE384" i="3"/>
  <c r="AF384" i="3"/>
  <c r="V384" i="3"/>
  <c r="U384" i="3"/>
  <c r="F384" i="3"/>
  <c r="C384" i="3"/>
  <c r="G384" i="3"/>
  <c r="H384" i="3"/>
  <c r="T384" i="3"/>
  <c r="AW382" i="3"/>
  <c r="AH383" i="3"/>
  <c r="AV381" i="3"/>
  <c r="BA381" i="3"/>
  <c r="Y383" i="3"/>
  <c r="Z383" i="3"/>
  <c r="BM383" i="3"/>
  <c r="AO383" i="3"/>
  <c r="BN384" i="3"/>
  <c r="BG380" i="3"/>
  <c r="BH380" i="3"/>
  <c r="BI380" i="3"/>
  <c r="BC381" i="3"/>
  <c r="BG381" i="3"/>
  <c r="BH381" i="3"/>
  <c r="BI381" i="3"/>
  <c r="AY382" i="3"/>
  <c r="BM384" i="3"/>
  <c r="AN384" i="3"/>
  <c r="AG384" i="3"/>
  <c r="AV382" i="3"/>
  <c r="AW383" i="3"/>
  <c r="BA382" i="3"/>
  <c r="BQ382" i="3"/>
  <c r="BB381" i="3"/>
  <c r="BQ381" i="3"/>
  <c r="BF381" i="3"/>
  <c r="BJ380" i="3"/>
  <c r="BK380" i="3"/>
  <c r="AT383" i="3"/>
  <c r="AU383" i="3"/>
  <c r="Y384" i="3"/>
  <c r="Z384" i="3"/>
  <c r="X384" i="3"/>
  <c r="AO384" i="3"/>
  <c r="AR385" i="3"/>
  <c r="B385" i="3"/>
  <c r="AQ385" i="3"/>
  <c r="A386" i="3"/>
  <c r="AM385" i="3"/>
  <c r="T385" i="3"/>
  <c r="S385" i="3"/>
  <c r="Q385" i="3"/>
  <c r="AK385" i="3"/>
  <c r="AD385" i="3"/>
  <c r="R385" i="3"/>
  <c r="P385" i="3"/>
  <c r="O385" i="3"/>
  <c r="AE385" i="3"/>
  <c r="M385" i="3"/>
  <c r="U385" i="3"/>
  <c r="AF385" i="3"/>
  <c r="V385" i="3"/>
  <c r="D385" i="3"/>
  <c r="F385" i="3"/>
  <c r="C385" i="3"/>
  <c r="G385" i="3"/>
  <c r="H385" i="3"/>
  <c r="AX383" i="3"/>
  <c r="AH384" i="3"/>
  <c r="BD381" i="3"/>
  <c r="AO385" i="3"/>
  <c r="BC382" i="3"/>
  <c r="BG382" i="3"/>
  <c r="BH382" i="3"/>
  <c r="BI382" i="3"/>
  <c r="AY383" i="3"/>
  <c r="AX384" i="3"/>
  <c r="AH385" i="3"/>
  <c r="AV383" i="3"/>
  <c r="X385" i="3"/>
  <c r="BF382" i="3"/>
  <c r="BJ381" i="3"/>
  <c r="BK381" i="3"/>
  <c r="BB382" i="3"/>
  <c r="Y385" i="3"/>
  <c r="Z385" i="3"/>
  <c r="AR386" i="3"/>
  <c r="B386" i="3"/>
  <c r="AQ386" i="3"/>
  <c r="A387" i="3"/>
  <c r="C386" i="3"/>
  <c r="D386" i="3"/>
  <c r="AM386" i="3"/>
  <c r="S386" i="3"/>
  <c r="AK386" i="3"/>
  <c r="R386" i="3"/>
  <c r="AD386" i="3"/>
  <c r="Q386" i="3"/>
  <c r="P386" i="3"/>
  <c r="O386" i="3"/>
  <c r="AE386" i="3"/>
  <c r="M386" i="3"/>
  <c r="U386" i="3"/>
  <c r="AF386" i="3"/>
  <c r="V386" i="3"/>
  <c r="G386" i="3"/>
  <c r="H386" i="3"/>
  <c r="F386" i="3"/>
  <c r="T386" i="3"/>
  <c r="AT384" i="3"/>
  <c r="AW384" i="3"/>
  <c r="BN385" i="3"/>
  <c r="BM385" i="3"/>
  <c r="AG385" i="3"/>
  <c r="AU384" i="3"/>
  <c r="AN385" i="3"/>
  <c r="BA383" i="3"/>
  <c r="BC383" i="3"/>
  <c r="BD383" i="3"/>
  <c r="BD382" i="3"/>
  <c r="BN386" i="3"/>
  <c r="BM386" i="3"/>
  <c r="AO386" i="3"/>
  <c r="AY384" i="3"/>
  <c r="AX385" i="3"/>
  <c r="AG386" i="3"/>
  <c r="AV384" i="3"/>
  <c r="AT385" i="3"/>
  <c r="AH386" i="3"/>
  <c r="AN386" i="3"/>
  <c r="X386" i="3"/>
  <c r="BB383" i="3"/>
  <c r="BF383" i="3"/>
  <c r="BJ382" i="3"/>
  <c r="BK382" i="3"/>
  <c r="BQ383" i="3"/>
  <c r="AQ387" i="3"/>
  <c r="B387" i="3"/>
  <c r="A388" i="3"/>
  <c r="AR387" i="3"/>
  <c r="D387" i="3"/>
  <c r="S387" i="3"/>
  <c r="AK387" i="3"/>
  <c r="AM387" i="3"/>
  <c r="T387" i="3"/>
  <c r="R387" i="3"/>
  <c r="Q387" i="3"/>
  <c r="AD387" i="3"/>
  <c r="P387" i="3"/>
  <c r="O387" i="3"/>
  <c r="M387" i="3"/>
  <c r="AF387" i="3"/>
  <c r="V387" i="3"/>
  <c r="U387" i="3"/>
  <c r="AE387" i="3"/>
  <c r="C387" i="3"/>
  <c r="G387" i="3"/>
  <c r="H387" i="3"/>
  <c r="F387" i="3"/>
  <c r="AW385" i="3"/>
  <c r="AU385" i="3"/>
  <c r="BA384" i="3"/>
  <c r="Y386" i="3"/>
  <c r="Z386" i="3"/>
  <c r="BG383" i="3"/>
  <c r="BH383" i="3"/>
  <c r="BI383" i="3"/>
  <c r="BM387" i="3"/>
  <c r="AY385" i="3"/>
  <c r="BN387" i="3"/>
  <c r="BC384" i="3"/>
  <c r="BG384" i="3"/>
  <c r="BH384" i="3"/>
  <c r="BI384" i="3"/>
  <c r="AN387" i="3"/>
  <c r="BA385" i="3"/>
  <c r="BF385" i="3"/>
  <c r="AU386" i="3"/>
  <c r="AX386" i="3"/>
  <c r="BB384" i="3"/>
  <c r="BF384" i="3"/>
  <c r="BJ383" i="3"/>
  <c r="BK383" i="3"/>
  <c r="BQ384" i="3"/>
  <c r="Y387" i="3"/>
  <c r="Z387" i="3"/>
  <c r="A389" i="3"/>
  <c r="B388" i="3"/>
  <c r="AR388" i="3"/>
  <c r="AQ388" i="3"/>
  <c r="AK388" i="3"/>
  <c r="AM388" i="3"/>
  <c r="T388" i="3"/>
  <c r="R388" i="3"/>
  <c r="Q388" i="3"/>
  <c r="AD388" i="3"/>
  <c r="P388" i="3"/>
  <c r="O388" i="3"/>
  <c r="M388" i="3"/>
  <c r="AF388" i="3"/>
  <c r="V388" i="3"/>
  <c r="AE388" i="3"/>
  <c r="U388" i="3"/>
  <c r="D388" i="3"/>
  <c r="F388" i="3"/>
  <c r="G388" i="3"/>
  <c r="H388" i="3"/>
  <c r="C388" i="3"/>
  <c r="S388" i="3"/>
  <c r="X387" i="3"/>
  <c r="AH387" i="3"/>
  <c r="AV385" i="3"/>
  <c r="AG387" i="3"/>
  <c r="AO387" i="3"/>
  <c r="AT386" i="3"/>
  <c r="AW386" i="3"/>
  <c r="BN388" i="3"/>
  <c r="BC385" i="3"/>
  <c r="BG385" i="3"/>
  <c r="BH385" i="3"/>
  <c r="BI385" i="3"/>
  <c r="BD384" i="3"/>
  <c r="AN388" i="3"/>
  <c r="AG388" i="3"/>
  <c r="BQ385" i="3"/>
  <c r="X388" i="3"/>
  <c r="BB385" i="3"/>
  <c r="AY386" i="3"/>
  <c r="AV386" i="3"/>
  <c r="BA386" i="3"/>
  <c r="AR389" i="3"/>
  <c r="B389" i="3"/>
  <c r="AQ389" i="3"/>
  <c r="A390" i="3"/>
  <c r="D389" i="3"/>
  <c r="C389" i="3"/>
  <c r="AK389" i="3"/>
  <c r="S389" i="3"/>
  <c r="Q389" i="3"/>
  <c r="R389" i="3"/>
  <c r="AM389" i="3"/>
  <c r="AD389" i="3"/>
  <c r="P389" i="3"/>
  <c r="O389" i="3"/>
  <c r="AE389" i="3"/>
  <c r="U389" i="3"/>
  <c r="M389" i="3"/>
  <c r="AF389" i="3"/>
  <c r="V389" i="3"/>
  <c r="F389" i="3"/>
  <c r="G389" i="3"/>
  <c r="H389" i="3"/>
  <c r="T389" i="3"/>
  <c r="AX387" i="3"/>
  <c r="AH388" i="3"/>
  <c r="AU387" i="3"/>
  <c r="AW387" i="3"/>
  <c r="AT387" i="3"/>
  <c r="BM388" i="3"/>
  <c r="AO388" i="3"/>
  <c r="BJ384" i="3"/>
  <c r="BK384" i="3"/>
  <c r="BD385" i="3"/>
  <c r="Y388" i="3"/>
  <c r="Z388" i="3"/>
  <c r="BN389" i="3"/>
  <c r="BM389" i="3"/>
  <c r="AY387" i="3"/>
  <c r="BC386" i="3"/>
  <c r="BG386" i="3"/>
  <c r="BH386" i="3"/>
  <c r="BI386" i="3"/>
  <c r="AG389" i="3"/>
  <c r="AT388" i="3"/>
  <c r="AX388" i="3"/>
  <c r="AN389" i="3"/>
  <c r="AO389" i="3"/>
  <c r="BA387" i="3"/>
  <c r="AV387" i="3"/>
  <c r="AR390" i="3"/>
  <c r="B390" i="3"/>
  <c r="AQ390" i="3"/>
  <c r="A391" i="3"/>
  <c r="AK390" i="3"/>
  <c r="T390" i="3"/>
  <c r="AM390" i="3"/>
  <c r="S390" i="3"/>
  <c r="Q390" i="3"/>
  <c r="R390" i="3"/>
  <c r="AD390" i="3"/>
  <c r="P390" i="3"/>
  <c r="O390" i="3"/>
  <c r="AF390" i="3"/>
  <c r="U390" i="3"/>
  <c r="M390" i="3"/>
  <c r="AE390" i="3"/>
  <c r="V390" i="3"/>
  <c r="D390" i="3"/>
  <c r="C390" i="3"/>
  <c r="G390" i="3"/>
  <c r="H390" i="3"/>
  <c r="F390" i="3"/>
  <c r="BQ386" i="3"/>
  <c r="BB386" i="3"/>
  <c r="BF386" i="3"/>
  <c r="BJ385" i="3"/>
  <c r="BK385" i="3"/>
  <c r="AU388" i="3"/>
  <c r="AW388" i="3"/>
  <c r="Y389" i="3"/>
  <c r="Z389" i="3"/>
  <c r="AH389" i="3"/>
  <c r="X389" i="3"/>
  <c r="BM390" i="3"/>
  <c r="BN390" i="3"/>
  <c r="AN390" i="3"/>
  <c r="BD386" i="3"/>
  <c r="AG390" i="3"/>
  <c r="AX389" i="3"/>
  <c r="BC387" i="3"/>
  <c r="BD387" i="3"/>
  <c r="AY388" i="3"/>
  <c r="Y390" i="3"/>
  <c r="Z390" i="3"/>
  <c r="BB387" i="3"/>
  <c r="BF387" i="3"/>
  <c r="BJ386" i="3"/>
  <c r="BK386" i="3"/>
  <c r="BQ387" i="3"/>
  <c r="BA388" i="3"/>
  <c r="AV388" i="3"/>
  <c r="AH390" i="3"/>
  <c r="AO390" i="3"/>
  <c r="AU389" i="3"/>
  <c r="AW389" i="3"/>
  <c r="AQ391" i="3"/>
  <c r="B391" i="3"/>
  <c r="A392" i="3"/>
  <c r="AR391" i="3"/>
  <c r="C391" i="3"/>
  <c r="AM391" i="3"/>
  <c r="AK391" i="3"/>
  <c r="S391" i="3"/>
  <c r="R391" i="3"/>
  <c r="AD391" i="3"/>
  <c r="P391" i="3"/>
  <c r="Q391" i="3"/>
  <c r="O391" i="3"/>
  <c r="M391" i="3"/>
  <c r="AE391" i="3"/>
  <c r="V391" i="3"/>
  <c r="U391" i="3"/>
  <c r="AF391" i="3"/>
  <c r="D391" i="3"/>
  <c r="F391" i="3"/>
  <c r="G391" i="3"/>
  <c r="H391" i="3"/>
  <c r="T391" i="3"/>
  <c r="X390" i="3"/>
  <c r="AT389" i="3"/>
  <c r="BN391" i="3"/>
  <c r="AT390" i="3"/>
  <c r="AU390" i="3"/>
  <c r="BC388" i="3"/>
  <c r="BG388" i="3"/>
  <c r="BH388" i="3"/>
  <c r="BI388" i="3"/>
  <c r="AY389" i="3"/>
  <c r="BG387" i="3"/>
  <c r="BH387" i="3"/>
  <c r="BI387" i="3"/>
  <c r="BM391" i="3"/>
  <c r="AN391" i="3"/>
  <c r="AW390" i="3"/>
  <c r="Y391" i="3"/>
  <c r="Z391" i="3"/>
  <c r="BA389" i="3"/>
  <c r="AV389" i="3"/>
  <c r="A393" i="3"/>
  <c r="B392" i="3"/>
  <c r="AR392" i="3"/>
  <c r="AQ392" i="3"/>
  <c r="R392" i="3"/>
  <c r="AK392" i="3"/>
  <c r="C392" i="3"/>
  <c r="AM392" i="3"/>
  <c r="S392" i="3"/>
  <c r="Q392" i="3"/>
  <c r="AD392" i="3"/>
  <c r="P392" i="3"/>
  <c r="O392" i="3"/>
  <c r="M392" i="3"/>
  <c r="AF392" i="3"/>
  <c r="AE392" i="3"/>
  <c r="U392" i="3"/>
  <c r="V392" i="3"/>
  <c r="G392" i="3"/>
  <c r="H392" i="3"/>
  <c r="D392" i="3"/>
  <c r="F392" i="3"/>
  <c r="T392" i="3"/>
  <c r="AG391" i="3"/>
  <c r="AO391" i="3"/>
  <c r="X391" i="3"/>
  <c r="AX390" i="3"/>
  <c r="BQ388" i="3"/>
  <c r="BB388" i="3"/>
  <c r="BF388" i="3"/>
  <c r="BJ387" i="3"/>
  <c r="BK387" i="3"/>
  <c r="AH391" i="3"/>
  <c r="BM392" i="3"/>
  <c r="BD388" i="3"/>
  <c r="BC389" i="3"/>
  <c r="BG389" i="3"/>
  <c r="BH389" i="3"/>
  <c r="BI389" i="3"/>
  <c r="AV390" i="3"/>
  <c r="AY390" i="3"/>
  <c r="AU391" i="3"/>
  <c r="BN392" i="3"/>
  <c r="AT391" i="3"/>
  <c r="AO392" i="3"/>
  <c r="AN392" i="3"/>
  <c r="AX391" i="3"/>
  <c r="AW391" i="3"/>
  <c r="Y392" i="3"/>
  <c r="Z392" i="3"/>
  <c r="AG392" i="3"/>
  <c r="BA390" i="3"/>
  <c r="A394" i="3"/>
  <c r="B393" i="3"/>
  <c r="AR393" i="3"/>
  <c r="AQ393" i="3"/>
  <c r="D393" i="3"/>
  <c r="AK393" i="3"/>
  <c r="AM393" i="3"/>
  <c r="S393" i="3"/>
  <c r="R393" i="3"/>
  <c r="Q393" i="3"/>
  <c r="AD393" i="3"/>
  <c r="P393" i="3"/>
  <c r="AF393" i="3"/>
  <c r="M393" i="3"/>
  <c r="O393" i="3"/>
  <c r="AE393" i="3"/>
  <c r="U393" i="3"/>
  <c r="V393" i="3"/>
  <c r="C393" i="3"/>
  <c r="F393" i="3"/>
  <c r="G393" i="3"/>
  <c r="H393" i="3"/>
  <c r="T393" i="3"/>
  <c r="BQ389" i="3"/>
  <c r="BF389" i="3"/>
  <c r="BJ388" i="3"/>
  <c r="BK388" i="3"/>
  <c r="BB389" i="3"/>
  <c r="AH392" i="3"/>
  <c r="X392" i="3"/>
  <c r="BN393" i="3"/>
  <c r="BD389" i="3"/>
  <c r="BC390" i="3"/>
  <c r="BD390" i="3"/>
  <c r="AV391" i="3"/>
  <c r="AN393" i="3"/>
  <c r="AH393" i="3"/>
  <c r="AT392" i="3"/>
  <c r="AX392" i="3"/>
  <c r="X393" i="3"/>
  <c r="AY391" i="3"/>
  <c r="BF390" i="3"/>
  <c r="BJ389" i="3"/>
  <c r="BK389" i="3"/>
  <c r="BB390" i="3"/>
  <c r="BQ390" i="3"/>
  <c r="Y393" i="3"/>
  <c r="Z393" i="3"/>
  <c r="BM393" i="3"/>
  <c r="AG393" i="3"/>
  <c r="AO393" i="3"/>
  <c r="AW392" i="3"/>
  <c r="AQ394" i="3"/>
  <c r="B394" i="3"/>
  <c r="A395" i="3"/>
  <c r="AR394" i="3"/>
  <c r="AM394" i="3"/>
  <c r="S394" i="3"/>
  <c r="R394" i="3"/>
  <c r="D394" i="3"/>
  <c r="AK394" i="3"/>
  <c r="Q394" i="3"/>
  <c r="AD394" i="3"/>
  <c r="P394" i="3"/>
  <c r="AE394" i="3"/>
  <c r="M394" i="3"/>
  <c r="AF394" i="3"/>
  <c r="V394" i="3"/>
  <c r="O394" i="3"/>
  <c r="U394" i="3"/>
  <c r="G394" i="3"/>
  <c r="H394" i="3"/>
  <c r="C394" i="3"/>
  <c r="F394" i="3"/>
  <c r="T394" i="3"/>
  <c r="AU392" i="3"/>
  <c r="BA391" i="3"/>
  <c r="AU393" i="3"/>
  <c r="AO394" i="3"/>
  <c r="BG390" i="3"/>
  <c r="BH390" i="3"/>
  <c r="BI390" i="3"/>
  <c r="BC391" i="3"/>
  <c r="BG391" i="3"/>
  <c r="BH391" i="3"/>
  <c r="BI391" i="3"/>
  <c r="AX393" i="3"/>
  <c r="AT393" i="3"/>
  <c r="BM394" i="3"/>
  <c r="BN394" i="3"/>
  <c r="AW393" i="3"/>
  <c r="BA392" i="3"/>
  <c r="BF392" i="3"/>
  <c r="AY392" i="3"/>
  <c r="BQ391" i="3"/>
  <c r="BF391" i="3"/>
  <c r="BJ390" i="3"/>
  <c r="BK390" i="3"/>
  <c r="BB391" i="3"/>
  <c r="Y394" i="3"/>
  <c r="Z394" i="3"/>
  <c r="X394" i="3"/>
  <c r="AV392" i="3"/>
  <c r="A396" i="3"/>
  <c r="B395" i="3"/>
  <c r="AR395" i="3"/>
  <c r="AQ395" i="3"/>
  <c r="T395" i="3"/>
  <c r="R395" i="3"/>
  <c r="AM395" i="3"/>
  <c r="AK395" i="3"/>
  <c r="S395" i="3"/>
  <c r="Q395" i="3"/>
  <c r="AD395" i="3"/>
  <c r="O395" i="3"/>
  <c r="AE395" i="3"/>
  <c r="M395" i="3"/>
  <c r="V395" i="3"/>
  <c r="AF395" i="3"/>
  <c r="U395" i="3"/>
  <c r="C395" i="3"/>
  <c r="D395" i="3"/>
  <c r="G395" i="3"/>
  <c r="H395" i="3"/>
  <c r="F395" i="3"/>
  <c r="P395" i="3"/>
  <c r="AG394" i="3"/>
  <c r="AH394" i="3"/>
  <c r="AN394" i="3"/>
  <c r="AV393" i="3"/>
  <c r="BD391" i="3"/>
  <c r="BA393" i="3"/>
  <c r="BF393" i="3"/>
  <c r="BJ392" i="3"/>
  <c r="BK392" i="3"/>
  <c r="AY393" i="3"/>
  <c r="BQ392" i="3"/>
  <c r="BN395" i="3"/>
  <c r="BB392" i="3"/>
  <c r="AO395" i="3"/>
  <c r="BC392" i="3"/>
  <c r="BG392" i="3"/>
  <c r="BH392" i="3"/>
  <c r="BI392" i="3"/>
  <c r="AX394" i="3"/>
  <c r="BJ391" i="3"/>
  <c r="BK391" i="3"/>
  <c r="X395" i="3"/>
  <c r="AR396" i="3"/>
  <c r="B396" i="3"/>
  <c r="AQ396" i="3"/>
  <c r="A397" i="3"/>
  <c r="D396" i="3"/>
  <c r="C396" i="3"/>
  <c r="AM396" i="3"/>
  <c r="AK396" i="3"/>
  <c r="R396" i="3"/>
  <c r="S396" i="3"/>
  <c r="Q396" i="3"/>
  <c r="AD396" i="3"/>
  <c r="M396" i="3"/>
  <c r="P396" i="3"/>
  <c r="O396" i="3"/>
  <c r="AF396" i="3"/>
  <c r="AE396" i="3"/>
  <c r="V396" i="3"/>
  <c r="G396" i="3"/>
  <c r="H396" i="3"/>
  <c r="F396" i="3"/>
  <c r="U396" i="3"/>
  <c r="T396" i="3"/>
  <c r="Y395" i="3"/>
  <c r="Z395" i="3"/>
  <c r="AW394" i="3"/>
  <c r="BM395" i="3"/>
  <c r="AG395" i="3"/>
  <c r="AH395" i="3"/>
  <c r="AN395" i="3"/>
  <c r="AT394" i="3"/>
  <c r="AU394" i="3"/>
  <c r="BB393" i="3"/>
  <c r="BN396" i="3"/>
  <c r="BM396" i="3"/>
  <c r="BC393" i="3"/>
  <c r="BD393" i="3"/>
  <c r="AY394" i="3"/>
  <c r="BQ393" i="3"/>
  <c r="BD392" i="3"/>
  <c r="AN396" i="3"/>
  <c r="AX395" i="3"/>
  <c r="AG396" i="3"/>
  <c r="AU395" i="3"/>
  <c r="AT395" i="3"/>
  <c r="AV394" i="3"/>
  <c r="BA394" i="3"/>
  <c r="AR397" i="3"/>
  <c r="B397" i="3"/>
  <c r="AQ397" i="3"/>
  <c r="A398" i="3"/>
  <c r="C397" i="3"/>
  <c r="AK397" i="3"/>
  <c r="AM397" i="3"/>
  <c r="S397" i="3"/>
  <c r="T397" i="3"/>
  <c r="Q397" i="3"/>
  <c r="R397" i="3"/>
  <c r="AD397" i="3"/>
  <c r="P397" i="3"/>
  <c r="O397" i="3"/>
  <c r="U397" i="3"/>
  <c r="V397" i="3"/>
  <c r="M397" i="3"/>
  <c r="AF397" i="3"/>
  <c r="AE397" i="3"/>
  <c r="G397" i="3"/>
  <c r="H397" i="3"/>
  <c r="F397" i="3"/>
  <c r="D397" i="3"/>
  <c r="AW395" i="3"/>
  <c r="Y396" i="3"/>
  <c r="Z396" i="3"/>
  <c r="AH396" i="3"/>
  <c r="AO396" i="3"/>
  <c r="X396" i="3"/>
  <c r="BM397" i="3"/>
  <c r="BC394" i="3"/>
  <c r="BD394" i="3"/>
  <c r="BG393" i="3"/>
  <c r="BH393" i="3"/>
  <c r="BI393" i="3"/>
  <c r="AY395" i="3"/>
  <c r="AO397" i="3"/>
  <c r="AW396" i="3"/>
  <c r="AV395" i="3"/>
  <c r="AG397" i="3"/>
  <c r="AN397" i="3"/>
  <c r="X397" i="3"/>
  <c r="AU396" i="3"/>
  <c r="Y397" i="3"/>
  <c r="Z397" i="3"/>
  <c r="BN397" i="3"/>
  <c r="AQ398" i="3"/>
  <c r="B398" i="3"/>
  <c r="A399" i="3"/>
  <c r="AR398" i="3"/>
  <c r="AK398" i="3"/>
  <c r="S398" i="3"/>
  <c r="AM398" i="3"/>
  <c r="T398" i="3"/>
  <c r="R398" i="3"/>
  <c r="Q398" i="3"/>
  <c r="AD398" i="3"/>
  <c r="P398" i="3"/>
  <c r="O398" i="3"/>
  <c r="AF398" i="3"/>
  <c r="V398" i="3"/>
  <c r="U398" i="3"/>
  <c r="AE398" i="3"/>
  <c r="M398" i="3"/>
  <c r="D398" i="3"/>
  <c r="F398" i="3"/>
  <c r="C398" i="3"/>
  <c r="G398" i="3"/>
  <c r="H398" i="3"/>
  <c r="BQ394" i="3"/>
  <c r="BF394" i="3"/>
  <c r="BJ393" i="3"/>
  <c r="BK393" i="3"/>
  <c r="BB394" i="3"/>
  <c r="AX396" i="3"/>
  <c r="AH397" i="3"/>
  <c r="BA395" i="3"/>
  <c r="AT396" i="3"/>
  <c r="BG394" i="3"/>
  <c r="BH394" i="3"/>
  <c r="BI394" i="3"/>
  <c r="BC395" i="3"/>
  <c r="BG395" i="3"/>
  <c r="BH395" i="3"/>
  <c r="BI395" i="3"/>
  <c r="AN398" i="3"/>
  <c r="AY396" i="3"/>
  <c r="BN398" i="3"/>
  <c r="BM398" i="3"/>
  <c r="AX397" i="3"/>
  <c r="AG398" i="3"/>
  <c r="BQ395" i="3"/>
  <c r="BB395" i="3"/>
  <c r="BF395" i="3"/>
  <c r="BJ394" i="3"/>
  <c r="BK394" i="3"/>
  <c r="Y398" i="3"/>
  <c r="Z398" i="3"/>
  <c r="A400" i="3"/>
  <c r="B399" i="3"/>
  <c r="AR399" i="3"/>
  <c r="AQ399" i="3"/>
  <c r="D399" i="3"/>
  <c r="T399" i="3"/>
  <c r="AM399" i="3"/>
  <c r="AK399" i="3"/>
  <c r="R399" i="3"/>
  <c r="S399" i="3"/>
  <c r="AD399" i="3"/>
  <c r="P399" i="3"/>
  <c r="O399" i="3"/>
  <c r="M399" i="3"/>
  <c r="V399" i="3"/>
  <c r="U399" i="3"/>
  <c r="AF399" i="3"/>
  <c r="AE399" i="3"/>
  <c r="C399" i="3"/>
  <c r="G399" i="3"/>
  <c r="H399" i="3"/>
  <c r="Q399" i="3"/>
  <c r="F399" i="3"/>
  <c r="X398" i="3"/>
  <c r="AH398" i="3"/>
  <c r="AO398" i="3"/>
  <c r="AU397" i="3"/>
  <c r="BA396" i="3"/>
  <c r="AV396" i="3"/>
  <c r="AT397" i="3"/>
  <c r="AW397" i="3"/>
  <c r="BD395" i="3"/>
  <c r="BC396" i="3"/>
  <c r="BG396" i="3"/>
  <c r="BH396" i="3"/>
  <c r="BI396" i="3"/>
  <c r="AN399" i="3"/>
  <c r="AV397" i="3"/>
  <c r="AW398" i="3"/>
  <c r="BA397" i="3"/>
  <c r="AY397" i="3"/>
  <c r="BQ396" i="3"/>
  <c r="BB396" i="3"/>
  <c r="BF396" i="3"/>
  <c r="BJ395" i="3"/>
  <c r="BK395" i="3"/>
  <c r="AH399" i="3"/>
  <c r="AG399" i="3"/>
  <c r="X399" i="3"/>
  <c r="AT398" i="3"/>
  <c r="AU398" i="3"/>
  <c r="AX398" i="3"/>
  <c r="BM399" i="3"/>
  <c r="BN399" i="3"/>
  <c r="AO399" i="3"/>
  <c r="Y399" i="3"/>
  <c r="Z399" i="3"/>
  <c r="AR400" i="3"/>
  <c r="B400" i="3"/>
  <c r="AQ400" i="3"/>
  <c r="A401" i="3"/>
  <c r="D400" i="3"/>
  <c r="AK400" i="3"/>
  <c r="T400" i="3"/>
  <c r="S400" i="3"/>
  <c r="AM400" i="3"/>
  <c r="Q400" i="3"/>
  <c r="R400" i="3"/>
  <c r="P400" i="3"/>
  <c r="AD400" i="3"/>
  <c r="M400" i="3"/>
  <c r="O400" i="3"/>
  <c r="AF400" i="3"/>
  <c r="AE400" i="3"/>
  <c r="V400" i="3"/>
  <c r="U400" i="3"/>
  <c r="C400" i="3"/>
  <c r="G400" i="3"/>
  <c r="H400" i="3"/>
  <c r="BN400" i="3"/>
  <c r="F400" i="3"/>
  <c r="BD396" i="3"/>
  <c r="BM400" i="3"/>
  <c r="BC397" i="3"/>
  <c r="BD397" i="3"/>
  <c r="AY398" i="3"/>
  <c r="AO400" i="3"/>
  <c r="AU399" i="3"/>
  <c r="AT399" i="3"/>
  <c r="AW399" i="3"/>
  <c r="Y400" i="3"/>
  <c r="Z400" i="3"/>
  <c r="X400" i="3"/>
  <c r="AG400" i="3"/>
  <c r="AH400" i="3"/>
  <c r="AN400" i="3"/>
  <c r="AX399" i="3"/>
  <c r="AR401" i="3"/>
  <c r="B401" i="3"/>
  <c r="AQ401" i="3"/>
  <c r="A402" i="3"/>
  <c r="D401" i="3"/>
  <c r="AM401" i="3"/>
  <c r="S401" i="3"/>
  <c r="Q401" i="3"/>
  <c r="R401" i="3"/>
  <c r="AK401" i="3"/>
  <c r="AD401" i="3"/>
  <c r="P401" i="3"/>
  <c r="O401" i="3"/>
  <c r="AE401" i="3"/>
  <c r="AF401" i="3"/>
  <c r="M401" i="3"/>
  <c r="V401" i="3"/>
  <c r="U401" i="3"/>
  <c r="G401" i="3"/>
  <c r="H401" i="3"/>
  <c r="F401" i="3"/>
  <c r="C401" i="3"/>
  <c r="T401" i="3"/>
  <c r="AV398" i="3"/>
  <c r="BA398" i="3"/>
  <c r="BQ397" i="3"/>
  <c r="BB397" i="3"/>
  <c r="BF397" i="3"/>
  <c r="BJ396" i="3"/>
  <c r="BK396" i="3"/>
  <c r="BN401" i="3"/>
  <c r="AO401" i="3"/>
  <c r="BG397" i="3"/>
  <c r="BH397" i="3"/>
  <c r="BI397" i="3"/>
  <c r="AV399" i="3"/>
  <c r="AY399" i="3"/>
  <c r="BC398" i="3"/>
  <c r="BG398" i="3"/>
  <c r="BH398" i="3"/>
  <c r="BI398" i="3"/>
  <c r="AT400" i="3"/>
  <c r="X401" i="3"/>
  <c r="AH401" i="3"/>
  <c r="BA399" i="3"/>
  <c r="BB399" i="3"/>
  <c r="AU400" i="3"/>
  <c r="BB398" i="3"/>
  <c r="BQ398" i="3"/>
  <c r="BF398" i="3"/>
  <c r="BJ397" i="3"/>
  <c r="BK397" i="3"/>
  <c r="AQ402" i="3"/>
  <c r="B402" i="3"/>
  <c r="A403" i="3"/>
  <c r="AR402" i="3"/>
  <c r="AM402" i="3"/>
  <c r="S402" i="3"/>
  <c r="AK402" i="3"/>
  <c r="T402" i="3"/>
  <c r="Q402" i="3"/>
  <c r="AD402" i="3"/>
  <c r="P402" i="3"/>
  <c r="AE402" i="3"/>
  <c r="U402" i="3"/>
  <c r="V402" i="3"/>
  <c r="O402" i="3"/>
  <c r="M402" i="3"/>
  <c r="AF402" i="3"/>
  <c r="R402" i="3"/>
  <c r="C402" i="3"/>
  <c r="G402" i="3"/>
  <c r="H402" i="3"/>
  <c r="D402" i="3"/>
  <c r="F402" i="3"/>
  <c r="Y401" i="3"/>
  <c r="Z401" i="3"/>
  <c r="BM401" i="3"/>
  <c r="AG401" i="3"/>
  <c r="AN401" i="3"/>
  <c r="AX400" i="3"/>
  <c r="AW400" i="3"/>
  <c r="AO402" i="3"/>
  <c r="BC399" i="3"/>
  <c r="BG399" i="3"/>
  <c r="BH399" i="3"/>
  <c r="BI399" i="3"/>
  <c r="BM402" i="3"/>
  <c r="BD398" i="3"/>
  <c r="AY400" i="3"/>
  <c r="BQ399" i="3"/>
  <c r="AV400" i="3"/>
  <c r="AW401" i="3"/>
  <c r="BF399" i="3"/>
  <c r="BJ398" i="3"/>
  <c r="BK398" i="3"/>
  <c r="AH402" i="3"/>
  <c r="Y402" i="3"/>
  <c r="Z402" i="3"/>
  <c r="A404" i="3"/>
  <c r="B403" i="3"/>
  <c r="AR403" i="3"/>
  <c r="AQ403" i="3"/>
  <c r="D403" i="3"/>
  <c r="AM403" i="3"/>
  <c r="AK403" i="3"/>
  <c r="Q403" i="3"/>
  <c r="R403" i="3"/>
  <c r="S403" i="3"/>
  <c r="AD403" i="3"/>
  <c r="P403" i="3"/>
  <c r="O403" i="3"/>
  <c r="AE403" i="3"/>
  <c r="AF403" i="3"/>
  <c r="M403" i="3"/>
  <c r="V403" i="3"/>
  <c r="U403" i="3"/>
  <c r="G403" i="3"/>
  <c r="H403" i="3"/>
  <c r="C403" i="3"/>
  <c r="F403" i="3"/>
  <c r="T403" i="3"/>
  <c r="AT401" i="3"/>
  <c r="AX401" i="3"/>
  <c r="AU401" i="3"/>
  <c r="X402" i="3"/>
  <c r="AN402" i="3"/>
  <c r="BA400" i="3"/>
  <c r="BN402" i="3"/>
  <c r="AG402" i="3"/>
  <c r="BN403" i="3"/>
  <c r="BD399" i="3"/>
  <c r="BC400" i="3"/>
  <c r="BD400" i="3"/>
  <c r="AW402" i="3"/>
  <c r="AG403" i="3"/>
  <c r="AY401" i="3"/>
  <c r="AN403" i="3"/>
  <c r="AU402" i="3"/>
  <c r="AX402" i="3"/>
  <c r="AT402" i="3"/>
  <c r="Y403" i="3"/>
  <c r="Z403" i="3"/>
  <c r="X403" i="3"/>
  <c r="BQ400" i="3"/>
  <c r="BF400" i="3"/>
  <c r="BJ399" i="3"/>
  <c r="BK399" i="3"/>
  <c r="BB400" i="3"/>
  <c r="BA401" i="3"/>
  <c r="AV401" i="3"/>
  <c r="AR404" i="3"/>
  <c r="B404" i="3"/>
  <c r="AQ404" i="3"/>
  <c r="A405" i="3"/>
  <c r="D404" i="3"/>
  <c r="S404" i="3"/>
  <c r="Q404" i="3"/>
  <c r="AM404" i="3"/>
  <c r="AK404" i="3"/>
  <c r="P404" i="3"/>
  <c r="R404" i="3"/>
  <c r="AD404" i="3"/>
  <c r="M404" i="3"/>
  <c r="O404" i="3"/>
  <c r="AE404" i="3"/>
  <c r="AF404" i="3"/>
  <c r="U404" i="3"/>
  <c r="V404" i="3"/>
  <c r="C404" i="3"/>
  <c r="F404" i="3"/>
  <c r="G404" i="3"/>
  <c r="H404" i="3"/>
  <c r="T404" i="3"/>
  <c r="BM403" i="3"/>
  <c r="AH403" i="3"/>
  <c r="AO403" i="3"/>
  <c r="BN404" i="3"/>
  <c r="AV402" i="3"/>
  <c r="BG400" i="3"/>
  <c r="BH400" i="3"/>
  <c r="BI400" i="3"/>
  <c r="AO404" i="3"/>
  <c r="AY402" i="3"/>
  <c r="BA402" i="3"/>
  <c r="BF402" i="3"/>
  <c r="BC401" i="3"/>
  <c r="BD401" i="3"/>
  <c r="AX403" i="3"/>
  <c r="AW403" i="3"/>
  <c r="AG404" i="3"/>
  <c r="X404" i="3"/>
  <c r="AR405" i="3"/>
  <c r="B405" i="3"/>
  <c r="AQ405" i="3"/>
  <c r="A406" i="3"/>
  <c r="AM405" i="3"/>
  <c r="T405" i="3"/>
  <c r="AK405" i="3"/>
  <c r="C405" i="3"/>
  <c r="S405" i="3"/>
  <c r="Q405" i="3"/>
  <c r="R405" i="3"/>
  <c r="AD405" i="3"/>
  <c r="P405" i="3"/>
  <c r="O405" i="3"/>
  <c r="M405" i="3"/>
  <c r="AF405" i="3"/>
  <c r="U405" i="3"/>
  <c r="V405" i="3"/>
  <c r="AE405" i="3"/>
  <c r="D405" i="3"/>
  <c r="F405" i="3"/>
  <c r="G405" i="3"/>
  <c r="H405" i="3"/>
  <c r="AU403" i="3"/>
  <c r="AT403" i="3"/>
  <c r="Y404" i="3"/>
  <c r="Z404" i="3"/>
  <c r="BM404" i="3"/>
  <c r="AH404" i="3"/>
  <c r="AN404" i="3"/>
  <c r="BQ401" i="3"/>
  <c r="BB401" i="3"/>
  <c r="BF401" i="3"/>
  <c r="BJ400" i="3"/>
  <c r="BK400" i="3"/>
  <c r="BC402" i="3"/>
  <c r="BD402" i="3"/>
  <c r="BN405" i="3"/>
  <c r="BQ402" i="3"/>
  <c r="AO405" i="3"/>
  <c r="BM405" i="3"/>
  <c r="AU404" i="3"/>
  <c r="BB402" i="3"/>
  <c r="BG401" i="3"/>
  <c r="BH401" i="3"/>
  <c r="BI401" i="3"/>
  <c r="AG405" i="3"/>
  <c r="AY403" i="3"/>
  <c r="AW404" i="3"/>
  <c r="AT404" i="3"/>
  <c r="AV403" i="3"/>
  <c r="BA403" i="3"/>
  <c r="AN405" i="3"/>
  <c r="BJ401" i="3"/>
  <c r="BK401" i="3"/>
  <c r="Y405" i="3"/>
  <c r="Z405" i="3"/>
  <c r="AQ406" i="3"/>
  <c r="B406" i="3"/>
  <c r="A407" i="3"/>
  <c r="AR406" i="3"/>
  <c r="C406" i="3"/>
  <c r="AK406" i="3"/>
  <c r="S406" i="3"/>
  <c r="Q406" i="3"/>
  <c r="AM406" i="3"/>
  <c r="R406" i="3"/>
  <c r="AD406" i="3"/>
  <c r="P406" i="3"/>
  <c r="M406" i="3"/>
  <c r="V406" i="3"/>
  <c r="O406" i="3"/>
  <c r="AF406" i="3"/>
  <c r="AE406" i="3"/>
  <c r="U406" i="3"/>
  <c r="D406" i="3"/>
  <c r="G406" i="3"/>
  <c r="H406" i="3"/>
  <c r="F406" i="3"/>
  <c r="T406" i="3"/>
  <c r="AX404" i="3"/>
  <c r="AH405" i="3"/>
  <c r="X405" i="3"/>
  <c r="BM406" i="3"/>
  <c r="AV404" i="3"/>
  <c r="AY404" i="3"/>
  <c r="BG402" i="3"/>
  <c r="BH402" i="3"/>
  <c r="BI402" i="3"/>
  <c r="AX405" i="3"/>
  <c r="BC403" i="3"/>
  <c r="BG403" i="3"/>
  <c r="BH403" i="3"/>
  <c r="BI403" i="3"/>
  <c r="AG406" i="3"/>
  <c r="AN406" i="3"/>
  <c r="AH406" i="3"/>
  <c r="X406" i="3"/>
  <c r="Y406" i="3"/>
  <c r="Z406" i="3"/>
  <c r="BN406" i="3"/>
  <c r="AO406" i="3"/>
  <c r="BA404" i="3"/>
  <c r="AT405" i="3"/>
  <c r="A408" i="3"/>
  <c r="B407" i="3"/>
  <c r="AR407" i="3"/>
  <c r="AQ407" i="3"/>
  <c r="C407" i="3"/>
  <c r="AM407" i="3"/>
  <c r="Q407" i="3"/>
  <c r="AK407" i="3"/>
  <c r="S407" i="3"/>
  <c r="AD407" i="3"/>
  <c r="T407" i="3"/>
  <c r="R407" i="3"/>
  <c r="P407" i="3"/>
  <c r="O407" i="3"/>
  <c r="U407" i="3"/>
  <c r="M407" i="3"/>
  <c r="AE407" i="3"/>
  <c r="AF407" i="3"/>
  <c r="V407" i="3"/>
  <c r="D407" i="3"/>
  <c r="G407" i="3"/>
  <c r="H407" i="3"/>
  <c r="F407" i="3"/>
  <c r="BB403" i="3"/>
  <c r="BF403" i="3"/>
  <c r="BJ402" i="3"/>
  <c r="BK402" i="3"/>
  <c r="BQ403" i="3"/>
  <c r="AU405" i="3"/>
  <c r="AW405" i="3"/>
  <c r="BC404" i="3"/>
  <c r="BD404" i="3"/>
  <c r="AO407" i="3"/>
  <c r="BD403" i="3"/>
  <c r="BN407" i="3"/>
  <c r="AY405" i="3"/>
  <c r="AU406" i="3"/>
  <c r="AW406" i="3"/>
  <c r="AG407" i="3"/>
  <c r="AR408" i="3"/>
  <c r="B408" i="3"/>
  <c r="AQ408" i="3"/>
  <c r="A409" i="3"/>
  <c r="AM408" i="3"/>
  <c r="S408" i="3"/>
  <c r="AK408" i="3"/>
  <c r="D408" i="3"/>
  <c r="Q408" i="3"/>
  <c r="T408" i="3"/>
  <c r="R408" i="3"/>
  <c r="AD408" i="3"/>
  <c r="P408" i="3"/>
  <c r="O408" i="3"/>
  <c r="AE408" i="3"/>
  <c r="AF408" i="3"/>
  <c r="M408" i="3"/>
  <c r="U408" i="3"/>
  <c r="V408" i="3"/>
  <c r="C408" i="3"/>
  <c r="G408" i="3"/>
  <c r="H408" i="3"/>
  <c r="F408" i="3"/>
  <c r="Y407" i="3"/>
  <c r="Z407" i="3"/>
  <c r="BA405" i="3"/>
  <c r="AV405" i="3"/>
  <c r="BM407" i="3"/>
  <c r="AH407" i="3"/>
  <c r="AN407" i="3"/>
  <c r="AT406" i="3"/>
  <c r="BF404" i="3"/>
  <c r="BJ403" i="3"/>
  <c r="BK403" i="3"/>
  <c r="BB404" i="3"/>
  <c r="BQ404" i="3"/>
  <c r="X407" i="3"/>
  <c r="AX406" i="3"/>
  <c r="BM408" i="3"/>
  <c r="BG404" i="3"/>
  <c r="BH404" i="3"/>
  <c r="BI404" i="3"/>
  <c r="AO408" i="3"/>
  <c r="AY406" i="3"/>
  <c r="BC405" i="3"/>
  <c r="BG405" i="3"/>
  <c r="BH405" i="3"/>
  <c r="BI405" i="3"/>
  <c r="BN408" i="3"/>
  <c r="AU407" i="3"/>
  <c r="AG408" i="3"/>
  <c r="AN408" i="3"/>
  <c r="AW407" i="3"/>
  <c r="Y408" i="3"/>
  <c r="Z408" i="3"/>
  <c r="AR409" i="3"/>
  <c r="B409" i="3"/>
  <c r="AQ409" i="3"/>
  <c r="A410" i="3"/>
  <c r="AM409" i="3"/>
  <c r="T409" i="3"/>
  <c r="S409" i="3"/>
  <c r="AK409" i="3"/>
  <c r="Q409" i="3"/>
  <c r="P409" i="3"/>
  <c r="AD409" i="3"/>
  <c r="O409" i="3"/>
  <c r="AE409" i="3"/>
  <c r="AF409" i="3"/>
  <c r="V409" i="3"/>
  <c r="M409" i="3"/>
  <c r="U409" i="3"/>
  <c r="R409" i="3"/>
  <c r="F409" i="3"/>
  <c r="C409" i="3"/>
  <c r="D409" i="3"/>
  <c r="G409" i="3"/>
  <c r="H409" i="3"/>
  <c r="AX407" i="3"/>
  <c r="AT407" i="3"/>
  <c r="X408" i="3"/>
  <c r="AH408" i="3"/>
  <c r="AV406" i="3"/>
  <c r="BA406" i="3"/>
  <c r="BB405" i="3"/>
  <c r="BF405" i="3"/>
  <c r="BQ405" i="3"/>
  <c r="BD405" i="3"/>
  <c r="BC406" i="3"/>
  <c r="BG406" i="3"/>
  <c r="BH406" i="3"/>
  <c r="BI406" i="3"/>
  <c r="AY407" i="3"/>
  <c r="BN409" i="3"/>
  <c r="AX408" i="3"/>
  <c r="AO409" i="3"/>
  <c r="AW408" i="3"/>
  <c r="AT408" i="3"/>
  <c r="X409" i="3"/>
  <c r="BJ404" i="3"/>
  <c r="BK404" i="3"/>
  <c r="BF406" i="3"/>
  <c r="BJ405" i="3"/>
  <c r="BK405" i="3"/>
  <c r="BB406" i="3"/>
  <c r="BQ406" i="3"/>
  <c r="AV407" i="3"/>
  <c r="BA407" i="3"/>
  <c r="Y409" i="3"/>
  <c r="Z409" i="3"/>
  <c r="AU408" i="3"/>
  <c r="BM409" i="3"/>
  <c r="AG409" i="3"/>
  <c r="AH409" i="3"/>
  <c r="AN409" i="3"/>
  <c r="AQ410" i="3"/>
  <c r="B410" i="3"/>
  <c r="A411" i="3"/>
  <c r="AR410" i="3"/>
  <c r="D410" i="3"/>
  <c r="C410" i="3"/>
  <c r="AK410" i="3"/>
  <c r="AM410" i="3"/>
  <c r="T410" i="3"/>
  <c r="Q410" i="3"/>
  <c r="S410" i="3"/>
  <c r="R410" i="3"/>
  <c r="AD410" i="3"/>
  <c r="P410" i="3"/>
  <c r="O410" i="3"/>
  <c r="AE410" i="3"/>
  <c r="AF410" i="3"/>
  <c r="M410" i="3"/>
  <c r="U410" i="3"/>
  <c r="V410" i="3"/>
  <c r="F410" i="3"/>
  <c r="G410" i="3"/>
  <c r="H410" i="3"/>
  <c r="BD406" i="3"/>
  <c r="AY408" i="3"/>
  <c r="BN410" i="3"/>
  <c r="BC407" i="3"/>
  <c r="BD407" i="3"/>
  <c r="AN410" i="3"/>
  <c r="BM410" i="3"/>
  <c r="AU409" i="3"/>
  <c r="BA408" i="3"/>
  <c r="BQ408" i="3"/>
  <c r="AG410" i="3"/>
  <c r="AT409" i="3"/>
  <c r="AV408" i="3"/>
  <c r="BB407" i="3"/>
  <c r="BQ407" i="3"/>
  <c r="BF407" i="3"/>
  <c r="BJ406" i="3"/>
  <c r="BK406" i="3"/>
  <c r="X410" i="3"/>
  <c r="AW409" i="3"/>
  <c r="Y410" i="3"/>
  <c r="Z410" i="3"/>
  <c r="A412" i="3"/>
  <c r="B411" i="3"/>
  <c r="AR411" i="3"/>
  <c r="AQ411" i="3"/>
  <c r="AM411" i="3"/>
  <c r="AK411" i="3"/>
  <c r="AD411" i="3"/>
  <c r="P411" i="3"/>
  <c r="S411" i="3"/>
  <c r="R411" i="3"/>
  <c r="Q411" i="3"/>
  <c r="O411" i="3"/>
  <c r="AE411" i="3"/>
  <c r="U411" i="3"/>
  <c r="AF411" i="3"/>
  <c r="M411" i="3"/>
  <c r="V411" i="3"/>
  <c r="C411" i="3"/>
  <c r="D411" i="3"/>
  <c r="F411" i="3"/>
  <c r="G411" i="3"/>
  <c r="H411" i="3"/>
  <c r="T411" i="3"/>
  <c r="AH410" i="3"/>
  <c r="AO410" i="3"/>
  <c r="AX409" i="3"/>
  <c r="BN411" i="3"/>
  <c r="BM411" i="3"/>
  <c r="BC408" i="3"/>
  <c r="BD408" i="3"/>
  <c r="BG407" i="3"/>
  <c r="BH407" i="3"/>
  <c r="BI407" i="3"/>
  <c r="BB408" i="3"/>
  <c r="AV409" i="3"/>
  <c r="BF408" i="3"/>
  <c r="BJ407" i="3"/>
  <c r="BK407" i="3"/>
  <c r="AO411" i="3"/>
  <c r="Y411" i="3"/>
  <c r="Z411" i="3"/>
  <c r="AR412" i="3"/>
  <c r="B412" i="3"/>
  <c r="AQ412" i="3"/>
  <c r="A413" i="3"/>
  <c r="AM412" i="3"/>
  <c r="AK412" i="3"/>
  <c r="T412" i="3"/>
  <c r="S412" i="3"/>
  <c r="Q412" i="3"/>
  <c r="AD412" i="3"/>
  <c r="P412" i="3"/>
  <c r="O412" i="3"/>
  <c r="M412" i="3"/>
  <c r="AE412" i="3"/>
  <c r="AF412" i="3"/>
  <c r="V412" i="3"/>
  <c r="U412" i="3"/>
  <c r="R412" i="3"/>
  <c r="C412" i="3"/>
  <c r="G412" i="3"/>
  <c r="H412" i="3"/>
  <c r="F412" i="3"/>
  <c r="D412" i="3"/>
  <c r="X411" i="3"/>
  <c r="AX410" i="3"/>
  <c r="AG411" i="3"/>
  <c r="AH411" i="3"/>
  <c r="AN411" i="3"/>
  <c r="AW410" i="3"/>
  <c r="BA409" i="3"/>
  <c r="AY409" i="3"/>
  <c r="AT410" i="3"/>
  <c r="AU410" i="3"/>
  <c r="BM412" i="3"/>
  <c r="BG408" i="3"/>
  <c r="BH408" i="3"/>
  <c r="BI408" i="3"/>
  <c r="AY410" i="3"/>
  <c r="BC409" i="3"/>
  <c r="BD409" i="3"/>
  <c r="AT411" i="3"/>
  <c r="AN412" i="3"/>
  <c r="AU411" i="3"/>
  <c r="AX411" i="3"/>
  <c r="AV410" i="3"/>
  <c r="BA410" i="3"/>
  <c r="X412" i="3"/>
  <c r="BQ409" i="3"/>
  <c r="BF409" i="3"/>
  <c r="BJ408" i="3"/>
  <c r="BK408" i="3"/>
  <c r="BB409" i="3"/>
  <c r="Y412" i="3"/>
  <c r="Z412" i="3"/>
  <c r="AR413" i="3"/>
  <c r="B413" i="3"/>
  <c r="AQ413" i="3"/>
  <c r="A414" i="3"/>
  <c r="S413" i="3"/>
  <c r="Q413" i="3"/>
  <c r="D413" i="3"/>
  <c r="AM413" i="3"/>
  <c r="AK413" i="3"/>
  <c r="C413" i="3"/>
  <c r="R413" i="3"/>
  <c r="AD413" i="3"/>
  <c r="P413" i="3"/>
  <c r="M413" i="3"/>
  <c r="AE413" i="3"/>
  <c r="AF413" i="3"/>
  <c r="O413" i="3"/>
  <c r="V413" i="3"/>
  <c r="U413" i="3"/>
  <c r="G413" i="3"/>
  <c r="H413" i="3"/>
  <c r="F413" i="3"/>
  <c r="T413" i="3"/>
  <c r="AW411" i="3"/>
  <c r="BN412" i="3"/>
  <c r="AG412" i="3"/>
  <c r="AH412" i="3"/>
  <c r="AO412" i="3"/>
  <c r="AV411" i="3"/>
  <c r="BC410" i="3"/>
  <c r="BD410" i="3"/>
  <c r="AY411" i="3"/>
  <c r="BN413" i="3"/>
  <c r="BG409" i="3"/>
  <c r="BH409" i="3"/>
  <c r="BI409" i="3"/>
  <c r="AN413" i="3"/>
  <c r="AH413" i="3"/>
  <c r="Y413" i="3"/>
  <c r="Z413" i="3"/>
  <c r="X413" i="3"/>
  <c r="AX412" i="3"/>
  <c r="BM413" i="3"/>
  <c r="AG413" i="3"/>
  <c r="AO413" i="3"/>
  <c r="AT412" i="3"/>
  <c r="BA411" i="3"/>
  <c r="AQ414" i="3"/>
  <c r="B414" i="3"/>
  <c r="A415" i="3"/>
  <c r="AR414" i="3"/>
  <c r="D414" i="3"/>
  <c r="AM414" i="3"/>
  <c r="AK414" i="3"/>
  <c r="S414" i="3"/>
  <c r="R414" i="3"/>
  <c r="Q414" i="3"/>
  <c r="AD414" i="3"/>
  <c r="P414" i="3"/>
  <c r="O414" i="3"/>
  <c r="AE414" i="3"/>
  <c r="M414" i="3"/>
  <c r="AF414" i="3"/>
  <c r="V414" i="3"/>
  <c r="U414" i="3"/>
  <c r="F414" i="3"/>
  <c r="C414" i="3"/>
  <c r="G414" i="3"/>
  <c r="H414" i="3"/>
  <c r="T414" i="3"/>
  <c r="BQ410" i="3"/>
  <c r="BF410" i="3"/>
  <c r="BJ409" i="3"/>
  <c r="BK409" i="3"/>
  <c r="BB410" i="3"/>
  <c r="AW412" i="3"/>
  <c r="AU412" i="3"/>
  <c r="BN414" i="3"/>
  <c r="BC411" i="3"/>
  <c r="BD411" i="3"/>
  <c r="AV412" i="3"/>
  <c r="BG410" i="3"/>
  <c r="BH410" i="3"/>
  <c r="BI410" i="3"/>
  <c r="AY412" i="3"/>
  <c r="AT413" i="3"/>
  <c r="AN414" i="3"/>
  <c r="AW413" i="3"/>
  <c r="AX413" i="3"/>
  <c r="Y414" i="3"/>
  <c r="Z414" i="3"/>
  <c r="X414" i="3"/>
  <c r="A416" i="3"/>
  <c r="B415" i="3"/>
  <c r="AR415" i="3"/>
  <c r="AQ415" i="3"/>
  <c r="C415" i="3"/>
  <c r="AK415" i="3"/>
  <c r="AM415" i="3"/>
  <c r="S415" i="3"/>
  <c r="Q415" i="3"/>
  <c r="AD415" i="3"/>
  <c r="O415" i="3"/>
  <c r="M415" i="3"/>
  <c r="AF415" i="3"/>
  <c r="P415" i="3"/>
  <c r="AE415" i="3"/>
  <c r="V415" i="3"/>
  <c r="U415" i="3"/>
  <c r="R415" i="3"/>
  <c r="G415" i="3"/>
  <c r="H415" i="3"/>
  <c r="D415" i="3"/>
  <c r="F415" i="3"/>
  <c r="T415" i="3"/>
  <c r="BM414" i="3"/>
  <c r="AH414" i="3"/>
  <c r="AO414" i="3"/>
  <c r="BA412" i="3"/>
  <c r="AU413" i="3"/>
  <c r="BB411" i="3"/>
  <c r="BQ411" i="3"/>
  <c r="BF411" i="3"/>
  <c r="BJ410" i="3"/>
  <c r="BK410" i="3"/>
  <c r="AG414" i="3"/>
  <c r="BM415" i="3"/>
  <c r="BG411" i="3"/>
  <c r="BH411" i="3"/>
  <c r="BI411" i="3"/>
  <c r="BC412" i="3"/>
  <c r="BD412" i="3"/>
  <c r="AO415" i="3"/>
  <c r="AY413" i="3"/>
  <c r="AV413" i="3"/>
  <c r="AT414" i="3"/>
  <c r="BA413" i="3"/>
  <c r="BB413" i="3"/>
  <c r="AX414" i="3"/>
  <c r="AH415" i="3"/>
  <c r="Y415" i="3"/>
  <c r="Z415" i="3"/>
  <c r="A417" i="3"/>
  <c r="B416" i="3"/>
  <c r="AQ416" i="3"/>
  <c r="AR416" i="3"/>
  <c r="AM416" i="3"/>
  <c r="AK416" i="3"/>
  <c r="R416" i="3"/>
  <c r="S416" i="3"/>
  <c r="Q416" i="3"/>
  <c r="AD416" i="3"/>
  <c r="P416" i="3"/>
  <c r="O416" i="3"/>
  <c r="AE416" i="3"/>
  <c r="AF416" i="3"/>
  <c r="V416" i="3"/>
  <c r="M416" i="3"/>
  <c r="U416" i="3"/>
  <c r="D416" i="3"/>
  <c r="F416" i="3"/>
  <c r="C416" i="3"/>
  <c r="G416" i="3"/>
  <c r="H416" i="3"/>
  <c r="T416" i="3"/>
  <c r="AW414" i="3"/>
  <c r="AU414" i="3"/>
  <c r="BN415" i="3"/>
  <c r="AG415" i="3"/>
  <c r="AN415" i="3"/>
  <c r="X415" i="3"/>
  <c r="BF412" i="3"/>
  <c r="BJ411" i="3"/>
  <c r="BK411" i="3"/>
  <c r="BQ412" i="3"/>
  <c r="BB412" i="3"/>
  <c r="BG412" i="3"/>
  <c r="BH412" i="3"/>
  <c r="BI412" i="3"/>
  <c r="BC413" i="3"/>
  <c r="BD413" i="3"/>
  <c r="BN416" i="3"/>
  <c r="BM416" i="3"/>
  <c r="AY414" i="3"/>
  <c r="BF413" i="3"/>
  <c r="BJ412" i="3"/>
  <c r="BK412" i="3"/>
  <c r="AV414" i="3"/>
  <c r="AX415" i="3"/>
  <c r="BQ413" i="3"/>
  <c r="AN416" i="3"/>
  <c r="BA414" i="3"/>
  <c r="BB414" i="3"/>
  <c r="AG416" i="3"/>
  <c r="AT415" i="3"/>
  <c r="AW415" i="3"/>
  <c r="AU415" i="3"/>
  <c r="Y416" i="3"/>
  <c r="Z416" i="3"/>
  <c r="X416" i="3"/>
  <c r="AH416" i="3"/>
  <c r="AO416" i="3"/>
  <c r="AR417" i="3"/>
  <c r="B417" i="3"/>
  <c r="AQ417" i="3"/>
  <c r="A418" i="3"/>
  <c r="C417" i="3"/>
  <c r="AK417" i="3"/>
  <c r="AM417" i="3"/>
  <c r="S417" i="3"/>
  <c r="Q417" i="3"/>
  <c r="T417" i="3"/>
  <c r="R417" i="3"/>
  <c r="AD417" i="3"/>
  <c r="O417" i="3"/>
  <c r="AE417" i="3"/>
  <c r="M417" i="3"/>
  <c r="P417" i="3"/>
  <c r="U417" i="3"/>
  <c r="AF417" i="3"/>
  <c r="V417" i="3"/>
  <c r="D417" i="3"/>
  <c r="G417" i="3"/>
  <c r="H417" i="3"/>
  <c r="F417" i="3"/>
  <c r="BC414" i="3"/>
  <c r="BD414" i="3"/>
  <c r="BG413" i="3"/>
  <c r="BH413" i="3"/>
  <c r="BI413" i="3"/>
  <c r="BM417" i="3"/>
  <c r="AO417" i="3"/>
  <c r="AT416" i="3"/>
  <c r="AU416" i="3"/>
  <c r="AY415" i="3"/>
  <c r="BQ414" i="3"/>
  <c r="AW416" i="3"/>
  <c r="BF414" i="3"/>
  <c r="BJ413" i="3"/>
  <c r="BK413" i="3"/>
  <c r="BN417" i="3"/>
  <c r="AN417" i="3"/>
  <c r="X417" i="3"/>
  <c r="AX416" i="3"/>
  <c r="BA415" i="3"/>
  <c r="AV415" i="3"/>
  <c r="Y417" i="3"/>
  <c r="Z417" i="3"/>
  <c r="AR418" i="3"/>
  <c r="A419" i="3"/>
  <c r="B418" i="3"/>
  <c r="AQ418" i="3"/>
  <c r="D418" i="3"/>
  <c r="S418" i="3"/>
  <c r="R418" i="3"/>
  <c r="Q418" i="3"/>
  <c r="AK418" i="3"/>
  <c r="AM418" i="3"/>
  <c r="P418" i="3"/>
  <c r="AD418" i="3"/>
  <c r="O418" i="3"/>
  <c r="AE418" i="3"/>
  <c r="U418" i="3"/>
  <c r="M418" i="3"/>
  <c r="AF418" i="3"/>
  <c r="V418" i="3"/>
  <c r="C418" i="3"/>
  <c r="G418" i="3"/>
  <c r="H418" i="3"/>
  <c r="F418" i="3"/>
  <c r="T418" i="3"/>
  <c r="AG417" i="3"/>
  <c r="AH417" i="3"/>
  <c r="BM418" i="3"/>
  <c r="BG414" i="3"/>
  <c r="BH414" i="3"/>
  <c r="BI414" i="3"/>
  <c r="BN418" i="3"/>
  <c r="AV416" i="3"/>
  <c r="BC415" i="3"/>
  <c r="BG415" i="3"/>
  <c r="BH415" i="3"/>
  <c r="BI415" i="3"/>
  <c r="BA416" i="3"/>
  <c r="BB416" i="3"/>
  <c r="AO418" i="3"/>
  <c r="Y418" i="3"/>
  <c r="Z418" i="3"/>
  <c r="AN418" i="3"/>
  <c r="AW417" i="3"/>
  <c r="AH418" i="3"/>
  <c r="A420" i="3"/>
  <c r="B419" i="3"/>
  <c r="AR419" i="3"/>
  <c r="AQ419" i="3"/>
  <c r="C419" i="3"/>
  <c r="AM419" i="3"/>
  <c r="T419" i="3"/>
  <c r="AK419" i="3"/>
  <c r="S419" i="3"/>
  <c r="R419" i="3"/>
  <c r="Q419" i="3"/>
  <c r="AD419" i="3"/>
  <c r="P419" i="3"/>
  <c r="M419" i="3"/>
  <c r="V419" i="3"/>
  <c r="U419" i="3"/>
  <c r="O419" i="3"/>
  <c r="AF419" i="3"/>
  <c r="AE419" i="3"/>
  <c r="D419" i="3"/>
  <c r="G419" i="3"/>
  <c r="H419" i="3"/>
  <c r="F419" i="3"/>
  <c r="AX417" i="3"/>
  <c r="AG418" i="3"/>
  <c r="AU417" i="3"/>
  <c r="AY416" i="3"/>
  <c r="BQ415" i="3"/>
  <c r="BF415" i="3"/>
  <c r="BJ414" i="3"/>
  <c r="BK414" i="3"/>
  <c r="BB415" i="3"/>
  <c r="X418" i="3"/>
  <c r="AT417" i="3"/>
  <c r="AO419" i="3"/>
  <c r="BD415" i="3"/>
  <c r="BQ416" i="3"/>
  <c r="BC416" i="3"/>
  <c r="BD416" i="3"/>
  <c r="BM419" i="3"/>
  <c r="BN419" i="3"/>
  <c r="AY417" i="3"/>
  <c r="BF416" i="3"/>
  <c r="BJ415" i="3"/>
  <c r="BK415" i="3"/>
  <c r="AT418" i="3"/>
  <c r="AW418" i="3"/>
  <c r="BA417" i="3"/>
  <c r="AV417" i="3"/>
  <c r="Y419" i="3"/>
  <c r="Z419" i="3"/>
  <c r="AH419" i="3"/>
  <c r="AN419" i="3"/>
  <c r="A421" i="3"/>
  <c r="B420" i="3"/>
  <c r="AQ420" i="3"/>
  <c r="AR420" i="3"/>
  <c r="C420" i="3"/>
  <c r="AM420" i="3"/>
  <c r="AK420" i="3"/>
  <c r="T420" i="3"/>
  <c r="S420" i="3"/>
  <c r="R420" i="3"/>
  <c r="Q420" i="3"/>
  <c r="AD420" i="3"/>
  <c r="P420" i="3"/>
  <c r="M420" i="3"/>
  <c r="AF420" i="3"/>
  <c r="V420" i="3"/>
  <c r="O420" i="3"/>
  <c r="AE420" i="3"/>
  <c r="U420" i="3"/>
  <c r="G420" i="3"/>
  <c r="H420" i="3"/>
  <c r="D420" i="3"/>
  <c r="F420" i="3"/>
  <c r="AX418" i="3"/>
  <c r="AU418" i="3"/>
  <c r="AG419" i="3"/>
  <c r="X419" i="3"/>
  <c r="AV418" i="3"/>
  <c r="BG416" i="3"/>
  <c r="BH416" i="3"/>
  <c r="BI416" i="3"/>
  <c r="BM420" i="3"/>
  <c r="BN420" i="3"/>
  <c r="BC417" i="3"/>
  <c r="BG417" i="3"/>
  <c r="BH417" i="3"/>
  <c r="BI417" i="3"/>
  <c r="AG420" i="3"/>
  <c r="AW419" i="3"/>
  <c r="AY418" i="3"/>
  <c r="AO420" i="3"/>
  <c r="AN420" i="3"/>
  <c r="AT419" i="3"/>
  <c r="Y420" i="3"/>
  <c r="Z420" i="3"/>
  <c r="AR421" i="3"/>
  <c r="B421" i="3"/>
  <c r="AQ421" i="3"/>
  <c r="A422" i="3"/>
  <c r="C421" i="3"/>
  <c r="AK421" i="3"/>
  <c r="AM421" i="3"/>
  <c r="S421" i="3"/>
  <c r="R421" i="3"/>
  <c r="Q421" i="3"/>
  <c r="AD421" i="3"/>
  <c r="P421" i="3"/>
  <c r="O421" i="3"/>
  <c r="M421" i="3"/>
  <c r="AF421" i="3"/>
  <c r="AE421" i="3"/>
  <c r="U421" i="3"/>
  <c r="V421" i="3"/>
  <c r="D421" i="3"/>
  <c r="F421" i="3"/>
  <c r="G421" i="3"/>
  <c r="H421" i="3"/>
  <c r="T421" i="3"/>
  <c r="BQ417" i="3"/>
  <c r="BF417" i="3"/>
  <c r="BJ416" i="3"/>
  <c r="BK416" i="3"/>
  <c r="BB417" i="3"/>
  <c r="X420" i="3"/>
  <c r="BA418" i="3"/>
  <c r="AH420" i="3"/>
  <c r="AU419" i="3"/>
  <c r="AX419" i="3"/>
  <c r="BN421" i="3"/>
  <c r="BD417" i="3"/>
  <c r="BC418" i="3"/>
  <c r="BD418" i="3"/>
  <c r="BM421" i="3"/>
  <c r="AY419" i="3"/>
  <c r="AX420" i="3"/>
  <c r="AV419" i="3"/>
  <c r="AN421" i="3"/>
  <c r="BB418" i="3"/>
  <c r="BF418" i="3"/>
  <c r="BJ417" i="3"/>
  <c r="BK417" i="3"/>
  <c r="BQ418" i="3"/>
  <c r="AR422" i="3"/>
  <c r="A423" i="3"/>
  <c r="B422" i="3"/>
  <c r="AQ422" i="3"/>
  <c r="AM422" i="3"/>
  <c r="AK422" i="3"/>
  <c r="S422" i="3"/>
  <c r="AD422" i="3"/>
  <c r="T422" i="3"/>
  <c r="Q422" i="3"/>
  <c r="R422" i="3"/>
  <c r="P422" i="3"/>
  <c r="M422" i="3"/>
  <c r="AE422" i="3"/>
  <c r="O422" i="3"/>
  <c r="AF422" i="3"/>
  <c r="U422" i="3"/>
  <c r="V422" i="3"/>
  <c r="C422" i="3"/>
  <c r="F422" i="3"/>
  <c r="D422" i="3"/>
  <c r="G422" i="3"/>
  <c r="H422" i="3"/>
  <c r="AT420" i="3"/>
  <c r="AW420" i="3"/>
  <c r="Y421" i="3"/>
  <c r="Z421" i="3"/>
  <c r="AG421" i="3"/>
  <c r="AO421" i="3"/>
  <c r="BA419" i="3"/>
  <c r="AU420" i="3"/>
  <c r="AH421" i="3"/>
  <c r="X421" i="3"/>
  <c r="BG418" i="3"/>
  <c r="BH418" i="3"/>
  <c r="BI418" i="3"/>
  <c r="BC419" i="3"/>
  <c r="BD419" i="3"/>
  <c r="AY420" i="3"/>
  <c r="BN422" i="3"/>
  <c r="AN422" i="3"/>
  <c r="AX421" i="3"/>
  <c r="AU421" i="3"/>
  <c r="AW421" i="3"/>
  <c r="AT421" i="3"/>
  <c r="X422" i="3"/>
  <c r="BF419" i="3"/>
  <c r="BJ418" i="3"/>
  <c r="BK418" i="3"/>
  <c r="BB419" i="3"/>
  <c r="BQ419" i="3"/>
  <c r="A424" i="3"/>
  <c r="B423" i="3"/>
  <c r="AR423" i="3"/>
  <c r="AQ423" i="3"/>
  <c r="AK423" i="3"/>
  <c r="S423" i="3"/>
  <c r="AM423" i="3"/>
  <c r="R423" i="3"/>
  <c r="Q423" i="3"/>
  <c r="P423" i="3"/>
  <c r="AD423" i="3"/>
  <c r="O423" i="3"/>
  <c r="AE423" i="3"/>
  <c r="M423" i="3"/>
  <c r="V423" i="3"/>
  <c r="AF423" i="3"/>
  <c r="U423" i="3"/>
  <c r="D423" i="3"/>
  <c r="G423" i="3"/>
  <c r="H423" i="3"/>
  <c r="C423" i="3"/>
  <c r="F423" i="3"/>
  <c r="T423" i="3"/>
  <c r="BM422" i="3"/>
  <c r="AG422" i="3"/>
  <c r="AH422" i="3"/>
  <c r="AO422" i="3"/>
  <c r="AV420" i="3"/>
  <c r="BA420" i="3"/>
  <c r="Y422" i="3"/>
  <c r="Z422" i="3"/>
  <c r="AV421" i="3"/>
  <c r="AN423" i="3"/>
  <c r="BC420" i="3"/>
  <c r="BD420" i="3"/>
  <c r="BG419" i="3"/>
  <c r="BH419" i="3"/>
  <c r="BI419" i="3"/>
  <c r="AY421" i="3"/>
  <c r="AG423" i="3"/>
  <c r="BM423" i="3"/>
  <c r="BN423" i="3"/>
  <c r="BA421" i="3"/>
  <c r="BB421" i="3"/>
  <c r="A425" i="3"/>
  <c r="B424" i="3"/>
  <c r="AQ424" i="3"/>
  <c r="AR424" i="3"/>
  <c r="C424" i="3"/>
  <c r="D424" i="3"/>
  <c r="AK424" i="3"/>
  <c r="AM424" i="3"/>
  <c r="R424" i="3"/>
  <c r="S424" i="3"/>
  <c r="P424" i="3"/>
  <c r="Q424" i="3"/>
  <c r="AD424" i="3"/>
  <c r="M424" i="3"/>
  <c r="AF424" i="3"/>
  <c r="AE424" i="3"/>
  <c r="U424" i="3"/>
  <c r="V424" i="3"/>
  <c r="O424" i="3"/>
  <c r="G424" i="3"/>
  <c r="H424" i="3"/>
  <c r="F424" i="3"/>
  <c r="T424" i="3"/>
  <c r="AH423" i="3"/>
  <c r="AO423" i="3"/>
  <c r="BB420" i="3"/>
  <c r="BQ420" i="3"/>
  <c r="BF420" i="3"/>
  <c r="BJ419" i="3"/>
  <c r="BK419" i="3"/>
  <c r="AW422" i="3"/>
  <c r="AT422" i="3"/>
  <c r="AU422" i="3"/>
  <c r="AX422" i="3"/>
  <c r="Y423" i="3"/>
  <c r="Z423" i="3"/>
  <c r="X423" i="3"/>
  <c r="BM424" i="3"/>
  <c r="BN424" i="3"/>
  <c r="BC421" i="3"/>
  <c r="BD421" i="3"/>
  <c r="AU423" i="3"/>
  <c r="BG420" i="3"/>
  <c r="BH420" i="3"/>
  <c r="BI420" i="3"/>
  <c r="BQ421" i="3"/>
  <c r="BF421" i="3"/>
  <c r="BJ420" i="3"/>
  <c r="BK420" i="3"/>
  <c r="AN424" i="3"/>
  <c r="AW423" i="3"/>
  <c r="AG424" i="3"/>
  <c r="AR425" i="3"/>
  <c r="B425" i="3"/>
  <c r="AQ425" i="3"/>
  <c r="A426" i="3"/>
  <c r="AK425" i="3"/>
  <c r="R425" i="3"/>
  <c r="AM425" i="3"/>
  <c r="AD425" i="3"/>
  <c r="S425" i="3"/>
  <c r="M425" i="3"/>
  <c r="O425" i="3"/>
  <c r="P425" i="3"/>
  <c r="AE425" i="3"/>
  <c r="AF425" i="3"/>
  <c r="V425" i="3"/>
  <c r="U425" i="3"/>
  <c r="Q425" i="3"/>
  <c r="C425" i="3"/>
  <c r="D425" i="3"/>
  <c r="G425" i="3"/>
  <c r="H425" i="3"/>
  <c r="F425" i="3"/>
  <c r="T425" i="3"/>
  <c r="Y424" i="3"/>
  <c r="Z424" i="3"/>
  <c r="AV422" i="3"/>
  <c r="AY422" i="3"/>
  <c r="AX423" i="3"/>
  <c r="AH424" i="3"/>
  <c r="AO424" i="3"/>
  <c r="X424" i="3"/>
  <c r="AT423" i="3"/>
  <c r="BA422" i="3"/>
  <c r="BG421" i="3"/>
  <c r="BH421" i="3"/>
  <c r="BI421" i="3"/>
  <c r="AN425" i="3"/>
  <c r="BM425" i="3"/>
  <c r="AT424" i="3"/>
  <c r="AY423" i="3"/>
  <c r="AO425" i="3"/>
  <c r="AG425" i="3"/>
  <c r="AU424" i="3"/>
  <c r="BC422" i="3"/>
  <c r="BD422" i="3"/>
  <c r="AV423" i="3"/>
  <c r="BA423" i="3"/>
  <c r="AR426" i="3"/>
  <c r="A427" i="3"/>
  <c r="B426" i="3"/>
  <c r="AQ426" i="3"/>
  <c r="C426" i="3"/>
  <c r="AK426" i="3"/>
  <c r="S426" i="3"/>
  <c r="R426" i="3"/>
  <c r="D426" i="3"/>
  <c r="AM426" i="3"/>
  <c r="AD426" i="3"/>
  <c r="M426" i="3"/>
  <c r="P426" i="3"/>
  <c r="AE426" i="3"/>
  <c r="V426" i="3"/>
  <c r="O426" i="3"/>
  <c r="AF426" i="3"/>
  <c r="U426" i="3"/>
  <c r="Q426" i="3"/>
  <c r="G426" i="3"/>
  <c r="H426" i="3"/>
  <c r="F426" i="3"/>
  <c r="T426" i="3"/>
  <c r="AX424" i="3"/>
  <c r="AW424" i="3"/>
  <c r="Y425" i="3"/>
  <c r="Z425" i="3"/>
  <c r="BN425" i="3"/>
  <c r="X425" i="3"/>
  <c r="AH425" i="3"/>
  <c r="BB422" i="3"/>
  <c r="BQ422" i="3"/>
  <c r="BF422" i="3"/>
  <c r="BJ421" i="3"/>
  <c r="BK421" i="3"/>
  <c r="BM426" i="3"/>
  <c r="AV424" i="3"/>
  <c r="BC423" i="3"/>
  <c r="BD423" i="3"/>
  <c r="AN426" i="3"/>
  <c r="AT425" i="3"/>
  <c r="BG422" i="3"/>
  <c r="BH422" i="3"/>
  <c r="BI422" i="3"/>
  <c r="AY424" i="3"/>
  <c r="A428" i="3"/>
  <c r="B427" i="3"/>
  <c r="AR427" i="3"/>
  <c r="AQ427" i="3"/>
  <c r="D427" i="3"/>
  <c r="AM427" i="3"/>
  <c r="AK427" i="3"/>
  <c r="R427" i="3"/>
  <c r="T427" i="3"/>
  <c r="S427" i="3"/>
  <c r="AD427" i="3"/>
  <c r="Q427" i="3"/>
  <c r="O427" i="3"/>
  <c r="AE427" i="3"/>
  <c r="AF427" i="3"/>
  <c r="V427" i="3"/>
  <c r="M427" i="3"/>
  <c r="U427" i="3"/>
  <c r="C427" i="3"/>
  <c r="F427" i="3"/>
  <c r="G427" i="3"/>
  <c r="H427" i="3"/>
  <c r="P427" i="3"/>
  <c r="BQ423" i="3"/>
  <c r="BB423" i="3"/>
  <c r="BF423" i="3"/>
  <c r="BJ422" i="3"/>
  <c r="BK422" i="3"/>
  <c r="AW425" i="3"/>
  <c r="Y426" i="3"/>
  <c r="Z426" i="3"/>
  <c r="BN426" i="3"/>
  <c r="AG426" i="3"/>
  <c r="AO426" i="3"/>
  <c r="BA424" i="3"/>
  <c r="AU425" i="3"/>
  <c r="AX425" i="3"/>
  <c r="AH426" i="3"/>
  <c r="X426" i="3"/>
  <c r="BN427" i="3"/>
  <c r="BC424" i="3"/>
  <c r="BD424" i="3"/>
  <c r="BG423" i="3"/>
  <c r="BH423" i="3"/>
  <c r="BI423" i="3"/>
  <c r="BM427" i="3"/>
  <c r="AN427" i="3"/>
  <c r="AG427" i="3"/>
  <c r="BA425" i="3"/>
  <c r="BB425" i="3"/>
  <c r="Y427" i="3"/>
  <c r="Z427" i="3"/>
  <c r="AT426" i="3"/>
  <c r="AX426" i="3"/>
  <c r="A429" i="3"/>
  <c r="B428" i="3"/>
  <c r="AQ428" i="3"/>
  <c r="AR428" i="3"/>
  <c r="C428" i="3"/>
  <c r="S428" i="3"/>
  <c r="R428" i="3"/>
  <c r="D428" i="3"/>
  <c r="AK428" i="3"/>
  <c r="AM428" i="3"/>
  <c r="Q428" i="3"/>
  <c r="AD428" i="3"/>
  <c r="O428" i="3"/>
  <c r="AE428" i="3"/>
  <c r="M428" i="3"/>
  <c r="AF428" i="3"/>
  <c r="U428" i="3"/>
  <c r="P428" i="3"/>
  <c r="V428" i="3"/>
  <c r="F428" i="3"/>
  <c r="G428" i="3"/>
  <c r="H428" i="3"/>
  <c r="T428" i="3"/>
  <c r="AU426" i="3"/>
  <c r="AW426" i="3"/>
  <c r="X427" i="3"/>
  <c r="AH427" i="3"/>
  <c r="AO427" i="3"/>
  <c r="AV425" i="3"/>
  <c r="BQ424" i="3"/>
  <c r="BF424" i="3"/>
  <c r="BJ423" i="3"/>
  <c r="BK423" i="3"/>
  <c r="BB424" i="3"/>
  <c r="AY425" i="3"/>
  <c r="AY426" i="3"/>
  <c r="BG424" i="3"/>
  <c r="BH424" i="3"/>
  <c r="BI424" i="3"/>
  <c r="BQ425" i="3"/>
  <c r="BN428" i="3"/>
  <c r="AU427" i="3"/>
  <c r="AO428" i="3"/>
  <c r="BF425" i="3"/>
  <c r="BJ424" i="3"/>
  <c r="BK424" i="3"/>
  <c r="AW427" i="3"/>
  <c r="AT427" i="3"/>
  <c r="BC425" i="3"/>
  <c r="AX427" i="3"/>
  <c r="Y428" i="3"/>
  <c r="Z428" i="3"/>
  <c r="BM428" i="3"/>
  <c r="AG428" i="3"/>
  <c r="AH428" i="3"/>
  <c r="AN428" i="3"/>
  <c r="BA426" i="3"/>
  <c r="AR429" i="3"/>
  <c r="B429" i="3"/>
  <c r="AQ429" i="3"/>
  <c r="A430" i="3"/>
  <c r="D429" i="3"/>
  <c r="AK429" i="3"/>
  <c r="T429" i="3"/>
  <c r="C429" i="3"/>
  <c r="AM429" i="3"/>
  <c r="S429" i="3"/>
  <c r="Q429" i="3"/>
  <c r="AD429" i="3"/>
  <c r="P429" i="3"/>
  <c r="R429" i="3"/>
  <c r="M429" i="3"/>
  <c r="AE429" i="3"/>
  <c r="O429" i="3"/>
  <c r="V429" i="3"/>
  <c r="AF429" i="3"/>
  <c r="U429" i="3"/>
  <c r="G429" i="3"/>
  <c r="H429" i="3"/>
  <c r="F429" i="3"/>
  <c r="X428" i="3"/>
  <c r="AV426" i="3"/>
  <c r="BN429" i="3"/>
  <c r="BC426" i="3"/>
  <c r="BD426" i="3"/>
  <c r="BM429" i="3"/>
  <c r="AV427" i="3"/>
  <c r="AT428" i="3"/>
  <c r="AN429" i="3"/>
  <c r="AU428" i="3"/>
  <c r="BA427" i="3"/>
  <c r="BB427" i="3"/>
  <c r="AR430" i="3"/>
  <c r="A431" i="3"/>
  <c r="B430" i="3"/>
  <c r="AQ430" i="3"/>
  <c r="C430" i="3"/>
  <c r="AK430" i="3"/>
  <c r="T430" i="3"/>
  <c r="S430" i="3"/>
  <c r="D430" i="3"/>
  <c r="AM430" i="3"/>
  <c r="Q430" i="3"/>
  <c r="R430" i="3"/>
  <c r="AD430" i="3"/>
  <c r="P430" i="3"/>
  <c r="O430" i="3"/>
  <c r="M430" i="3"/>
  <c r="AF430" i="3"/>
  <c r="V430" i="3"/>
  <c r="AE430" i="3"/>
  <c r="U430" i="3"/>
  <c r="G430" i="3"/>
  <c r="H430" i="3"/>
  <c r="F430" i="3"/>
  <c r="AG429" i="3"/>
  <c r="AH429" i="3"/>
  <c r="X429" i="3"/>
  <c r="AO429" i="3"/>
  <c r="AW428" i="3"/>
  <c r="AY427" i="3"/>
  <c r="Y429" i="3"/>
  <c r="Z429" i="3"/>
  <c r="BQ426" i="3"/>
  <c r="BF426" i="3"/>
  <c r="BJ425" i="3"/>
  <c r="BK425" i="3"/>
  <c r="BB426" i="3"/>
  <c r="BD425" i="3"/>
  <c r="BG425" i="3"/>
  <c r="BH425" i="3"/>
  <c r="BI425" i="3"/>
  <c r="AX428" i="3"/>
  <c r="BN430" i="3"/>
  <c r="BG426" i="3"/>
  <c r="BH426" i="3"/>
  <c r="BI426" i="3"/>
  <c r="BC427" i="3"/>
  <c r="BD427" i="3"/>
  <c r="AV428" i="3"/>
  <c r="AG430" i="3"/>
  <c r="BM430" i="3"/>
  <c r="AN430" i="3"/>
  <c r="AU429" i="3"/>
  <c r="AT429" i="3"/>
  <c r="BQ427" i="3"/>
  <c r="BF427" i="3"/>
  <c r="BJ426" i="3"/>
  <c r="BK426" i="3"/>
  <c r="A432" i="3"/>
  <c r="B431" i="3"/>
  <c r="AR431" i="3"/>
  <c r="AQ431" i="3"/>
  <c r="C431" i="3"/>
  <c r="D431" i="3"/>
  <c r="AM431" i="3"/>
  <c r="S431" i="3"/>
  <c r="R431" i="3"/>
  <c r="AK431" i="3"/>
  <c r="T431" i="3"/>
  <c r="Q431" i="3"/>
  <c r="AD431" i="3"/>
  <c r="P431" i="3"/>
  <c r="M431" i="3"/>
  <c r="AF431" i="3"/>
  <c r="AE431" i="3"/>
  <c r="V431" i="3"/>
  <c r="O431" i="3"/>
  <c r="U431" i="3"/>
  <c r="G431" i="3"/>
  <c r="H431" i="3"/>
  <c r="F431" i="3"/>
  <c r="AX429" i="3"/>
  <c r="AO430" i="3"/>
  <c r="Y430" i="3"/>
  <c r="Z430" i="3"/>
  <c r="AY428" i="3"/>
  <c r="AW429" i="3"/>
  <c r="BA428" i="3"/>
  <c r="AH430" i="3"/>
  <c r="X430" i="3"/>
  <c r="BG427" i="3"/>
  <c r="BH427" i="3"/>
  <c r="BI427" i="3"/>
  <c r="BC428" i="3"/>
  <c r="BD428" i="3"/>
  <c r="AV429" i="3"/>
  <c r="AX430" i="3"/>
  <c r="BM431" i="3"/>
  <c r="BN431" i="3"/>
  <c r="AO431" i="3"/>
  <c r="AY429" i="3"/>
  <c r="A433" i="3"/>
  <c r="B432" i="3"/>
  <c r="AQ432" i="3"/>
  <c r="AR432" i="3"/>
  <c r="D432" i="3"/>
  <c r="C432" i="3"/>
  <c r="AK432" i="3"/>
  <c r="AM432" i="3"/>
  <c r="T432" i="3"/>
  <c r="Q432" i="3"/>
  <c r="S432" i="3"/>
  <c r="P432" i="3"/>
  <c r="R432" i="3"/>
  <c r="AD432" i="3"/>
  <c r="O432" i="3"/>
  <c r="M432" i="3"/>
  <c r="U432" i="3"/>
  <c r="AE432" i="3"/>
  <c r="AF432" i="3"/>
  <c r="V432" i="3"/>
  <c r="G432" i="3"/>
  <c r="H432" i="3"/>
  <c r="F432" i="3"/>
  <c r="AT430" i="3"/>
  <c r="AW430" i="3"/>
  <c r="AG431" i="3"/>
  <c r="AH431" i="3"/>
  <c r="AN431" i="3"/>
  <c r="X431" i="3"/>
  <c r="BB428" i="3"/>
  <c r="BF428" i="3"/>
  <c r="BJ427" i="3"/>
  <c r="BK427" i="3"/>
  <c r="BQ428" i="3"/>
  <c r="Y431" i="3"/>
  <c r="Z431" i="3"/>
  <c r="AU430" i="3"/>
  <c r="BA429" i="3"/>
  <c r="BM432" i="3"/>
  <c r="BN432" i="3"/>
  <c r="AY430" i="3"/>
  <c r="BG428" i="3"/>
  <c r="BH428" i="3"/>
  <c r="BI428" i="3"/>
  <c r="BC429" i="3"/>
  <c r="BD429" i="3"/>
  <c r="AN432" i="3"/>
  <c r="AU431" i="3"/>
  <c r="AG432" i="3"/>
  <c r="AX431" i="3"/>
  <c r="BB429" i="3"/>
  <c r="BQ429" i="3"/>
  <c r="BF429" i="3"/>
  <c r="BJ428" i="3"/>
  <c r="BK428" i="3"/>
  <c r="AV430" i="3"/>
  <c r="BA430" i="3"/>
  <c r="Y432" i="3"/>
  <c r="Z432" i="3"/>
  <c r="AR433" i="3"/>
  <c r="B433" i="3"/>
  <c r="AQ433" i="3"/>
  <c r="A434" i="3"/>
  <c r="C433" i="3"/>
  <c r="D433" i="3"/>
  <c r="AK433" i="3"/>
  <c r="R433" i="3"/>
  <c r="AM433" i="3"/>
  <c r="S433" i="3"/>
  <c r="AD433" i="3"/>
  <c r="P433" i="3"/>
  <c r="Q433" i="3"/>
  <c r="O433" i="3"/>
  <c r="AE433" i="3"/>
  <c r="V433" i="3"/>
  <c r="U433" i="3"/>
  <c r="M433" i="3"/>
  <c r="AF433" i="3"/>
  <c r="F433" i="3"/>
  <c r="G433" i="3"/>
  <c r="H433" i="3"/>
  <c r="T433" i="3"/>
  <c r="AT431" i="3"/>
  <c r="AW431" i="3"/>
  <c r="AH432" i="3"/>
  <c r="AO432" i="3"/>
  <c r="X432" i="3"/>
  <c r="BG429" i="3"/>
  <c r="BH429" i="3"/>
  <c r="BI429" i="3"/>
  <c r="AY431" i="3"/>
  <c r="AN433" i="3"/>
  <c r="BC430" i="3"/>
  <c r="BG430" i="3"/>
  <c r="BH430" i="3"/>
  <c r="BI430" i="3"/>
  <c r="BM433" i="3"/>
  <c r="BN433" i="3"/>
  <c r="AU432" i="3"/>
  <c r="AX432" i="3"/>
  <c r="BA431" i="3"/>
  <c r="AV431" i="3"/>
  <c r="AR434" i="3"/>
  <c r="A435" i="3"/>
  <c r="B434" i="3"/>
  <c r="AQ434" i="3"/>
  <c r="AM434" i="3"/>
  <c r="T434" i="3"/>
  <c r="D434" i="3"/>
  <c r="AK434" i="3"/>
  <c r="C434" i="3"/>
  <c r="S434" i="3"/>
  <c r="Q434" i="3"/>
  <c r="P434" i="3"/>
  <c r="AD434" i="3"/>
  <c r="O434" i="3"/>
  <c r="AE434" i="3"/>
  <c r="U434" i="3"/>
  <c r="V434" i="3"/>
  <c r="M434" i="3"/>
  <c r="AF434" i="3"/>
  <c r="G434" i="3"/>
  <c r="H434" i="3"/>
  <c r="R434" i="3"/>
  <c r="F434" i="3"/>
  <c r="BF430" i="3"/>
  <c r="BJ429" i="3"/>
  <c r="BK429" i="3"/>
  <c r="BQ430" i="3"/>
  <c r="BB430" i="3"/>
  <c r="AT432" i="3"/>
  <c r="AW432" i="3"/>
  <c r="Y433" i="3"/>
  <c r="Z433" i="3"/>
  <c r="AG433" i="3"/>
  <c r="AH433" i="3"/>
  <c r="AO433" i="3"/>
  <c r="X433" i="3"/>
  <c r="BC431" i="3"/>
  <c r="BD431" i="3"/>
  <c r="BD430" i="3"/>
  <c r="BM434" i="3"/>
  <c r="AO434" i="3"/>
  <c r="BN434" i="3"/>
  <c r="AY432" i="3"/>
  <c r="AH434" i="3"/>
  <c r="AT433" i="3"/>
  <c r="AX433" i="3"/>
  <c r="Y434" i="3"/>
  <c r="Z434" i="3"/>
  <c r="BF431" i="3"/>
  <c r="BJ430" i="3"/>
  <c r="BK430" i="3"/>
  <c r="BB431" i="3"/>
  <c r="BQ431" i="3"/>
  <c r="AU433" i="3"/>
  <c r="AW433" i="3"/>
  <c r="AG434" i="3"/>
  <c r="X434" i="3"/>
  <c r="AN434" i="3"/>
  <c r="AV432" i="3"/>
  <c r="BA432" i="3"/>
  <c r="A436" i="3"/>
  <c r="B435" i="3"/>
  <c r="AR435" i="3"/>
  <c r="AQ435" i="3"/>
  <c r="C435" i="3"/>
  <c r="AK435" i="3"/>
  <c r="AM435" i="3"/>
  <c r="D435" i="3"/>
  <c r="S435" i="3"/>
  <c r="Q435" i="3"/>
  <c r="AD435" i="3"/>
  <c r="R435" i="3"/>
  <c r="P435" i="3"/>
  <c r="AF435" i="3"/>
  <c r="M435" i="3"/>
  <c r="U435" i="3"/>
  <c r="O435" i="3"/>
  <c r="AE435" i="3"/>
  <c r="V435" i="3"/>
  <c r="G435" i="3"/>
  <c r="H435" i="3"/>
  <c r="BN435" i="3"/>
  <c r="F435" i="3"/>
  <c r="T435" i="3"/>
  <c r="BG431" i="3"/>
  <c r="BH431" i="3"/>
  <c r="BI431" i="3"/>
  <c r="AY433" i="3"/>
  <c r="BM435" i="3"/>
  <c r="BC432" i="3"/>
  <c r="BG432" i="3"/>
  <c r="BH432" i="3"/>
  <c r="BI432" i="3"/>
  <c r="AO435" i="3"/>
  <c r="AX434" i="3"/>
  <c r="AU434" i="3"/>
  <c r="AG435" i="3"/>
  <c r="Y435" i="3"/>
  <c r="Z435" i="3"/>
  <c r="BA433" i="3"/>
  <c r="BB433" i="3"/>
  <c r="BF432" i="3"/>
  <c r="BJ431" i="3"/>
  <c r="BK431" i="3"/>
  <c r="BB432" i="3"/>
  <c r="BQ432" i="3"/>
  <c r="A437" i="3"/>
  <c r="B436" i="3"/>
  <c r="AQ436" i="3"/>
  <c r="AR436" i="3"/>
  <c r="D436" i="3"/>
  <c r="C436" i="3"/>
  <c r="S436" i="3"/>
  <c r="Q436" i="3"/>
  <c r="AK436" i="3"/>
  <c r="AM436" i="3"/>
  <c r="R436" i="3"/>
  <c r="P436" i="3"/>
  <c r="AD436" i="3"/>
  <c r="O436" i="3"/>
  <c r="M436" i="3"/>
  <c r="AF436" i="3"/>
  <c r="U436" i="3"/>
  <c r="AE436" i="3"/>
  <c r="V436" i="3"/>
  <c r="F436" i="3"/>
  <c r="G436" i="3"/>
  <c r="H436" i="3"/>
  <c r="T436" i="3"/>
  <c r="AH435" i="3"/>
  <c r="AN435" i="3"/>
  <c r="X435" i="3"/>
  <c r="AV433" i="3"/>
  <c r="AT434" i="3"/>
  <c r="AW434" i="3"/>
  <c r="BN436" i="3"/>
  <c r="AU435" i="3"/>
  <c r="BM436" i="3"/>
  <c r="BC433" i="3"/>
  <c r="BD433" i="3"/>
  <c r="BD432" i="3"/>
  <c r="AN436" i="3"/>
  <c r="AY434" i="3"/>
  <c r="AG436" i="3"/>
  <c r="AX435" i="3"/>
  <c r="BF433" i="3"/>
  <c r="BJ432" i="3"/>
  <c r="BK432" i="3"/>
  <c r="BQ433" i="3"/>
  <c r="Y436" i="3"/>
  <c r="Z436" i="3"/>
  <c r="AV434" i="3"/>
  <c r="BA434" i="3"/>
  <c r="AR437" i="3"/>
  <c r="B437" i="3"/>
  <c r="AQ437" i="3"/>
  <c r="A438" i="3"/>
  <c r="D437" i="3"/>
  <c r="C437" i="3"/>
  <c r="S437" i="3"/>
  <c r="AK437" i="3"/>
  <c r="AM437" i="3"/>
  <c r="T437" i="3"/>
  <c r="Q437" i="3"/>
  <c r="AD437" i="3"/>
  <c r="R437" i="3"/>
  <c r="O437" i="3"/>
  <c r="P437" i="3"/>
  <c r="M437" i="3"/>
  <c r="V437" i="3"/>
  <c r="AE437" i="3"/>
  <c r="AF437" i="3"/>
  <c r="U437" i="3"/>
  <c r="G437" i="3"/>
  <c r="H437" i="3"/>
  <c r="F437" i="3"/>
  <c r="X436" i="3"/>
  <c r="AT435" i="3"/>
  <c r="AW435" i="3"/>
  <c r="AH436" i="3"/>
  <c r="AO436" i="3"/>
  <c r="BM437" i="3"/>
  <c r="BG433" i="3"/>
  <c r="BH433" i="3"/>
  <c r="BI433" i="3"/>
  <c r="BC434" i="3"/>
  <c r="BG434" i="3"/>
  <c r="BH434" i="3"/>
  <c r="BI434" i="3"/>
  <c r="BN437" i="3"/>
  <c r="AT436" i="3"/>
  <c r="AG437" i="3"/>
  <c r="AU436" i="3"/>
  <c r="AY435" i="3"/>
  <c r="AO437" i="3"/>
  <c r="AW436" i="3"/>
  <c r="AV435" i="3"/>
  <c r="BA435" i="3"/>
  <c r="Y437" i="3"/>
  <c r="Z437" i="3"/>
  <c r="AX436" i="3"/>
  <c r="AN437" i="3"/>
  <c r="AR438" i="3"/>
  <c r="A439" i="3"/>
  <c r="B438" i="3"/>
  <c r="AQ438" i="3"/>
  <c r="D438" i="3"/>
  <c r="C438" i="3"/>
  <c r="AM438" i="3"/>
  <c r="AK438" i="3"/>
  <c r="S438" i="3"/>
  <c r="R438" i="3"/>
  <c r="P438" i="3"/>
  <c r="Q438" i="3"/>
  <c r="AD438" i="3"/>
  <c r="O438" i="3"/>
  <c r="M438" i="3"/>
  <c r="AF438" i="3"/>
  <c r="V438" i="3"/>
  <c r="AE438" i="3"/>
  <c r="U438" i="3"/>
  <c r="F438" i="3"/>
  <c r="G438" i="3"/>
  <c r="H438" i="3"/>
  <c r="T438" i="3"/>
  <c r="BB434" i="3"/>
  <c r="BF434" i="3"/>
  <c r="BJ433" i="3"/>
  <c r="BK433" i="3"/>
  <c r="BQ434" i="3"/>
  <c r="AH437" i="3"/>
  <c r="X437" i="3"/>
  <c r="BN438" i="3"/>
  <c r="BM438" i="3"/>
  <c r="BD434" i="3"/>
  <c r="AY436" i="3"/>
  <c r="AV436" i="3"/>
  <c r="AT437" i="3"/>
  <c r="BC435" i="3"/>
  <c r="BG435" i="3"/>
  <c r="BH435" i="3"/>
  <c r="BI435" i="3"/>
  <c r="AO438" i="3"/>
  <c r="Y438" i="3"/>
  <c r="Z438" i="3"/>
  <c r="BA436" i="3"/>
  <c r="BF436" i="3"/>
  <c r="AW437" i="3"/>
  <c r="AH438" i="3"/>
  <c r="AN438" i="3"/>
  <c r="AU437" i="3"/>
  <c r="A440" i="3"/>
  <c r="B439" i="3"/>
  <c r="AR439" i="3"/>
  <c r="AQ439" i="3"/>
  <c r="C439" i="3"/>
  <c r="AK439" i="3"/>
  <c r="AM439" i="3"/>
  <c r="T439" i="3"/>
  <c r="S439" i="3"/>
  <c r="D439" i="3"/>
  <c r="Q439" i="3"/>
  <c r="R439" i="3"/>
  <c r="AD439" i="3"/>
  <c r="P439" i="3"/>
  <c r="O439" i="3"/>
  <c r="AE439" i="3"/>
  <c r="M439" i="3"/>
  <c r="AF439" i="3"/>
  <c r="V439" i="3"/>
  <c r="U439" i="3"/>
  <c r="F439" i="3"/>
  <c r="G439" i="3"/>
  <c r="H439" i="3"/>
  <c r="BQ435" i="3"/>
  <c r="BB435" i="3"/>
  <c r="BF435" i="3"/>
  <c r="BJ434" i="3"/>
  <c r="BK434" i="3"/>
  <c r="AG438" i="3"/>
  <c r="X438" i="3"/>
  <c r="AX437" i="3"/>
  <c r="BM439" i="3"/>
  <c r="BN439" i="3"/>
  <c r="BD435" i="3"/>
  <c r="BC436" i="3"/>
  <c r="BG436" i="3"/>
  <c r="BH436" i="3"/>
  <c r="BI436" i="3"/>
  <c r="BQ436" i="3"/>
  <c r="AH439" i="3"/>
  <c r="AW438" i="3"/>
  <c r="AN439" i="3"/>
  <c r="AU438" i="3"/>
  <c r="AT438" i="3"/>
  <c r="BB436" i="3"/>
  <c r="BA437" i="3"/>
  <c r="BQ437" i="3"/>
  <c r="Y439" i="3"/>
  <c r="Z439" i="3"/>
  <c r="BJ435" i="3"/>
  <c r="BK435" i="3"/>
  <c r="AG439" i="3"/>
  <c r="AO439" i="3"/>
  <c r="AY437" i="3"/>
  <c r="AV437" i="3"/>
  <c r="A441" i="3"/>
  <c r="B440" i="3"/>
  <c r="AQ440" i="3"/>
  <c r="AR440" i="3"/>
  <c r="D440" i="3"/>
  <c r="T440" i="3"/>
  <c r="C440" i="3"/>
  <c r="AK440" i="3"/>
  <c r="AM440" i="3"/>
  <c r="S440" i="3"/>
  <c r="R440" i="3"/>
  <c r="AD440" i="3"/>
  <c r="P440" i="3"/>
  <c r="O440" i="3"/>
  <c r="AE440" i="3"/>
  <c r="AF440" i="3"/>
  <c r="U440" i="3"/>
  <c r="M440" i="3"/>
  <c r="V440" i="3"/>
  <c r="Q440" i="3"/>
  <c r="F440" i="3"/>
  <c r="G440" i="3"/>
  <c r="H440" i="3"/>
  <c r="X439" i="3"/>
  <c r="AX438" i="3"/>
  <c r="BM440" i="3"/>
  <c r="BD436" i="3"/>
  <c r="BN440" i="3"/>
  <c r="AV438" i="3"/>
  <c r="AU439" i="3"/>
  <c r="AT439" i="3"/>
  <c r="AO440" i="3"/>
  <c r="AW439" i="3"/>
  <c r="BA438" i="3"/>
  <c r="BF438" i="3"/>
  <c r="BF437" i="3"/>
  <c r="BJ436" i="3"/>
  <c r="BK436" i="3"/>
  <c r="BB437" i="3"/>
  <c r="Y440" i="3"/>
  <c r="Z440" i="3"/>
  <c r="AR441" i="3"/>
  <c r="B441" i="3"/>
  <c r="AQ441" i="3"/>
  <c r="A442" i="3"/>
  <c r="D441" i="3"/>
  <c r="C441" i="3"/>
  <c r="AK441" i="3"/>
  <c r="AM441" i="3"/>
  <c r="Q441" i="3"/>
  <c r="S441" i="3"/>
  <c r="AD441" i="3"/>
  <c r="P441" i="3"/>
  <c r="T441" i="3"/>
  <c r="O441" i="3"/>
  <c r="M441" i="3"/>
  <c r="AE441" i="3"/>
  <c r="AF441" i="3"/>
  <c r="U441" i="3"/>
  <c r="V441" i="3"/>
  <c r="G441" i="3"/>
  <c r="H441" i="3"/>
  <c r="R441" i="3"/>
  <c r="F441" i="3"/>
  <c r="AH440" i="3"/>
  <c r="AY438" i="3"/>
  <c r="AG440" i="3"/>
  <c r="AN440" i="3"/>
  <c r="X440" i="3"/>
  <c r="BC437" i="3"/>
  <c r="AX439" i="3"/>
  <c r="BM441" i="3"/>
  <c r="BC438" i="3"/>
  <c r="BD438" i="3"/>
  <c r="AV439" i="3"/>
  <c r="BJ437" i="3"/>
  <c r="BK437" i="3"/>
  <c r="BB438" i="3"/>
  <c r="BQ438" i="3"/>
  <c r="BA439" i="3"/>
  <c r="BB439" i="3"/>
  <c r="AO441" i="3"/>
  <c r="AT440" i="3"/>
  <c r="AU440" i="3"/>
  <c r="AY439" i="3"/>
  <c r="BD437" i="3"/>
  <c r="BG437" i="3"/>
  <c r="BH437" i="3"/>
  <c r="BI437" i="3"/>
  <c r="AR442" i="3"/>
  <c r="AQ442" i="3"/>
  <c r="B442" i="3"/>
  <c r="A443" i="3"/>
  <c r="C442" i="3"/>
  <c r="AK442" i="3"/>
  <c r="S442" i="3"/>
  <c r="AM442" i="3"/>
  <c r="D442" i="3"/>
  <c r="T442" i="3"/>
  <c r="Q442" i="3"/>
  <c r="R442" i="3"/>
  <c r="AD442" i="3"/>
  <c r="P442" i="3"/>
  <c r="O442" i="3"/>
  <c r="U442" i="3"/>
  <c r="AF442" i="3"/>
  <c r="M442" i="3"/>
  <c r="AE442" i="3"/>
  <c r="V442" i="3"/>
  <c r="G442" i="3"/>
  <c r="H442" i="3"/>
  <c r="F442" i="3"/>
  <c r="AH441" i="3"/>
  <c r="AW440" i="3"/>
  <c r="BN441" i="3"/>
  <c r="AG441" i="3"/>
  <c r="AN441" i="3"/>
  <c r="X441" i="3"/>
  <c r="Y441" i="3"/>
  <c r="Z441" i="3"/>
  <c r="AX440" i="3"/>
  <c r="BN442" i="3"/>
  <c r="BG438" i="3"/>
  <c r="BH438" i="3"/>
  <c r="BI438" i="3"/>
  <c r="BC439" i="3"/>
  <c r="BG439" i="3"/>
  <c r="BH439" i="3"/>
  <c r="BI439" i="3"/>
  <c r="AG442" i="3"/>
  <c r="BQ439" i="3"/>
  <c r="AT441" i="3"/>
  <c r="BF439" i="3"/>
  <c r="BJ438" i="3"/>
  <c r="BK438" i="3"/>
  <c r="AV440" i="3"/>
  <c r="AN442" i="3"/>
  <c r="AR443" i="3"/>
  <c r="B443" i="3"/>
  <c r="AQ443" i="3"/>
  <c r="A444" i="3"/>
  <c r="D443" i="3"/>
  <c r="C443" i="3"/>
  <c r="AM443" i="3"/>
  <c r="AK443" i="3"/>
  <c r="S443" i="3"/>
  <c r="R443" i="3"/>
  <c r="Q443" i="3"/>
  <c r="AD443" i="3"/>
  <c r="P443" i="3"/>
  <c r="AE443" i="3"/>
  <c r="O443" i="3"/>
  <c r="U443" i="3"/>
  <c r="M443" i="3"/>
  <c r="AF443" i="3"/>
  <c r="V443" i="3"/>
  <c r="G443" i="3"/>
  <c r="H443" i="3"/>
  <c r="F443" i="3"/>
  <c r="T443" i="3"/>
  <c r="AX441" i="3"/>
  <c r="AU441" i="3"/>
  <c r="AW441" i="3"/>
  <c r="AY440" i="3"/>
  <c r="BM442" i="3"/>
  <c r="AO442" i="3"/>
  <c r="AH442" i="3"/>
  <c r="Y442" i="3"/>
  <c r="Z442" i="3"/>
  <c r="X442" i="3"/>
  <c r="BA440" i="3"/>
  <c r="BD439" i="3"/>
  <c r="AY441" i="3"/>
  <c r="BN443" i="3"/>
  <c r="BC440" i="3"/>
  <c r="BG440" i="3"/>
  <c r="BH440" i="3"/>
  <c r="BI440" i="3"/>
  <c r="AX442" i="3"/>
  <c r="AO443" i="3"/>
  <c r="BA441" i="3"/>
  <c r="BQ441" i="3"/>
  <c r="AG443" i="3"/>
  <c r="AT442" i="3"/>
  <c r="AW442" i="3"/>
  <c r="AU442" i="3"/>
  <c r="BM443" i="3"/>
  <c r="AN443" i="3"/>
  <c r="AV441" i="3"/>
  <c r="BQ440" i="3"/>
  <c r="BF440" i="3"/>
  <c r="BJ439" i="3"/>
  <c r="BK439" i="3"/>
  <c r="BB440" i="3"/>
  <c r="AQ444" i="3"/>
  <c r="AR444" i="3"/>
  <c r="B444" i="3"/>
  <c r="A445" i="3"/>
  <c r="D444" i="3"/>
  <c r="C444" i="3"/>
  <c r="AK444" i="3"/>
  <c r="AM444" i="3"/>
  <c r="T444" i="3"/>
  <c r="S444" i="3"/>
  <c r="Q444" i="3"/>
  <c r="AD444" i="3"/>
  <c r="P444" i="3"/>
  <c r="M444" i="3"/>
  <c r="AE444" i="3"/>
  <c r="AF444" i="3"/>
  <c r="V444" i="3"/>
  <c r="O444" i="3"/>
  <c r="U444" i="3"/>
  <c r="F444" i="3"/>
  <c r="G444" i="3"/>
  <c r="H444" i="3"/>
  <c r="R444" i="3"/>
  <c r="Y443" i="3"/>
  <c r="Z443" i="3"/>
  <c r="AH443" i="3"/>
  <c r="X443" i="3"/>
  <c r="BN444" i="3"/>
  <c r="BC441" i="3"/>
  <c r="BG441" i="3"/>
  <c r="BH441" i="3"/>
  <c r="BI441" i="3"/>
  <c r="BM444" i="3"/>
  <c r="BD440" i="3"/>
  <c r="AY442" i="3"/>
  <c r="AX443" i="3"/>
  <c r="BF441" i="3"/>
  <c r="BJ440" i="3"/>
  <c r="BK440" i="3"/>
  <c r="AH444" i="3"/>
  <c r="BB441" i="3"/>
  <c r="AN444" i="3"/>
  <c r="AO444" i="3"/>
  <c r="Y444" i="3"/>
  <c r="Z444" i="3"/>
  <c r="AG444" i="3"/>
  <c r="AU443" i="3"/>
  <c r="AW443" i="3"/>
  <c r="A446" i="3"/>
  <c r="AQ445" i="3"/>
  <c r="B445" i="3"/>
  <c r="AR445" i="3"/>
  <c r="C445" i="3"/>
  <c r="AK445" i="3"/>
  <c r="AM445" i="3"/>
  <c r="S445" i="3"/>
  <c r="D445" i="3"/>
  <c r="R445" i="3"/>
  <c r="Q445" i="3"/>
  <c r="P445" i="3"/>
  <c r="AD445" i="3"/>
  <c r="O445" i="3"/>
  <c r="M445" i="3"/>
  <c r="AE445" i="3"/>
  <c r="U445" i="3"/>
  <c r="AF445" i="3"/>
  <c r="V445" i="3"/>
  <c r="G445" i="3"/>
  <c r="H445" i="3"/>
  <c r="F445" i="3"/>
  <c r="T445" i="3"/>
  <c r="BA442" i="3"/>
  <c r="AV442" i="3"/>
  <c r="X444" i="3"/>
  <c r="AT443" i="3"/>
  <c r="BM445" i="3"/>
  <c r="BD441" i="3"/>
  <c r="BC442" i="3"/>
  <c r="BG442" i="3"/>
  <c r="BH442" i="3"/>
  <c r="BI442" i="3"/>
  <c r="AT444" i="3"/>
  <c r="BN445" i="3"/>
  <c r="AY443" i="3"/>
  <c r="AO445" i="3"/>
  <c r="AW444" i="3"/>
  <c r="AN445" i="3"/>
  <c r="Y445" i="3"/>
  <c r="Z445" i="3"/>
  <c r="BA443" i="3"/>
  <c r="BB443" i="3"/>
  <c r="AG445" i="3"/>
  <c r="AU444" i="3"/>
  <c r="AX444" i="3"/>
  <c r="BB442" i="3"/>
  <c r="BF442" i="3"/>
  <c r="BJ441" i="3"/>
  <c r="BK441" i="3"/>
  <c r="BQ442" i="3"/>
  <c r="B446" i="3"/>
  <c r="A447" i="3"/>
  <c r="AQ446" i="3"/>
  <c r="AR446" i="3"/>
  <c r="C446" i="3"/>
  <c r="D446" i="3"/>
  <c r="S446" i="3"/>
  <c r="R446" i="3"/>
  <c r="AM446" i="3"/>
  <c r="AK446" i="3"/>
  <c r="P446" i="3"/>
  <c r="Q446" i="3"/>
  <c r="AD446" i="3"/>
  <c r="AE446" i="3"/>
  <c r="O446" i="3"/>
  <c r="AF446" i="3"/>
  <c r="M446" i="3"/>
  <c r="V446" i="3"/>
  <c r="U446" i="3"/>
  <c r="G446" i="3"/>
  <c r="H446" i="3"/>
  <c r="F446" i="3"/>
  <c r="T446" i="3"/>
  <c r="AH445" i="3"/>
  <c r="X445" i="3"/>
  <c r="AV443" i="3"/>
  <c r="BM446" i="3"/>
  <c r="BD442" i="3"/>
  <c r="BC443" i="3"/>
  <c r="BD443" i="3"/>
  <c r="BN446" i="3"/>
  <c r="AV444" i="3"/>
  <c r="AY444" i="3"/>
  <c r="BF443" i="3"/>
  <c r="BJ442" i="3"/>
  <c r="BK442" i="3"/>
  <c r="AX445" i="3"/>
  <c r="AO446" i="3"/>
  <c r="BQ443" i="3"/>
  <c r="BA444" i="3"/>
  <c r="BQ444" i="3"/>
  <c r="AH446" i="3"/>
  <c r="Y446" i="3"/>
  <c r="Z446" i="3"/>
  <c r="B447" i="3"/>
  <c r="AQ447" i="3"/>
  <c r="AR447" i="3"/>
  <c r="A448" i="3"/>
  <c r="C447" i="3"/>
  <c r="D447" i="3"/>
  <c r="S447" i="3"/>
  <c r="Q447" i="3"/>
  <c r="AM447" i="3"/>
  <c r="AK447" i="3"/>
  <c r="AD447" i="3"/>
  <c r="P447" i="3"/>
  <c r="O447" i="3"/>
  <c r="AE447" i="3"/>
  <c r="U447" i="3"/>
  <c r="M447" i="3"/>
  <c r="AF447" i="3"/>
  <c r="V447" i="3"/>
  <c r="F447" i="3"/>
  <c r="R447" i="3"/>
  <c r="G447" i="3"/>
  <c r="H447" i="3"/>
  <c r="T447" i="3"/>
  <c r="AG446" i="3"/>
  <c r="AU445" i="3"/>
  <c r="AW445" i="3"/>
  <c r="AN446" i="3"/>
  <c r="X446" i="3"/>
  <c r="AT445" i="3"/>
  <c r="BG443" i="3"/>
  <c r="BH443" i="3"/>
  <c r="BI443" i="3"/>
  <c r="BM447" i="3"/>
  <c r="AU446" i="3"/>
  <c r="AX446" i="3"/>
  <c r="BC444" i="3"/>
  <c r="BD444" i="3"/>
  <c r="AO447" i="3"/>
  <c r="AY445" i="3"/>
  <c r="BB444" i="3"/>
  <c r="AT446" i="3"/>
  <c r="AG447" i="3"/>
  <c r="BF444" i="3"/>
  <c r="BJ443" i="3"/>
  <c r="BK443" i="3"/>
  <c r="Y447" i="3"/>
  <c r="Z447" i="3"/>
  <c r="AV445" i="3"/>
  <c r="BA445" i="3"/>
  <c r="AW446" i="3"/>
  <c r="BN447" i="3"/>
  <c r="AH447" i="3"/>
  <c r="AN447" i="3"/>
  <c r="X447" i="3"/>
  <c r="AR448" i="3"/>
  <c r="B448" i="3"/>
  <c r="AQ448" i="3"/>
  <c r="A449" i="3"/>
  <c r="AM448" i="3"/>
  <c r="AK448" i="3"/>
  <c r="S448" i="3"/>
  <c r="D448" i="3"/>
  <c r="C448" i="3"/>
  <c r="Q448" i="3"/>
  <c r="R448" i="3"/>
  <c r="AD448" i="3"/>
  <c r="P448" i="3"/>
  <c r="V448" i="3"/>
  <c r="U448" i="3"/>
  <c r="O448" i="3"/>
  <c r="AE448" i="3"/>
  <c r="AF448" i="3"/>
  <c r="M448" i="3"/>
  <c r="G448" i="3"/>
  <c r="H448" i="3"/>
  <c r="BN448" i="3"/>
  <c r="F448" i="3"/>
  <c r="BM448" i="3"/>
  <c r="T448" i="3"/>
  <c r="AV446" i="3"/>
  <c r="AT447" i="3"/>
  <c r="AY446" i="3"/>
  <c r="BC445" i="3"/>
  <c r="BG445" i="3"/>
  <c r="BH445" i="3"/>
  <c r="BI445" i="3"/>
  <c r="BG444" i="3"/>
  <c r="BH444" i="3"/>
  <c r="BI444" i="3"/>
  <c r="AO448" i="3"/>
  <c r="AW447" i="3"/>
  <c r="AU447" i="3"/>
  <c r="Y448" i="3"/>
  <c r="Z448" i="3"/>
  <c r="AH448" i="3"/>
  <c r="AG448" i="3"/>
  <c r="X448" i="3"/>
  <c r="AN448" i="3"/>
  <c r="AX447" i="3"/>
  <c r="BA446" i="3"/>
  <c r="AQ449" i="3"/>
  <c r="B449" i="3"/>
  <c r="A450" i="3"/>
  <c r="AR449" i="3"/>
  <c r="C449" i="3"/>
  <c r="AK449" i="3"/>
  <c r="T449" i="3"/>
  <c r="Q449" i="3"/>
  <c r="D449" i="3"/>
  <c r="AM449" i="3"/>
  <c r="R449" i="3"/>
  <c r="S449" i="3"/>
  <c r="AD449" i="3"/>
  <c r="P449" i="3"/>
  <c r="AE449" i="3"/>
  <c r="M449" i="3"/>
  <c r="AF449" i="3"/>
  <c r="U449" i="3"/>
  <c r="O449" i="3"/>
  <c r="V449" i="3"/>
  <c r="G449" i="3"/>
  <c r="H449" i="3"/>
  <c r="F449" i="3"/>
  <c r="BB445" i="3"/>
  <c r="BF445" i="3"/>
  <c r="BJ444" i="3"/>
  <c r="BK444" i="3"/>
  <c r="BQ445" i="3"/>
  <c r="BN449" i="3"/>
  <c r="AV447" i="3"/>
  <c r="BC446" i="3"/>
  <c r="BD446" i="3"/>
  <c r="BD445" i="3"/>
  <c r="AU448" i="3"/>
  <c r="AX448" i="3"/>
  <c r="AN449" i="3"/>
  <c r="BM449" i="3"/>
  <c r="AH449" i="3"/>
  <c r="AT448" i="3"/>
  <c r="BA447" i="3"/>
  <c r="BB447" i="3"/>
  <c r="AY447" i="3"/>
  <c r="Y449" i="3"/>
  <c r="Z449" i="3"/>
  <c r="AQ450" i="3"/>
  <c r="B450" i="3"/>
  <c r="A451" i="3"/>
  <c r="AR450" i="3"/>
  <c r="C450" i="3"/>
  <c r="D450" i="3"/>
  <c r="S450" i="3"/>
  <c r="AM450" i="3"/>
  <c r="AK450" i="3"/>
  <c r="Q450" i="3"/>
  <c r="R450" i="3"/>
  <c r="AD450" i="3"/>
  <c r="P450" i="3"/>
  <c r="M450" i="3"/>
  <c r="O450" i="3"/>
  <c r="AF450" i="3"/>
  <c r="AE450" i="3"/>
  <c r="U450" i="3"/>
  <c r="V450" i="3"/>
  <c r="F450" i="3"/>
  <c r="G450" i="3"/>
  <c r="H450" i="3"/>
  <c r="T450" i="3"/>
  <c r="AG449" i="3"/>
  <c r="X449" i="3"/>
  <c r="BQ446" i="3"/>
  <c r="BF446" i="3"/>
  <c r="BJ445" i="3"/>
  <c r="BK445" i="3"/>
  <c r="BB446" i="3"/>
  <c r="AO449" i="3"/>
  <c r="AW448" i="3"/>
  <c r="BC447" i="3"/>
  <c r="BD447" i="3"/>
  <c r="AT449" i="3"/>
  <c r="BG446" i="3"/>
  <c r="BH446" i="3"/>
  <c r="BI446" i="3"/>
  <c r="AV448" i="3"/>
  <c r="AY448" i="3"/>
  <c r="BN450" i="3"/>
  <c r="BF447" i="3"/>
  <c r="BJ446" i="3"/>
  <c r="BK446" i="3"/>
  <c r="BQ447" i="3"/>
  <c r="AX449" i="3"/>
  <c r="AO450" i="3"/>
  <c r="AU449" i="3"/>
  <c r="AG450" i="3"/>
  <c r="BA448" i="3"/>
  <c r="BB448" i="3"/>
  <c r="AW449" i="3"/>
  <c r="Y450" i="3"/>
  <c r="Z450" i="3"/>
  <c r="BM450" i="3"/>
  <c r="AH450" i="3"/>
  <c r="AN450" i="3"/>
  <c r="AR451" i="3"/>
  <c r="B451" i="3"/>
  <c r="AQ451" i="3"/>
  <c r="A452" i="3"/>
  <c r="D451" i="3"/>
  <c r="C451" i="3"/>
  <c r="AK451" i="3"/>
  <c r="AM451" i="3"/>
  <c r="S451" i="3"/>
  <c r="Q451" i="3"/>
  <c r="R451" i="3"/>
  <c r="T451" i="3"/>
  <c r="AD451" i="3"/>
  <c r="P451" i="3"/>
  <c r="O451" i="3"/>
  <c r="AE451" i="3"/>
  <c r="AF451" i="3"/>
  <c r="V451" i="3"/>
  <c r="U451" i="3"/>
  <c r="M451" i="3"/>
  <c r="F451" i="3"/>
  <c r="G451" i="3"/>
  <c r="H451" i="3"/>
  <c r="X450" i="3"/>
  <c r="BG447" i="3"/>
  <c r="BH447" i="3"/>
  <c r="BI447" i="3"/>
  <c r="AV449" i="3"/>
  <c r="BC448" i="3"/>
  <c r="BG448" i="3"/>
  <c r="BH448" i="3"/>
  <c r="BI448" i="3"/>
  <c r="BF448" i="3"/>
  <c r="BJ447" i="3"/>
  <c r="BK447" i="3"/>
  <c r="BM451" i="3"/>
  <c r="AO451" i="3"/>
  <c r="BQ448" i="3"/>
  <c r="AT450" i="3"/>
  <c r="AY449" i="3"/>
  <c r="AU450" i="3"/>
  <c r="AW450" i="3"/>
  <c r="Y451" i="3"/>
  <c r="Z451" i="3"/>
  <c r="AQ452" i="3"/>
  <c r="AR452" i="3"/>
  <c r="B452" i="3"/>
  <c r="A453" i="3"/>
  <c r="D452" i="3"/>
  <c r="C452" i="3"/>
  <c r="AM452" i="3"/>
  <c r="AK452" i="3"/>
  <c r="Q452" i="3"/>
  <c r="R452" i="3"/>
  <c r="T452" i="3"/>
  <c r="S452" i="3"/>
  <c r="AD452" i="3"/>
  <c r="P452" i="3"/>
  <c r="O452" i="3"/>
  <c r="AE452" i="3"/>
  <c r="M452" i="3"/>
  <c r="AF452" i="3"/>
  <c r="U452" i="3"/>
  <c r="V452" i="3"/>
  <c r="G452" i="3"/>
  <c r="H452" i="3"/>
  <c r="F452" i="3"/>
  <c r="AH451" i="3"/>
  <c r="BN451" i="3"/>
  <c r="AG451" i="3"/>
  <c r="AN451" i="3"/>
  <c r="X451" i="3"/>
  <c r="AX450" i="3"/>
  <c r="BA449" i="3"/>
  <c r="BM452" i="3"/>
  <c r="BN452" i="3"/>
  <c r="BC449" i="3"/>
  <c r="BG449" i="3"/>
  <c r="BH449" i="3"/>
  <c r="BI449" i="3"/>
  <c r="BD448" i="3"/>
  <c r="AV450" i="3"/>
  <c r="AO452" i="3"/>
  <c r="BA450" i="3"/>
  <c r="BQ450" i="3"/>
  <c r="AG452" i="3"/>
  <c r="AU451" i="3"/>
  <c r="A454" i="3"/>
  <c r="AQ453" i="3"/>
  <c r="B453" i="3"/>
  <c r="AR453" i="3"/>
  <c r="C453" i="3"/>
  <c r="S453" i="3"/>
  <c r="R453" i="3"/>
  <c r="D453" i="3"/>
  <c r="AK453" i="3"/>
  <c r="AM453" i="3"/>
  <c r="AD453" i="3"/>
  <c r="Q453" i="3"/>
  <c r="P453" i="3"/>
  <c r="AE453" i="3"/>
  <c r="O453" i="3"/>
  <c r="M453" i="3"/>
  <c r="AF453" i="3"/>
  <c r="U453" i="3"/>
  <c r="V453" i="3"/>
  <c r="F453" i="3"/>
  <c r="G453" i="3"/>
  <c r="H453" i="3"/>
  <c r="T453" i="3"/>
  <c r="Y452" i="3"/>
  <c r="Z452" i="3"/>
  <c r="AH452" i="3"/>
  <c r="AY450" i="3"/>
  <c r="AN452" i="3"/>
  <c r="BF449" i="3"/>
  <c r="BJ448" i="3"/>
  <c r="BK448" i="3"/>
  <c r="BB449" i="3"/>
  <c r="BQ449" i="3"/>
  <c r="AT451" i="3"/>
  <c r="AW451" i="3"/>
  <c r="AX451" i="3"/>
  <c r="X452" i="3"/>
  <c r="BD449" i="3"/>
  <c r="BC450" i="3"/>
  <c r="BD450" i="3"/>
  <c r="BN453" i="3"/>
  <c r="BM453" i="3"/>
  <c r="BF450" i="3"/>
  <c r="BJ449" i="3"/>
  <c r="BK449" i="3"/>
  <c r="BB450" i="3"/>
  <c r="AX452" i="3"/>
  <c r="AU452" i="3"/>
  <c r="AO453" i="3"/>
  <c r="AT452" i="3"/>
  <c r="AW452" i="3"/>
  <c r="AY451" i="3"/>
  <c r="AV451" i="3"/>
  <c r="BA451" i="3"/>
  <c r="Y453" i="3"/>
  <c r="Z453" i="3"/>
  <c r="AG453" i="3"/>
  <c r="AN453" i="3"/>
  <c r="B454" i="3"/>
  <c r="A455" i="3"/>
  <c r="AQ454" i="3"/>
  <c r="AR454" i="3"/>
  <c r="C454" i="3"/>
  <c r="D454" i="3"/>
  <c r="AK454" i="3"/>
  <c r="T454" i="3"/>
  <c r="AM454" i="3"/>
  <c r="S454" i="3"/>
  <c r="R454" i="3"/>
  <c r="Q454" i="3"/>
  <c r="AD454" i="3"/>
  <c r="P454" i="3"/>
  <c r="M454" i="3"/>
  <c r="AE454" i="3"/>
  <c r="O454" i="3"/>
  <c r="AF454" i="3"/>
  <c r="U454" i="3"/>
  <c r="V454" i="3"/>
  <c r="F454" i="3"/>
  <c r="G454" i="3"/>
  <c r="H454" i="3"/>
  <c r="AH453" i="3"/>
  <c r="X453" i="3"/>
  <c r="BN454" i="3"/>
  <c r="BM454" i="3"/>
  <c r="AV452" i="3"/>
  <c r="AY452" i="3"/>
  <c r="BG450" i="3"/>
  <c r="BH450" i="3"/>
  <c r="BI450" i="3"/>
  <c r="BA452" i="3"/>
  <c r="BF452" i="3"/>
  <c r="AN454" i="3"/>
  <c r="BC451" i="3"/>
  <c r="BG451" i="3"/>
  <c r="BH451" i="3"/>
  <c r="BI451" i="3"/>
  <c r="AU453" i="3"/>
  <c r="AX453" i="3"/>
  <c r="AH454" i="3"/>
  <c r="AO454" i="3"/>
  <c r="X454" i="3"/>
  <c r="AW453" i="3"/>
  <c r="Y454" i="3"/>
  <c r="Z454" i="3"/>
  <c r="B455" i="3"/>
  <c r="AQ455" i="3"/>
  <c r="AR455" i="3"/>
  <c r="A456" i="3"/>
  <c r="AK455" i="3"/>
  <c r="S455" i="3"/>
  <c r="D455" i="3"/>
  <c r="C455" i="3"/>
  <c r="AM455" i="3"/>
  <c r="R455" i="3"/>
  <c r="AD455" i="3"/>
  <c r="P455" i="3"/>
  <c r="O455" i="3"/>
  <c r="AE455" i="3"/>
  <c r="V455" i="3"/>
  <c r="AF455" i="3"/>
  <c r="M455" i="3"/>
  <c r="U455" i="3"/>
  <c r="Q455" i="3"/>
  <c r="G455" i="3"/>
  <c r="H455" i="3"/>
  <c r="F455" i="3"/>
  <c r="T455" i="3"/>
  <c r="BB451" i="3"/>
  <c r="BQ451" i="3"/>
  <c r="BF451" i="3"/>
  <c r="BJ450" i="3"/>
  <c r="BK450" i="3"/>
  <c r="AG454" i="3"/>
  <c r="AT453" i="3"/>
  <c r="BC452" i="3"/>
  <c r="BD452" i="3"/>
  <c r="AN455" i="3"/>
  <c r="BM455" i="3"/>
  <c r="BN455" i="3"/>
  <c r="BB452" i="3"/>
  <c r="BQ452" i="3"/>
  <c r="BD451" i="3"/>
  <c r="AW454" i="3"/>
  <c r="AH455" i="3"/>
  <c r="BA453" i="3"/>
  <c r="AV453" i="3"/>
  <c r="AR456" i="3"/>
  <c r="B456" i="3"/>
  <c r="AQ456" i="3"/>
  <c r="A457" i="3"/>
  <c r="C456" i="3"/>
  <c r="D456" i="3"/>
  <c r="AK456" i="3"/>
  <c r="S456" i="3"/>
  <c r="R456" i="3"/>
  <c r="AM456" i="3"/>
  <c r="Q456" i="3"/>
  <c r="AD456" i="3"/>
  <c r="P456" i="3"/>
  <c r="O456" i="3"/>
  <c r="M456" i="3"/>
  <c r="V456" i="3"/>
  <c r="AE456" i="3"/>
  <c r="AF456" i="3"/>
  <c r="U456" i="3"/>
  <c r="G456" i="3"/>
  <c r="H456" i="3"/>
  <c r="F456" i="3"/>
  <c r="T456" i="3"/>
  <c r="AT454" i="3"/>
  <c r="BJ451" i="3"/>
  <c r="BK451" i="3"/>
  <c r="Y455" i="3"/>
  <c r="Z455" i="3"/>
  <c r="AG455" i="3"/>
  <c r="X455" i="3"/>
  <c r="AX454" i="3"/>
  <c r="AO455" i="3"/>
  <c r="AU454" i="3"/>
  <c r="AY453" i="3"/>
  <c r="BM456" i="3"/>
  <c r="AU455" i="3"/>
  <c r="BN456" i="3"/>
  <c r="BG452" i="3"/>
  <c r="BH452" i="3"/>
  <c r="BI452" i="3"/>
  <c r="AO456" i="3"/>
  <c r="AY454" i="3"/>
  <c r="Y456" i="3"/>
  <c r="Z456" i="3"/>
  <c r="AT455" i="3"/>
  <c r="AX455" i="3"/>
  <c r="AG456" i="3"/>
  <c r="BQ453" i="3"/>
  <c r="BB453" i="3"/>
  <c r="BF453" i="3"/>
  <c r="BJ452" i="3"/>
  <c r="BK452" i="3"/>
  <c r="AV454" i="3"/>
  <c r="X456" i="3"/>
  <c r="AQ457" i="3"/>
  <c r="B457" i="3"/>
  <c r="A458" i="3"/>
  <c r="AR457" i="3"/>
  <c r="D457" i="3"/>
  <c r="AK457" i="3"/>
  <c r="C457" i="3"/>
  <c r="AM457" i="3"/>
  <c r="S457" i="3"/>
  <c r="Q457" i="3"/>
  <c r="R457" i="3"/>
  <c r="AD457" i="3"/>
  <c r="P457" i="3"/>
  <c r="O457" i="3"/>
  <c r="AE457" i="3"/>
  <c r="AF457" i="3"/>
  <c r="M457" i="3"/>
  <c r="V457" i="3"/>
  <c r="U457" i="3"/>
  <c r="F457" i="3"/>
  <c r="G457" i="3"/>
  <c r="H457" i="3"/>
  <c r="T457" i="3"/>
  <c r="BA454" i="3"/>
  <c r="AW455" i="3"/>
  <c r="AH456" i="3"/>
  <c r="AN456" i="3"/>
  <c r="BC453" i="3"/>
  <c r="BN457" i="3"/>
  <c r="AV455" i="3"/>
  <c r="AN457" i="3"/>
  <c r="BM457" i="3"/>
  <c r="BC454" i="3"/>
  <c r="BG454" i="3"/>
  <c r="BH454" i="3"/>
  <c r="BI454" i="3"/>
  <c r="AY455" i="3"/>
  <c r="Y457" i="3"/>
  <c r="Z457" i="3"/>
  <c r="AT456" i="3"/>
  <c r="BD453" i="3"/>
  <c r="BG453" i="3"/>
  <c r="BH453" i="3"/>
  <c r="BI453" i="3"/>
  <c r="AH457" i="3"/>
  <c r="AO457" i="3"/>
  <c r="BA455" i="3"/>
  <c r="BF454" i="3"/>
  <c r="BJ453" i="3"/>
  <c r="BK453" i="3"/>
  <c r="BQ454" i="3"/>
  <c r="BB454" i="3"/>
  <c r="AQ458" i="3"/>
  <c r="B458" i="3"/>
  <c r="A459" i="3"/>
  <c r="AR458" i="3"/>
  <c r="C458" i="3"/>
  <c r="D458" i="3"/>
  <c r="S458" i="3"/>
  <c r="R458" i="3"/>
  <c r="AK458" i="3"/>
  <c r="AM458" i="3"/>
  <c r="Q458" i="3"/>
  <c r="AD458" i="3"/>
  <c r="P458" i="3"/>
  <c r="M458" i="3"/>
  <c r="AE458" i="3"/>
  <c r="V458" i="3"/>
  <c r="O458" i="3"/>
  <c r="AF458" i="3"/>
  <c r="U458" i="3"/>
  <c r="G458" i="3"/>
  <c r="H458" i="3"/>
  <c r="F458" i="3"/>
  <c r="T458" i="3"/>
  <c r="AX456" i="3"/>
  <c r="AG457" i="3"/>
  <c r="X457" i="3"/>
  <c r="AU456" i="3"/>
  <c r="AW456" i="3"/>
  <c r="BM458" i="3"/>
  <c r="BC455" i="3"/>
  <c r="BG455" i="3"/>
  <c r="BH455" i="3"/>
  <c r="BI455" i="3"/>
  <c r="BN458" i="3"/>
  <c r="BD454" i="3"/>
  <c r="AO458" i="3"/>
  <c r="AG458" i="3"/>
  <c r="AU457" i="3"/>
  <c r="AY456" i="3"/>
  <c r="AW457" i="3"/>
  <c r="BA456" i="3"/>
  <c r="BF456" i="3"/>
  <c r="AR459" i="3"/>
  <c r="B459" i="3"/>
  <c r="AQ459" i="3"/>
  <c r="A460" i="3"/>
  <c r="D459" i="3"/>
  <c r="C459" i="3"/>
  <c r="AM459" i="3"/>
  <c r="AK459" i="3"/>
  <c r="T459" i="3"/>
  <c r="R459" i="3"/>
  <c r="S459" i="3"/>
  <c r="Q459" i="3"/>
  <c r="AD459" i="3"/>
  <c r="O459" i="3"/>
  <c r="AE459" i="3"/>
  <c r="V459" i="3"/>
  <c r="P459" i="3"/>
  <c r="M459" i="3"/>
  <c r="AF459" i="3"/>
  <c r="U459" i="3"/>
  <c r="G459" i="3"/>
  <c r="H459" i="3"/>
  <c r="F459" i="3"/>
  <c r="Y458" i="3"/>
  <c r="Z458" i="3"/>
  <c r="AH458" i="3"/>
  <c r="AN458" i="3"/>
  <c r="AT457" i="3"/>
  <c r="AX457" i="3"/>
  <c r="AV456" i="3"/>
  <c r="BB455" i="3"/>
  <c r="BF455" i="3"/>
  <c r="BJ454" i="3"/>
  <c r="BK454" i="3"/>
  <c r="BQ455" i="3"/>
  <c r="X458" i="3"/>
  <c r="BD455" i="3"/>
  <c r="BN459" i="3"/>
  <c r="BM459" i="3"/>
  <c r="AY457" i="3"/>
  <c r="BC456" i="3"/>
  <c r="BD456" i="3"/>
  <c r="AN459" i="3"/>
  <c r="AH459" i="3"/>
  <c r="AX458" i="3"/>
  <c r="BB456" i="3"/>
  <c r="BQ456" i="3"/>
  <c r="BA457" i="3"/>
  <c r="AV457" i="3"/>
  <c r="Y459" i="3"/>
  <c r="Z459" i="3"/>
  <c r="AQ460" i="3"/>
  <c r="AR460" i="3"/>
  <c r="B460" i="3"/>
  <c r="A461" i="3"/>
  <c r="C460" i="3"/>
  <c r="D460" i="3"/>
  <c r="AM460" i="3"/>
  <c r="AK460" i="3"/>
  <c r="Q460" i="3"/>
  <c r="S460" i="3"/>
  <c r="R460" i="3"/>
  <c r="P460" i="3"/>
  <c r="AD460" i="3"/>
  <c r="O460" i="3"/>
  <c r="AF460" i="3"/>
  <c r="M460" i="3"/>
  <c r="AE460" i="3"/>
  <c r="V460" i="3"/>
  <c r="U460" i="3"/>
  <c r="G460" i="3"/>
  <c r="H460" i="3"/>
  <c r="F460" i="3"/>
  <c r="T460" i="3"/>
  <c r="AU458" i="3"/>
  <c r="AW458" i="3"/>
  <c r="AT458" i="3"/>
  <c r="AO459" i="3"/>
  <c r="X459" i="3"/>
  <c r="BJ455" i="3"/>
  <c r="BK455" i="3"/>
  <c r="AG459" i="3"/>
  <c r="BM460" i="3"/>
  <c r="BN460" i="3"/>
  <c r="BC457" i="3"/>
  <c r="BD457" i="3"/>
  <c r="AG460" i="3"/>
  <c r="BG456" i="3"/>
  <c r="BH456" i="3"/>
  <c r="BI456" i="3"/>
  <c r="AO460" i="3"/>
  <c r="AY458" i="3"/>
  <c r="AW459" i="3"/>
  <c r="AV458" i="3"/>
  <c r="BA458" i="3"/>
  <c r="BF457" i="3"/>
  <c r="BJ456" i="3"/>
  <c r="BK456" i="3"/>
  <c r="BB457" i="3"/>
  <c r="BQ457" i="3"/>
  <c r="Y460" i="3"/>
  <c r="Z460" i="3"/>
  <c r="AU459" i="3"/>
  <c r="AX459" i="3"/>
  <c r="AH460" i="3"/>
  <c r="AN460" i="3"/>
  <c r="X460" i="3"/>
  <c r="A462" i="3"/>
  <c r="AQ461" i="3"/>
  <c r="B461" i="3"/>
  <c r="AR461" i="3"/>
  <c r="C461" i="3"/>
  <c r="Q461" i="3"/>
  <c r="AM461" i="3"/>
  <c r="D461" i="3"/>
  <c r="AK461" i="3"/>
  <c r="T461" i="3"/>
  <c r="R461" i="3"/>
  <c r="AD461" i="3"/>
  <c r="S461" i="3"/>
  <c r="P461" i="3"/>
  <c r="AE461" i="3"/>
  <c r="AF461" i="3"/>
  <c r="V461" i="3"/>
  <c r="U461" i="3"/>
  <c r="O461" i="3"/>
  <c r="M461" i="3"/>
  <c r="G461" i="3"/>
  <c r="H461" i="3"/>
  <c r="F461" i="3"/>
  <c r="AT459" i="3"/>
  <c r="AY459" i="3"/>
  <c r="AO461" i="3"/>
  <c r="BG457" i="3"/>
  <c r="BH457" i="3"/>
  <c r="BI457" i="3"/>
  <c r="AT460" i="3"/>
  <c r="BM461" i="3"/>
  <c r="BC458" i="3"/>
  <c r="BG458" i="3"/>
  <c r="BH458" i="3"/>
  <c r="BI458" i="3"/>
  <c r="BN461" i="3"/>
  <c r="AG461" i="3"/>
  <c r="AX460" i="3"/>
  <c r="B462" i="3"/>
  <c r="A463" i="3"/>
  <c r="AQ462" i="3"/>
  <c r="AR462" i="3"/>
  <c r="D462" i="3"/>
  <c r="AM462" i="3"/>
  <c r="S462" i="3"/>
  <c r="Q462" i="3"/>
  <c r="AK462" i="3"/>
  <c r="C462" i="3"/>
  <c r="R462" i="3"/>
  <c r="T462" i="3"/>
  <c r="AD462" i="3"/>
  <c r="P462" i="3"/>
  <c r="AE462" i="3"/>
  <c r="M462" i="3"/>
  <c r="O462" i="3"/>
  <c r="V462" i="3"/>
  <c r="AF462" i="3"/>
  <c r="U462" i="3"/>
  <c r="F462" i="3"/>
  <c r="G462" i="3"/>
  <c r="H462" i="3"/>
  <c r="AN461" i="3"/>
  <c r="X461" i="3"/>
  <c r="AV459" i="3"/>
  <c r="BA459" i="3"/>
  <c r="Y461" i="3"/>
  <c r="Z461" i="3"/>
  <c r="BQ458" i="3"/>
  <c r="BF458" i="3"/>
  <c r="BJ457" i="3"/>
  <c r="BK457" i="3"/>
  <c r="BB458" i="3"/>
  <c r="AH461" i="3"/>
  <c r="AU460" i="3"/>
  <c r="AW460" i="3"/>
  <c r="BC459" i="3"/>
  <c r="BG459" i="3"/>
  <c r="BH459" i="3"/>
  <c r="BI459" i="3"/>
  <c r="AV460" i="3"/>
  <c r="BD458" i="3"/>
  <c r="AX461" i="3"/>
  <c r="AO462" i="3"/>
  <c r="BM462" i="3"/>
  <c r="AY460" i="3"/>
  <c r="AU461" i="3"/>
  <c r="BF459" i="3"/>
  <c r="BJ458" i="3"/>
  <c r="BK458" i="3"/>
  <c r="BQ459" i="3"/>
  <c r="BB459" i="3"/>
  <c r="B463" i="3"/>
  <c r="AQ463" i="3"/>
  <c r="AR463" i="3"/>
  <c r="A464" i="3"/>
  <c r="C463" i="3"/>
  <c r="D463" i="3"/>
  <c r="AK463" i="3"/>
  <c r="AM463" i="3"/>
  <c r="T463" i="3"/>
  <c r="Q463" i="3"/>
  <c r="S463" i="3"/>
  <c r="R463" i="3"/>
  <c r="AD463" i="3"/>
  <c r="O463" i="3"/>
  <c r="P463" i="3"/>
  <c r="AE463" i="3"/>
  <c r="AF463" i="3"/>
  <c r="U463" i="3"/>
  <c r="V463" i="3"/>
  <c r="M463" i="3"/>
  <c r="G463" i="3"/>
  <c r="H463" i="3"/>
  <c r="F463" i="3"/>
  <c r="AG462" i="3"/>
  <c r="AT461" i="3"/>
  <c r="BN462" i="3"/>
  <c r="X462" i="3"/>
  <c r="AN462" i="3"/>
  <c r="Y462" i="3"/>
  <c r="Z462" i="3"/>
  <c r="BA460" i="3"/>
  <c r="AW461" i="3"/>
  <c r="AH462" i="3"/>
  <c r="BD459" i="3"/>
  <c r="BC460" i="3"/>
  <c r="BD460" i="3"/>
  <c r="AY461" i="3"/>
  <c r="AO463" i="3"/>
  <c r="BN463" i="3"/>
  <c r="AH463" i="3"/>
  <c r="AX462" i="3"/>
  <c r="AV461" i="3"/>
  <c r="Y463" i="3"/>
  <c r="Z463" i="3"/>
  <c r="AR464" i="3"/>
  <c r="B464" i="3"/>
  <c r="AQ464" i="3"/>
  <c r="A465" i="3"/>
  <c r="D464" i="3"/>
  <c r="C464" i="3"/>
  <c r="T464" i="3"/>
  <c r="Q464" i="3"/>
  <c r="AM464" i="3"/>
  <c r="AK464" i="3"/>
  <c r="R464" i="3"/>
  <c r="AD464" i="3"/>
  <c r="S464" i="3"/>
  <c r="O464" i="3"/>
  <c r="AE464" i="3"/>
  <c r="AF464" i="3"/>
  <c r="U464" i="3"/>
  <c r="P464" i="3"/>
  <c r="M464" i="3"/>
  <c r="V464" i="3"/>
  <c r="G464" i="3"/>
  <c r="H464" i="3"/>
  <c r="F464" i="3"/>
  <c r="AU462" i="3"/>
  <c r="AT462" i="3"/>
  <c r="BA461" i="3"/>
  <c r="BM463" i="3"/>
  <c r="AG463" i="3"/>
  <c r="AN463" i="3"/>
  <c r="BQ460" i="3"/>
  <c r="BF460" i="3"/>
  <c r="BJ459" i="3"/>
  <c r="BK459" i="3"/>
  <c r="BB460" i="3"/>
  <c r="AW462" i="3"/>
  <c r="X463" i="3"/>
  <c r="BM464" i="3"/>
  <c r="BN464" i="3"/>
  <c r="BG460" i="3"/>
  <c r="BH460" i="3"/>
  <c r="BI460" i="3"/>
  <c r="BC461" i="3"/>
  <c r="BG461" i="3"/>
  <c r="BH461" i="3"/>
  <c r="BI461" i="3"/>
  <c r="AW463" i="3"/>
  <c r="AN464" i="3"/>
  <c r="AG464" i="3"/>
  <c r="AO464" i="3"/>
  <c r="AU463" i="3"/>
  <c r="BA462" i="3"/>
  <c r="AY462" i="3"/>
  <c r="BB461" i="3"/>
  <c r="BF461" i="3"/>
  <c r="BQ461" i="3"/>
  <c r="Y464" i="3"/>
  <c r="Z464" i="3"/>
  <c r="AQ465" i="3"/>
  <c r="B465" i="3"/>
  <c r="A466" i="3"/>
  <c r="AR465" i="3"/>
  <c r="D465" i="3"/>
  <c r="AK465" i="3"/>
  <c r="R465" i="3"/>
  <c r="C465" i="3"/>
  <c r="AM465" i="3"/>
  <c r="S465" i="3"/>
  <c r="Q465" i="3"/>
  <c r="P465" i="3"/>
  <c r="AD465" i="3"/>
  <c r="O465" i="3"/>
  <c r="AE465" i="3"/>
  <c r="V465" i="3"/>
  <c r="U465" i="3"/>
  <c r="AF465" i="3"/>
  <c r="M465" i="3"/>
  <c r="F465" i="3"/>
  <c r="G465" i="3"/>
  <c r="H465" i="3"/>
  <c r="T465" i="3"/>
  <c r="AT463" i="3"/>
  <c r="AX463" i="3"/>
  <c r="AV462" i="3"/>
  <c r="AH464" i="3"/>
  <c r="X464" i="3"/>
  <c r="BM465" i="3"/>
  <c r="BD461" i="3"/>
  <c r="BN465" i="3"/>
  <c r="AY463" i="3"/>
  <c r="AX464" i="3"/>
  <c r="AG465" i="3"/>
  <c r="AV463" i="3"/>
  <c r="AN465" i="3"/>
  <c r="BC462" i="3"/>
  <c r="BD462" i="3"/>
  <c r="BF462" i="3"/>
  <c r="BJ461" i="3"/>
  <c r="BK461" i="3"/>
  <c r="BB462" i="3"/>
  <c r="BQ462" i="3"/>
  <c r="BA463" i="3"/>
  <c r="AH465" i="3"/>
  <c r="Y465" i="3"/>
  <c r="Z465" i="3"/>
  <c r="X465" i="3"/>
  <c r="AO465" i="3"/>
  <c r="AT464" i="3"/>
  <c r="AW464" i="3"/>
  <c r="AQ466" i="3"/>
  <c r="B466" i="3"/>
  <c r="A467" i="3"/>
  <c r="AR466" i="3"/>
  <c r="D466" i="3"/>
  <c r="C466" i="3"/>
  <c r="AM466" i="3"/>
  <c r="Q466" i="3"/>
  <c r="AK466" i="3"/>
  <c r="S466" i="3"/>
  <c r="T466" i="3"/>
  <c r="AD466" i="3"/>
  <c r="P466" i="3"/>
  <c r="AF466" i="3"/>
  <c r="V466" i="3"/>
  <c r="O466" i="3"/>
  <c r="M466" i="3"/>
  <c r="AE466" i="3"/>
  <c r="U466" i="3"/>
  <c r="R466" i="3"/>
  <c r="G466" i="3"/>
  <c r="H466" i="3"/>
  <c r="F466" i="3"/>
  <c r="BM466" i="3"/>
  <c r="BJ460" i="3"/>
  <c r="BK460" i="3"/>
  <c r="AU464" i="3"/>
  <c r="BN466" i="3"/>
  <c r="BC463" i="3"/>
  <c r="BD463" i="3"/>
  <c r="AY464" i="3"/>
  <c r="AG466" i="3"/>
  <c r="AX465" i="3"/>
  <c r="AU465" i="3"/>
  <c r="AT465" i="3"/>
  <c r="BG462" i="3"/>
  <c r="BH462" i="3"/>
  <c r="BI462" i="3"/>
  <c r="AO466" i="3"/>
  <c r="AN466" i="3"/>
  <c r="Y466" i="3"/>
  <c r="Z466" i="3"/>
  <c r="AR467" i="3"/>
  <c r="B467" i="3"/>
  <c r="AQ467" i="3"/>
  <c r="A468" i="3"/>
  <c r="D467" i="3"/>
  <c r="AM467" i="3"/>
  <c r="S467" i="3"/>
  <c r="C467" i="3"/>
  <c r="AK467" i="3"/>
  <c r="R467" i="3"/>
  <c r="Q467" i="3"/>
  <c r="AD467" i="3"/>
  <c r="P467" i="3"/>
  <c r="M467" i="3"/>
  <c r="AE467" i="3"/>
  <c r="O467" i="3"/>
  <c r="U467" i="3"/>
  <c r="AF467" i="3"/>
  <c r="V467" i="3"/>
  <c r="G467" i="3"/>
  <c r="H467" i="3"/>
  <c r="F467" i="3"/>
  <c r="T467" i="3"/>
  <c r="AV464" i="3"/>
  <c r="BA464" i="3"/>
  <c r="AW465" i="3"/>
  <c r="BF463" i="3"/>
  <c r="BJ462" i="3"/>
  <c r="BK462" i="3"/>
  <c r="BB463" i="3"/>
  <c r="BQ463" i="3"/>
  <c r="AH466" i="3"/>
  <c r="X466" i="3"/>
  <c r="BG463" i="3"/>
  <c r="BH463" i="3"/>
  <c r="BI463" i="3"/>
  <c r="BC464" i="3"/>
  <c r="BD464" i="3"/>
  <c r="BN467" i="3"/>
  <c r="AY465" i="3"/>
  <c r="AV465" i="3"/>
  <c r="AX466" i="3"/>
  <c r="AN467" i="3"/>
  <c r="AW466" i="3"/>
  <c r="AT466" i="3"/>
  <c r="BF464" i="3"/>
  <c r="BJ463" i="3"/>
  <c r="BK463" i="3"/>
  <c r="BQ464" i="3"/>
  <c r="BB464" i="3"/>
  <c r="BA465" i="3"/>
  <c r="Y467" i="3"/>
  <c r="Z467" i="3"/>
  <c r="AU466" i="3"/>
  <c r="BM467" i="3"/>
  <c r="AG467" i="3"/>
  <c r="AO467" i="3"/>
  <c r="AQ468" i="3"/>
  <c r="AR468" i="3"/>
  <c r="B468" i="3"/>
  <c r="A469" i="3"/>
  <c r="D468" i="3"/>
  <c r="AK468" i="3"/>
  <c r="S468" i="3"/>
  <c r="C468" i="3"/>
  <c r="AM468" i="3"/>
  <c r="AD468" i="3"/>
  <c r="P468" i="3"/>
  <c r="Q468" i="3"/>
  <c r="R468" i="3"/>
  <c r="M468" i="3"/>
  <c r="O468" i="3"/>
  <c r="AE468" i="3"/>
  <c r="U468" i="3"/>
  <c r="AF468" i="3"/>
  <c r="V468" i="3"/>
  <c r="F468" i="3"/>
  <c r="BM468" i="3"/>
  <c r="G468" i="3"/>
  <c r="H468" i="3"/>
  <c r="T468" i="3"/>
  <c r="AH467" i="3"/>
  <c r="X467" i="3"/>
  <c r="BN468" i="3"/>
  <c r="BG464" i="3"/>
  <c r="BH464" i="3"/>
  <c r="BI464" i="3"/>
  <c r="AY466" i="3"/>
  <c r="BC465" i="3"/>
  <c r="BD465" i="3"/>
  <c r="AN468" i="3"/>
  <c r="AV466" i="3"/>
  <c r="Y468" i="3"/>
  <c r="Z468" i="3"/>
  <c r="AT467" i="3"/>
  <c r="AX467" i="3"/>
  <c r="BQ465" i="3"/>
  <c r="BB465" i="3"/>
  <c r="BF465" i="3"/>
  <c r="BJ464" i="3"/>
  <c r="BK464" i="3"/>
  <c r="AW467" i="3"/>
  <c r="BA466" i="3"/>
  <c r="A470" i="3"/>
  <c r="AQ469" i="3"/>
  <c r="B469" i="3"/>
  <c r="AR469" i="3"/>
  <c r="C469" i="3"/>
  <c r="D469" i="3"/>
  <c r="AM469" i="3"/>
  <c r="T469" i="3"/>
  <c r="AK469" i="3"/>
  <c r="R469" i="3"/>
  <c r="S469" i="3"/>
  <c r="AD469" i="3"/>
  <c r="AE469" i="3"/>
  <c r="M469" i="3"/>
  <c r="O469" i="3"/>
  <c r="AF469" i="3"/>
  <c r="U469" i="3"/>
  <c r="V469" i="3"/>
  <c r="P469" i="3"/>
  <c r="Q469" i="3"/>
  <c r="G469" i="3"/>
  <c r="H469" i="3"/>
  <c r="F469" i="3"/>
  <c r="AG468" i="3"/>
  <c r="AH468" i="3"/>
  <c r="X468" i="3"/>
  <c r="AO468" i="3"/>
  <c r="AU467" i="3"/>
  <c r="BC466" i="3"/>
  <c r="AO469" i="3"/>
  <c r="BN469" i="3"/>
  <c r="AG469" i="3"/>
  <c r="BG465" i="3"/>
  <c r="BH465" i="3"/>
  <c r="BI465" i="3"/>
  <c r="AY467" i="3"/>
  <c r="AW468" i="3"/>
  <c r="AT468" i="3"/>
  <c r="AX468" i="3"/>
  <c r="Y469" i="3"/>
  <c r="Z469" i="3"/>
  <c r="BF466" i="3"/>
  <c r="BJ465" i="3"/>
  <c r="BK465" i="3"/>
  <c r="BQ466" i="3"/>
  <c r="BB466" i="3"/>
  <c r="BA467" i="3"/>
  <c r="AV467" i="3"/>
  <c r="AN469" i="3"/>
  <c r="BM469" i="3"/>
  <c r="AH469" i="3"/>
  <c r="AU468" i="3"/>
  <c r="B470" i="3"/>
  <c r="A471" i="3"/>
  <c r="AQ470" i="3"/>
  <c r="AR470" i="3"/>
  <c r="D470" i="3"/>
  <c r="C470" i="3"/>
  <c r="AM470" i="3"/>
  <c r="AK470" i="3"/>
  <c r="R470" i="3"/>
  <c r="AD470" i="3"/>
  <c r="P470" i="3"/>
  <c r="S470" i="3"/>
  <c r="Q470" i="3"/>
  <c r="O470" i="3"/>
  <c r="M470" i="3"/>
  <c r="V470" i="3"/>
  <c r="AF470" i="3"/>
  <c r="AE470" i="3"/>
  <c r="G470" i="3"/>
  <c r="H470" i="3"/>
  <c r="U470" i="3"/>
  <c r="F470" i="3"/>
  <c r="T470" i="3"/>
  <c r="X469" i="3"/>
  <c r="BN470" i="3"/>
  <c r="AX469" i="3"/>
  <c r="BG466" i="3"/>
  <c r="BH466" i="3"/>
  <c r="BI466" i="3"/>
  <c r="BD466" i="3"/>
  <c r="AN470" i="3"/>
  <c r="BM470" i="3"/>
  <c r="BC467" i="3"/>
  <c r="BD467" i="3"/>
  <c r="AY468" i="3"/>
  <c r="BB467" i="3"/>
  <c r="BQ467" i="3"/>
  <c r="BF467" i="3"/>
  <c r="BJ466" i="3"/>
  <c r="BK466" i="3"/>
  <c r="B471" i="3"/>
  <c r="AQ471" i="3"/>
  <c r="AR471" i="3"/>
  <c r="A472" i="3"/>
  <c r="C471" i="3"/>
  <c r="AK471" i="3"/>
  <c r="S471" i="3"/>
  <c r="D471" i="3"/>
  <c r="AM471" i="3"/>
  <c r="T471" i="3"/>
  <c r="R471" i="3"/>
  <c r="Q471" i="3"/>
  <c r="AD471" i="3"/>
  <c r="P471" i="3"/>
  <c r="O471" i="3"/>
  <c r="M471" i="3"/>
  <c r="AE471" i="3"/>
  <c r="U471" i="3"/>
  <c r="AF471" i="3"/>
  <c r="V471" i="3"/>
  <c r="F471" i="3"/>
  <c r="G471" i="3"/>
  <c r="H471" i="3"/>
  <c r="AV468" i="3"/>
  <c r="BA468" i="3"/>
  <c r="AU469" i="3"/>
  <c r="Y470" i="3"/>
  <c r="Z470" i="3"/>
  <c r="AG470" i="3"/>
  <c r="AH470" i="3"/>
  <c r="AO470" i="3"/>
  <c r="X470" i="3"/>
  <c r="AT469" i="3"/>
  <c r="AW469" i="3"/>
  <c r="BM471" i="3"/>
  <c r="BN471" i="3"/>
  <c r="BC468" i="3"/>
  <c r="BG468" i="3"/>
  <c r="BH468" i="3"/>
  <c r="BI468" i="3"/>
  <c r="AV469" i="3"/>
  <c r="BG467" i="3"/>
  <c r="BH467" i="3"/>
  <c r="BI467" i="3"/>
  <c r="AG471" i="3"/>
  <c r="AN471" i="3"/>
  <c r="AX470" i="3"/>
  <c r="BA469" i="3"/>
  <c r="AY469" i="3"/>
  <c r="AT470" i="3"/>
  <c r="AW470" i="3"/>
  <c r="BQ468" i="3"/>
  <c r="BF468" i="3"/>
  <c r="BJ467" i="3"/>
  <c r="BK467" i="3"/>
  <c r="BB468" i="3"/>
  <c r="Y471" i="3"/>
  <c r="Z471" i="3"/>
  <c r="AR472" i="3"/>
  <c r="B472" i="3"/>
  <c r="AQ472" i="3"/>
  <c r="A473" i="3"/>
  <c r="D472" i="3"/>
  <c r="C472" i="3"/>
  <c r="S472" i="3"/>
  <c r="AM472" i="3"/>
  <c r="AK472" i="3"/>
  <c r="T472" i="3"/>
  <c r="Q472" i="3"/>
  <c r="R472" i="3"/>
  <c r="P472" i="3"/>
  <c r="AD472" i="3"/>
  <c r="O472" i="3"/>
  <c r="AF472" i="3"/>
  <c r="AE472" i="3"/>
  <c r="M472" i="3"/>
  <c r="U472" i="3"/>
  <c r="V472" i="3"/>
  <c r="G472" i="3"/>
  <c r="H472" i="3"/>
  <c r="F472" i="3"/>
  <c r="AU470" i="3"/>
  <c r="AH471" i="3"/>
  <c r="AO471" i="3"/>
  <c r="X471" i="3"/>
  <c r="BN472" i="3"/>
  <c r="BM472" i="3"/>
  <c r="BD468" i="3"/>
  <c r="BC469" i="3"/>
  <c r="BG469" i="3"/>
  <c r="BH469" i="3"/>
  <c r="BI469" i="3"/>
  <c r="AY470" i="3"/>
  <c r="AO472" i="3"/>
  <c r="AX471" i="3"/>
  <c r="AG472" i="3"/>
  <c r="Y472" i="3"/>
  <c r="Z472" i="3"/>
  <c r="AQ473" i="3"/>
  <c r="B473" i="3"/>
  <c r="A474" i="3"/>
  <c r="AR473" i="3"/>
  <c r="C473" i="3"/>
  <c r="D473" i="3"/>
  <c r="AM473" i="3"/>
  <c r="AK473" i="3"/>
  <c r="T473" i="3"/>
  <c r="S473" i="3"/>
  <c r="AD473" i="3"/>
  <c r="P473" i="3"/>
  <c r="Q473" i="3"/>
  <c r="O473" i="3"/>
  <c r="AE473" i="3"/>
  <c r="M473" i="3"/>
  <c r="V473" i="3"/>
  <c r="AF473" i="3"/>
  <c r="U473" i="3"/>
  <c r="R473" i="3"/>
  <c r="G473" i="3"/>
  <c r="H473" i="3"/>
  <c r="F473" i="3"/>
  <c r="BA470" i="3"/>
  <c r="AV470" i="3"/>
  <c r="BC470" i="3"/>
  <c r="BF469" i="3"/>
  <c r="BJ468" i="3"/>
  <c r="BK468" i="3"/>
  <c r="BQ469" i="3"/>
  <c r="BB469" i="3"/>
  <c r="AW471" i="3"/>
  <c r="AH472" i="3"/>
  <c r="AN472" i="3"/>
  <c r="X472" i="3"/>
  <c r="AT471" i="3"/>
  <c r="AU471" i="3"/>
  <c r="BD469" i="3"/>
  <c r="AU472" i="3"/>
  <c r="AY471" i="3"/>
  <c r="BN473" i="3"/>
  <c r="BM473" i="3"/>
  <c r="AO473" i="3"/>
  <c r="BA471" i="3"/>
  <c r="BF471" i="3"/>
  <c r="BQ470" i="3"/>
  <c r="BB470" i="3"/>
  <c r="BF470" i="3"/>
  <c r="BJ469" i="3"/>
  <c r="BK469" i="3"/>
  <c r="AQ474" i="3"/>
  <c r="B474" i="3"/>
  <c r="A475" i="3"/>
  <c r="AR474" i="3"/>
  <c r="C474" i="3"/>
  <c r="AM474" i="3"/>
  <c r="T474" i="3"/>
  <c r="S474" i="3"/>
  <c r="D474" i="3"/>
  <c r="AK474" i="3"/>
  <c r="Q474" i="3"/>
  <c r="R474" i="3"/>
  <c r="AD474" i="3"/>
  <c r="O474" i="3"/>
  <c r="AE474" i="3"/>
  <c r="M474" i="3"/>
  <c r="AF474" i="3"/>
  <c r="P474" i="3"/>
  <c r="U474" i="3"/>
  <c r="V474" i="3"/>
  <c r="F474" i="3"/>
  <c r="G474" i="3"/>
  <c r="H474" i="3"/>
  <c r="AX472" i="3"/>
  <c r="AT472" i="3"/>
  <c r="AG473" i="3"/>
  <c r="AH473" i="3"/>
  <c r="AN473" i="3"/>
  <c r="X473" i="3"/>
  <c r="BD470" i="3"/>
  <c r="BG470" i="3"/>
  <c r="BH470" i="3"/>
  <c r="BI470" i="3"/>
  <c r="Y473" i="3"/>
  <c r="Z473" i="3"/>
  <c r="AV471" i="3"/>
  <c r="AW472" i="3"/>
  <c r="BM474" i="3"/>
  <c r="AO474" i="3"/>
  <c r="BC471" i="3"/>
  <c r="BD471" i="3"/>
  <c r="BQ471" i="3"/>
  <c r="BN474" i="3"/>
  <c r="BB471" i="3"/>
  <c r="AU473" i="3"/>
  <c r="AT473" i="3"/>
  <c r="BJ470" i="3"/>
  <c r="BK470" i="3"/>
  <c r="AW473" i="3"/>
  <c r="BA472" i="3"/>
  <c r="AV472" i="3"/>
  <c r="AY472" i="3"/>
  <c r="AX473" i="3"/>
  <c r="AN474" i="3"/>
  <c r="Y474" i="3"/>
  <c r="Z474" i="3"/>
  <c r="AR475" i="3"/>
  <c r="B475" i="3"/>
  <c r="AQ475" i="3"/>
  <c r="A476" i="3"/>
  <c r="C475" i="3"/>
  <c r="D475" i="3"/>
  <c r="AK475" i="3"/>
  <c r="AM475" i="3"/>
  <c r="S475" i="3"/>
  <c r="R475" i="3"/>
  <c r="Q475" i="3"/>
  <c r="AD475" i="3"/>
  <c r="P475" i="3"/>
  <c r="O475" i="3"/>
  <c r="AF475" i="3"/>
  <c r="M475" i="3"/>
  <c r="AE475" i="3"/>
  <c r="V475" i="3"/>
  <c r="U475" i="3"/>
  <c r="G475" i="3"/>
  <c r="H475" i="3"/>
  <c r="F475" i="3"/>
  <c r="T475" i="3"/>
  <c r="AG474" i="3"/>
  <c r="AH474" i="3"/>
  <c r="X474" i="3"/>
  <c r="BM475" i="3"/>
  <c r="BN475" i="3"/>
  <c r="BG471" i="3"/>
  <c r="BH471" i="3"/>
  <c r="BI471" i="3"/>
  <c r="AV473" i="3"/>
  <c r="AO475" i="3"/>
  <c r="AW474" i="3"/>
  <c r="AG475" i="3"/>
  <c r="Y475" i="3"/>
  <c r="Z475" i="3"/>
  <c r="BA473" i="3"/>
  <c r="BF473" i="3"/>
  <c r="BF472" i="3"/>
  <c r="BJ471" i="3"/>
  <c r="BK471" i="3"/>
  <c r="BB472" i="3"/>
  <c r="BQ472" i="3"/>
  <c r="X475" i="3"/>
  <c r="AY473" i="3"/>
  <c r="B476" i="3"/>
  <c r="AQ476" i="3"/>
  <c r="AR476" i="3"/>
  <c r="A477" i="3"/>
  <c r="D476" i="3"/>
  <c r="AM476" i="3"/>
  <c r="C476" i="3"/>
  <c r="AK476" i="3"/>
  <c r="T476" i="3"/>
  <c r="S476" i="3"/>
  <c r="AD476" i="3"/>
  <c r="Q476" i="3"/>
  <c r="P476" i="3"/>
  <c r="O476" i="3"/>
  <c r="M476" i="3"/>
  <c r="V476" i="3"/>
  <c r="U476" i="3"/>
  <c r="AE476" i="3"/>
  <c r="AF476" i="3"/>
  <c r="R476" i="3"/>
  <c r="G476" i="3"/>
  <c r="H476" i="3"/>
  <c r="F476" i="3"/>
  <c r="AU474" i="3"/>
  <c r="AX474" i="3"/>
  <c r="AH475" i="3"/>
  <c r="AN475" i="3"/>
  <c r="AT474" i="3"/>
  <c r="BC472" i="3"/>
  <c r="BN476" i="3"/>
  <c r="BC473" i="3"/>
  <c r="BD473" i="3"/>
  <c r="AO476" i="3"/>
  <c r="BM476" i="3"/>
  <c r="BB473" i="3"/>
  <c r="AY474" i="3"/>
  <c r="AW475" i="3"/>
  <c r="BQ473" i="3"/>
  <c r="AV474" i="3"/>
  <c r="BA474" i="3"/>
  <c r="AQ477" i="3"/>
  <c r="B477" i="3"/>
  <c r="A478" i="3"/>
  <c r="AR477" i="3"/>
  <c r="C477" i="3"/>
  <c r="D477" i="3"/>
  <c r="AK477" i="3"/>
  <c r="AM477" i="3"/>
  <c r="S477" i="3"/>
  <c r="Q477" i="3"/>
  <c r="R477" i="3"/>
  <c r="AD477" i="3"/>
  <c r="P477" i="3"/>
  <c r="M477" i="3"/>
  <c r="AE477" i="3"/>
  <c r="AF477" i="3"/>
  <c r="U477" i="3"/>
  <c r="O477" i="3"/>
  <c r="V477" i="3"/>
  <c r="G477" i="3"/>
  <c r="H477" i="3"/>
  <c r="F477" i="3"/>
  <c r="T477" i="3"/>
  <c r="AG476" i="3"/>
  <c r="AN476" i="3"/>
  <c r="AU475" i="3"/>
  <c r="BJ472" i="3"/>
  <c r="BK472" i="3"/>
  <c r="BD472" i="3"/>
  <c r="BG472" i="3"/>
  <c r="BH472" i="3"/>
  <c r="BI472" i="3"/>
  <c r="Y476" i="3"/>
  <c r="Z476" i="3"/>
  <c r="AX475" i="3"/>
  <c r="AH476" i="3"/>
  <c r="X476" i="3"/>
  <c r="AT475" i="3"/>
  <c r="BM477" i="3"/>
  <c r="BN477" i="3"/>
  <c r="BG473" i="3"/>
  <c r="BH473" i="3"/>
  <c r="BI473" i="3"/>
  <c r="AX476" i="3"/>
  <c r="AY475" i="3"/>
  <c r="AN477" i="3"/>
  <c r="BC474" i="3"/>
  <c r="BD474" i="3"/>
  <c r="Y477" i="3"/>
  <c r="Z477" i="3"/>
  <c r="AV475" i="3"/>
  <c r="BA475" i="3"/>
  <c r="AT476" i="3"/>
  <c r="AW476" i="3"/>
  <c r="BF474" i="3"/>
  <c r="BJ473" i="3"/>
  <c r="BK473" i="3"/>
  <c r="BB474" i="3"/>
  <c r="BQ474" i="3"/>
  <c r="B478" i="3"/>
  <c r="A479" i="3"/>
  <c r="AQ478" i="3"/>
  <c r="AR478" i="3"/>
  <c r="C478" i="3"/>
  <c r="D478" i="3"/>
  <c r="S478" i="3"/>
  <c r="R478" i="3"/>
  <c r="AK478" i="3"/>
  <c r="AM478" i="3"/>
  <c r="Q478" i="3"/>
  <c r="AD478" i="3"/>
  <c r="P478" i="3"/>
  <c r="O478" i="3"/>
  <c r="AE478" i="3"/>
  <c r="AF478" i="3"/>
  <c r="M478" i="3"/>
  <c r="V478" i="3"/>
  <c r="U478" i="3"/>
  <c r="G478" i="3"/>
  <c r="H478" i="3"/>
  <c r="F478" i="3"/>
  <c r="T478" i="3"/>
  <c r="AU476" i="3"/>
  <c r="AH477" i="3"/>
  <c r="AG477" i="3"/>
  <c r="AO477" i="3"/>
  <c r="X477" i="3"/>
  <c r="BM478" i="3"/>
  <c r="AY476" i="3"/>
  <c r="BN478" i="3"/>
  <c r="BC475" i="3"/>
  <c r="BD475" i="3"/>
  <c r="AO478" i="3"/>
  <c r="BG474" i="3"/>
  <c r="BH474" i="3"/>
  <c r="BI474" i="3"/>
  <c r="AU477" i="3"/>
  <c r="AG478" i="3"/>
  <c r="BB475" i="3"/>
  <c r="BF475" i="3"/>
  <c r="BJ474" i="3"/>
  <c r="BK474" i="3"/>
  <c r="BQ475" i="3"/>
  <c r="AR479" i="3"/>
  <c r="B479" i="3"/>
  <c r="AQ479" i="3"/>
  <c r="A480" i="3"/>
  <c r="C479" i="3"/>
  <c r="AM479" i="3"/>
  <c r="S479" i="3"/>
  <c r="D479" i="3"/>
  <c r="AK479" i="3"/>
  <c r="Q479" i="3"/>
  <c r="AD479" i="3"/>
  <c r="P479" i="3"/>
  <c r="O479" i="3"/>
  <c r="AF479" i="3"/>
  <c r="M479" i="3"/>
  <c r="AE479" i="3"/>
  <c r="U479" i="3"/>
  <c r="V479" i="3"/>
  <c r="R479" i="3"/>
  <c r="G479" i="3"/>
  <c r="H479" i="3"/>
  <c r="F479" i="3"/>
  <c r="T479" i="3"/>
  <c r="AV476" i="3"/>
  <c r="BA476" i="3"/>
  <c r="X478" i="3"/>
  <c r="AW477" i="3"/>
  <c r="AT477" i="3"/>
  <c r="AX477" i="3"/>
  <c r="Y478" i="3"/>
  <c r="Z478" i="3"/>
  <c r="AH478" i="3"/>
  <c r="AN478" i="3"/>
  <c r="BN479" i="3"/>
  <c r="BM479" i="3"/>
  <c r="BC476" i="3"/>
  <c r="BD476" i="3"/>
  <c r="BG475" i="3"/>
  <c r="BH475" i="3"/>
  <c r="BI475" i="3"/>
  <c r="AO479" i="3"/>
  <c r="AX478" i="3"/>
  <c r="AH479" i="3"/>
  <c r="AV477" i="3"/>
  <c r="BA477" i="3"/>
  <c r="BQ476" i="3"/>
  <c r="BF476" i="3"/>
  <c r="BJ475" i="3"/>
  <c r="BK475" i="3"/>
  <c r="BB476" i="3"/>
  <c r="B480" i="3"/>
  <c r="AQ480" i="3"/>
  <c r="AR480" i="3"/>
  <c r="A481" i="3"/>
  <c r="C480" i="3"/>
  <c r="D480" i="3"/>
  <c r="AK480" i="3"/>
  <c r="Q480" i="3"/>
  <c r="AM480" i="3"/>
  <c r="R480" i="3"/>
  <c r="S480" i="3"/>
  <c r="AD480" i="3"/>
  <c r="P480" i="3"/>
  <c r="O480" i="3"/>
  <c r="AE480" i="3"/>
  <c r="V480" i="3"/>
  <c r="M480" i="3"/>
  <c r="AF480" i="3"/>
  <c r="U480" i="3"/>
  <c r="F480" i="3"/>
  <c r="G480" i="3"/>
  <c r="H480" i="3"/>
  <c r="T480" i="3"/>
  <c r="AT478" i="3"/>
  <c r="Y479" i="3"/>
  <c r="Z479" i="3"/>
  <c r="AG479" i="3"/>
  <c r="AN479" i="3"/>
  <c r="AY477" i="3"/>
  <c r="AU478" i="3"/>
  <c r="AW478" i="3"/>
  <c r="X479" i="3"/>
  <c r="BG476" i="3"/>
  <c r="BH476" i="3"/>
  <c r="BI476" i="3"/>
  <c r="AN480" i="3"/>
  <c r="BN480" i="3"/>
  <c r="AY478" i="3"/>
  <c r="BC477" i="3"/>
  <c r="BD477" i="3"/>
  <c r="AG480" i="3"/>
  <c r="AX479" i="3"/>
  <c r="AU479" i="3"/>
  <c r="AW479" i="3"/>
  <c r="AV478" i="3"/>
  <c r="BA478" i="3"/>
  <c r="AQ481" i="3"/>
  <c r="B481" i="3"/>
  <c r="A482" i="3"/>
  <c r="AR481" i="3"/>
  <c r="D481" i="3"/>
  <c r="AM481" i="3"/>
  <c r="S481" i="3"/>
  <c r="Q481" i="3"/>
  <c r="C481" i="3"/>
  <c r="AK481" i="3"/>
  <c r="R481" i="3"/>
  <c r="T481" i="3"/>
  <c r="AD481" i="3"/>
  <c r="P481" i="3"/>
  <c r="M481" i="3"/>
  <c r="AE481" i="3"/>
  <c r="O481" i="3"/>
  <c r="AF481" i="3"/>
  <c r="V481" i="3"/>
  <c r="U481" i="3"/>
  <c r="G481" i="3"/>
  <c r="H481" i="3"/>
  <c r="F481" i="3"/>
  <c r="AO480" i="3"/>
  <c r="X480" i="3"/>
  <c r="AT479" i="3"/>
  <c r="Y480" i="3"/>
  <c r="Z480" i="3"/>
  <c r="BM480" i="3"/>
  <c r="AH480" i="3"/>
  <c r="BF477" i="3"/>
  <c r="BJ476" i="3"/>
  <c r="BK476" i="3"/>
  <c r="BB477" i="3"/>
  <c r="BQ477" i="3"/>
  <c r="BN481" i="3"/>
  <c r="AO481" i="3"/>
  <c r="AY479" i="3"/>
  <c r="BC478" i="3"/>
  <c r="BG478" i="3"/>
  <c r="BH478" i="3"/>
  <c r="BI478" i="3"/>
  <c r="AU480" i="3"/>
  <c r="BM481" i="3"/>
  <c r="BG477" i="3"/>
  <c r="BH477" i="3"/>
  <c r="BI477" i="3"/>
  <c r="AT480" i="3"/>
  <c r="Y481" i="3"/>
  <c r="Z481" i="3"/>
  <c r="B482" i="3"/>
  <c r="A483" i="3"/>
  <c r="AQ482" i="3"/>
  <c r="AR482" i="3"/>
  <c r="C482" i="3"/>
  <c r="AM482" i="3"/>
  <c r="S482" i="3"/>
  <c r="R482" i="3"/>
  <c r="D482" i="3"/>
  <c r="AK482" i="3"/>
  <c r="Q482" i="3"/>
  <c r="AD482" i="3"/>
  <c r="P482" i="3"/>
  <c r="M482" i="3"/>
  <c r="AF482" i="3"/>
  <c r="O482" i="3"/>
  <c r="AE482" i="3"/>
  <c r="V482" i="3"/>
  <c r="U482" i="3"/>
  <c r="F482" i="3"/>
  <c r="G482" i="3"/>
  <c r="H482" i="3"/>
  <c r="T482" i="3"/>
  <c r="AX480" i="3"/>
  <c r="AW480" i="3"/>
  <c r="AH481" i="3"/>
  <c r="X481" i="3"/>
  <c r="AV479" i="3"/>
  <c r="BA479" i="3"/>
  <c r="BQ478" i="3"/>
  <c r="BF478" i="3"/>
  <c r="BJ477" i="3"/>
  <c r="BK477" i="3"/>
  <c r="BB478" i="3"/>
  <c r="AG481" i="3"/>
  <c r="AN481" i="3"/>
  <c r="BD478" i="3"/>
  <c r="BN482" i="3"/>
  <c r="BC479" i="3"/>
  <c r="BD479" i="3"/>
  <c r="AO482" i="3"/>
  <c r="AV480" i="3"/>
  <c r="BM482" i="3"/>
  <c r="AT481" i="3"/>
  <c r="Y482" i="3"/>
  <c r="Z482" i="3"/>
  <c r="AH482" i="3"/>
  <c r="AY480" i="3"/>
  <c r="AG482" i="3"/>
  <c r="BF479" i="3"/>
  <c r="BJ478" i="3"/>
  <c r="BK478" i="3"/>
  <c r="BB479" i="3"/>
  <c r="BQ479" i="3"/>
  <c r="AW481" i="3"/>
  <c r="AU481" i="3"/>
  <c r="AX481" i="3"/>
  <c r="X482" i="3"/>
  <c r="BA480" i="3"/>
  <c r="AR483" i="3"/>
  <c r="B483" i="3"/>
  <c r="AQ483" i="3"/>
  <c r="A484" i="3"/>
  <c r="C483" i="3"/>
  <c r="AK483" i="3"/>
  <c r="T483" i="3"/>
  <c r="Q483" i="3"/>
  <c r="D483" i="3"/>
  <c r="AM483" i="3"/>
  <c r="R483" i="3"/>
  <c r="AD483" i="3"/>
  <c r="S483" i="3"/>
  <c r="P483" i="3"/>
  <c r="O483" i="3"/>
  <c r="AF483" i="3"/>
  <c r="AE483" i="3"/>
  <c r="V483" i="3"/>
  <c r="M483" i="3"/>
  <c r="U483" i="3"/>
  <c r="G483" i="3"/>
  <c r="H483" i="3"/>
  <c r="F483" i="3"/>
  <c r="AN482" i="3"/>
  <c r="BN483" i="3"/>
  <c r="BG479" i="3"/>
  <c r="BH479" i="3"/>
  <c r="BI479" i="3"/>
  <c r="AU482" i="3"/>
  <c r="AT482" i="3"/>
  <c r="AN483" i="3"/>
  <c r="BC480" i="3"/>
  <c r="BD480" i="3"/>
  <c r="BM483" i="3"/>
  <c r="AW482" i="3"/>
  <c r="AG483" i="3"/>
  <c r="BA481" i="3"/>
  <c r="BQ481" i="3"/>
  <c r="B484" i="3"/>
  <c r="AQ484" i="3"/>
  <c r="AR484" i="3"/>
  <c r="A485" i="3"/>
  <c r="C484" i="3"/>
  <c r="D484" i="3"/>
  <c r="AM484" i="3"/>
  <c r="T484" i="3"/>
  <c r="AK484" i="3"/>
  <c r="S484" i="3"/>
  <c r="R484" i="3"/>
  <c r="Q484" i="3"/>
  <c r="AD484" i="3"/>
  <c r="P484" i="3"/>
  <c r="O484" i="3"/>
  <c r="M484" i="3"/>
  <c r="AE484" i="3"/>
  <c r="V484" i="3"/>
  <c r="AF484" i="3"/>
  <c r="U484" i="3"/>
  <c r="G484" i="3"/>
  <c r="H484" i="3"/>
  <c r="F484" i="3"/>
  <c r="BQ480" i="3"/>
  <c r="BF480" i="3"/>
  <c r="BJ479" i="3"/>
  <c r="BK479" i="3"/>
  <c r="BB480" i="3"/>
  <c r="AH483" i="3"/>
  <c r="AO483" i="3"/>
  <c r="AX482" i="3"/>
  <c r="AV481" i="3"/>
  <c r="Y483" i="3"/>
  <c r="Z483" i="3"/>
  <c r="X483" i="3"/>
  <c r="AY481" i="3"/>
  <c r="AV482" i="3"/>
  <c r="AY482" i="3"/>
  <c r="BG480" i="3"/>
  <c r="BH480" i="3"/>
  <c r="BI480" i="3"/>
  <c r="BN484" i="3"/>
  <c r="BM484" i="3"/>
  <c r="AT483" i="3"/>
  <c r="AW483" i="3"/>
  <c r="AU483" i="3"/>
  <c r="AX483" i="3"/>
  <c r="BC481" i="3"/>
  <c r="BG481" i="3"/>
  <c r="BH481" i="3"/>
  <c r="BI481" i="3"/>
  <c r="BF481" i="3"/>
  <c r="BJ480" i="3"/>
  <c r="BK480" i="3"/>
  <c r="BB481" i="3"/>
  <c r="BA482" i="3"/>
  <c r="BF482" i="3"/>
  <c r="AO484" i="3"/>
  <c r="AN484" i="3"/>
  <c r="AG484" i="3"/>
  <c r="AH484" i="3"/>
  <c r="X484" i="3"/>
  <c r="Y484" i="3"/>
  <c r="Z484" i="3"/>
  <c r="AQ485" i="3"/>
  <c r="B485" i="3"/>
  <c r="A486" i="3"/>
  <c r="AR485" i="3"/>
  <c r="D485" i="3"/>
  <c r="C485" i="3"/>
  <c r="AK485" i="3"/>
  <c r="S485" i="3"/>
  <c r="R485" i="3"/>
  <c r="AM485" i="3"/>
  <c r="Q485" i="3"/>
  <c r="AD485" i="3"/>
  <c r="P485" i="3"/>
  <c r="AE485" i="3"/>
  <c r="M485" i="3"/>
  <c r="U485" i="3"/>
  <c r="O485" i="3"/>
  <c r="AF485" i="3"/>
  <c r="V485" i="3"/>
  <c r="G485" i="3"/>
  <c r="H485" i="3"/>
  <c r="F485" i="3"/>
  <c r="T485" i="3"/>
  <c r="BC482" i="3"/>
  <c r="BG482" i="3"/>
  <c r="BH482" i="3"/>
  <c r="BI482" i="3"/>
  <c r="AY483" i="3"/>
  <c r="BJ481" i="3"/>
  <c r="BK481" i="3"/>
  <c r="BD481" i="3"/>
  <c r="BM485" i="3"/>
  <c r="BA483" i="3"/>
  <c r="BF483" i="3"/>
  <c r="BJ482" i="3"/>
  <c r="BK482" i="3"/>
  <c r="AV483" i="3"/>
  <c r="AO485" i="3"/>
  <c r="AT484" i="3"/>
  <c r="AU484" i="3"/>
  <c r="BQ482" i="3"/>
  <c r="BB482" i="3"/>
  <c r="B486" i="3"/>
  <c r="A487" i="3"/>
  <c r="AQ486" i="3"/>
  <c r="AR486" i="3"/>
  <c r="D486" i="3"/>
  <c r="C486" i="3"/>
  <c r="AM486" i="3"/>
  <c r="AK486" i="3"/>
  <c r="T486" i="3"/>
  <c r="S486" i="3"/>
  <c r="R486" i="3"/>
  <c r="AD486" i="3"/>
  <c r="P486" i="3"/>
  <c r="O486" i="3"/>
  <c r="M486" i="3"/>
  <c r="AE486" i="3"/>
  <c r="U486" i="3"/>
  <c r="AF486" i="3"/>
  <c r="V486" i="3"/>
  <c r="G486" i="3"/>
  <c r="H486" i="3"/>
  <c r="Q486" i="3"/>
  <c r="F486" i="3"/>
  <c r="Y485" i="3"/>
  <c r="Z485" i="3"/>
  <c r="BN485" i="3"/>
  <c r="AG485" i="3"/>
  <c r="AH485" i="3"/>
  <c r="AN485" i="3"/>
  <c r="X485" i="3"/>
  <c r="AX484" i="3"/>
  <c r="AW484" i="3"/>
  <c r="BM486" i="3"/>
  <c r="BC483" i="3"/>
  <c r="BG483" i="3"/>
  <c r="BH483" i="3"/>
  <c r="BI483" i="3"/>
  <c r="BD482" i="3"/>
  <c r="AH486" i="3"/>
  <c r="AO486" i="3"/>
  <c r="BN486" i="3"/>
  <c r="BQ483" i="3"/>
  <c r="BB483" i="3"/>
  <c r="AV484" i="3"/>
  <c r="AY484" i="3"/>
  <c r="AW485" i="3"/>
  <c r="AU485" i="3"/>
  <c r="AT485" i="3"/>
  <c r="AR487" i="3"/>
  <c r="B487" i="3"/>
  <c r="AQ487" i="3"/>
  <c r="A488" i="3"/>
  <c r="D487" i="3"/>
  <c r="AK487" i="3"/>
  <c r="S487" i="3"/>
  <c r="C487" i="3"/>
  <c r="AM487" i="3"/>
  <c r="R487" i="3"/>
  <c r="Q487" i="3"/>
  <c r="P487" i="3"/>
  <c r="AD487" i="3"/>
  <c r="AE487" i="3"/>
  <c r="AF487" i="3"/>
  <c r="V487" i="3"/>
  <c r="O487" i="3"/>
  <c r="M487" i="3"/>
  <c r="U487" i="3"/>
  <c r="G487" i="3"/>
  <c r="H487" i="3"/>
  <c r="F487" i="3"/>
  <c r="T487" i="3"/>
  <c r="AG486" i="3"/>
  <c r="X486" i="3"/>
  <c r="BA484" i="3"/>
  <c r="Y486" i="3"/>
  <c r="Z486" i="3"/>
  <c r="AX485" i="3"/>
  <c r="AN486" i="3"/>
  <c r="AU486" i="3"/>
  <c r="AT486" i="3"/>
  <c r="BD483" i="3"/>
  <c r="BC484" i="3"/>
  <c r="BG484" i="3"/>
  <c r="BH484" i="3"/>
  <c r="BI484" i="3"/>
  <c r="BM487" i="3"/>
  <c r="AY485" i="3"/>
  <c r="AN487" i="3"/>
  <c r="Y487" i="3"/>
  <c r="Z487" i="3"/>
  <c r="BN487" i="3"/>
  <c r="AX486" i="3"/>
  <c r="AV485" i="3"/>
  <c r="BA485" i="3"/>
  <c r="AW486" i="3"/>
  <c r="AH487" i="3"/>
  <c r="BQ484" i="3"/>
  <c r="BB484" i="3"/>
  <c r="BF484" i="3"/>
  <c r="BJ483" i="3"/>
  <c r="BK483" i="3"/>
  <c r="B488" i="3"/>
  <c r="AQ488" i="3"/>
  <c r="AR488" i="3"/>
  <c r="A489" i="3"/>
  <c r="C488" i="3"/>
  <c r="D488" i="3"/>
  <c r="AK488" i="3"/>
  <c r="S488" i="3"/>
  <c r="R488" i="3"/>
  <c r="AM488" i="3"/>
  <c r="Q488" i="3"/>
  <c r="AD488" i="3"/>
  <c r="P488" i="3"/>
  <c r="O488" i="3"/>
  <c r="M488" i="3"/>
  <c r="AF488" i="3"/>
  <c r="U488" i="3"/>
  <c r="V488" i="3"/>
  <c r="AE488" i="3"/>
  <c r="F488" i="3"/>
  <c r="G488" i="3"/>
  <c r="H488" i="3"/>
  <c r="T488" i="3"/>
  <c r="AG487" i="3"/>
  <c r="X487" i="3"/>
  <c r="AO487" i="3"/>
  <c r="BD484" i="3"/>
  <c r="AV486" i="3"/>
  <c r="BC485" i="3"/>
  <c r="BD485" i="3"/>
  <c r="BM488" i="3"/>
  <c r="Y488" i="3"/>
  <c r="Z488" i="3"/>
  <c r="AN488" i="3"/>
  <c r="AY486" i="3"/>
  <c r="AT487" i="3"/>
  <c r="BA486" i="3"/>
  <c r="BB486" i="3"/>
  <c r="BB485" i="3"/>
  <c r="BF485" i="3"/>
  <c r="BJ484" i="3"/>
  <c r="BK484" i="3"/>
  <c r="BQ485" i="3"/>
  <c r="AH488" i="3"/>
  <c r="BN488" i="3"/>
  <c r="AG488" i="3"/>
  <c r="AO488" i="3"/>
  <c r="X488" i="3"/>
  <c r="AQ489" i="3"/>
  <c r="B489" i="3"/>
  <c r="A490" i="3"/>
  <c r="AR489" i="3"/>
  <c r="D489" i="3"/>
  <c r="S489" i="3"/>
  <c r="R489" i="3"/>
  <c r="C489" i="3"/>
  <c r="AM489" i="3"/>
  <c r="AK489" i="3"/>
  <c r="Q489" i="3"/>
  <c r="AD489" i="3"/>
  <c r="P489" i="3"/>
  <c r="AE489" i="3"/>
  <c r="M489" i="3"/>
  <c r="U489" i="3"/>
  <c r="O489" i="3"/>
  <c r="AF489" i="3"/>
  <c r="V489" i="3"/>
  <c r="F489" i="3"/>
  <c r="BM489" i="3"/>
  <c r="G489" i="3"/>
  <c r="H489" i="3"/>
  <c r="T489" i="3"/>
  <c r="AW487" i="3"/>
  <c r="AU487" i="3"/>
  <c r="AX487" i="3"/>
  <c r="BN489" i="3"/>
  <c r="BG485" i="3"/>
  <c r="BH485" i="3"/>
  <c r="BI485" i="3"/>
  <c r="BC486" i="3"/>
  <c r="BD486" i="3"/>
  <c r="AO489" i="3"/>
  <c r="AV487" i="3"/>
  <c r="AH489" i="3"/>
  <c r="AT488" i="3"/>
  <c r="BQ486" i="3"/>
  <c r="BF486" i="3"/>
  <c r="BJ485" i="3"/>
  <c r="BK485" i="3"/>
  <c r="AY487" i="3"/>
  <c r="Y489" i="3"/>
  <c r="Z489" i="3"/>
  <c r="AG489" i="3"/>
  <c r="X489" i="3"/>
  <c r="AX488" i="3"/>
  <c r="BA487" i="3"/>
  <c r="B490" i="3"/>
  <c r="A491" i="3"/>
  <c r="AQ490" i="3"/>
  <c r="AR490" i="3"/>
  <c r="D490" i="3"/>
  <c r="AK490" i="3"/>
  <c r="AM490" i="3"/>
  <c r="R490" i="3"/>
  <c r="C490" i="3"/>
  <c r="Q490" i="3"/>
  <c r="AD490" i="3"/>
  <c r="S490" i="3"/>
  <c r="P490" i="3"/>
  <c r="O490" i="3"/>
  <c r="AE490" i="3"/>
  <c r="AF490" i="3"/>
  <c r="V490" i="3"/>
  <c r="U490" i="3"/>
  <c r="M490" i="3"/>
  <c r="F490" i="3"/>
  <c r="G490" i="3"/>
  <c r="H490" i="3"/>
  <c r="T490" i="3"/>
  <c r="AN489" i="3"/>
  <c r="AW488" i="3"/>
  <c r="AU488" i="3"/>
  <c r="BN490" i="3"/>
  <c r="BG486" i="3"/>
  <c r="BH486" i="3"/>
  <c r="BI486" i="3"/>
  <c r="AU489" i="3"/>
  <c r="BC487" i="3"/>
  <c r="BD487" i="3"/>
  <c r="BM490" i="3"/>
  <c r="AT489" i="3"/>
  <c r="AY488" i="3"/>
  <c r="AO490" i="3"/>
  <c r="AX489" i="3"/>
  <c r="Y490" i="3"/>
  <c r="Z490" i="3"/>
  <c r="BA488" i="3"/>
  <c r="BQ488" i="3"/>
  <c r="AG490" i="3"/>
  <c r="AH490" i="3"/>
  <c r="X490" i="3"/>
  <c r="AN490" i="3"/>
  <c r="AV488" i="3"/>
  <c r="AR491" i="3"/>
  <c r="B491" i="3"/>
  <c r="AQ491" i="3"/>
  <c r="A492" i="3"/>
  <c r="D491" i="3"/>
  <c r="AK491" i="3"/>
  <c r="R491" i="3"/>
  <c r="AM491" i="3"/>
  <c r="C491" i="3"/>
  <c r="T491" i="3"/>
  <c r="S491" i="3"/>
  <c r="Q491" i="3"/>
  <c r="AD491" i="3"/>
  <c r="AE491" i="3"/>
  <c r="P491" i="3"/>
  <c r="O491" i="3"/>
  <c r="V491" i="3"/>
  <c r="M491" i="3"/>
  <c r="AF491" i="3"/>
  <c r="U491" i="3"/>
  <c r="F491" i="3"/>
  <c r="G491" i="3"/>
  <c r="H491" i="3"/>
  <c r="BQ487" i="3"/>
  <c r="BB487" i="3"/>
  <c r="BF487" i="3"/>
  <c r="BJ486" i="3"/>
  <c r="BK486" i="3"/>
  <c r="AW489" i="3"/>
  <c r="BM491" i="3"/>
  <c r="AN491" i="3"/>
  <c r="AV489" i="3"/>
  <c r="BC488" i="3"/>
  <c r="BG488" i="3"/>
  <c r="BH488" i="3"/>
  <c r="BI488" i="3"/>
  <c r="BG487" i="3"/>
  <c r="BH487" i="3"/>
  <c r="BI487" i="3"/>
  <c r="AY489" i="3"/>
  <c r="BN491" i="3"/>
  <c r="AU490" i="3"/>
  <c r="AT490" i="3"/>
  <c r="BB488" i="3"/>
  <c r="BF488" i="3"/>
  <c r="BJ487" i="3"/>
  <c r="BK487" i="3"/>
  <c r="B492" i="3"/>
  <c r="AQ492" i="3"/>
  <c r="AR492" i="3"/>
  <c r="A493" i="3"/>
  <c r="D492" i="3"/>
  <c r="C492" i="3"/>
  <c r="S492" i="3"/>
  <c r="R492" i="3"/>
  <c r="AM492" i="3"/>
  <c r="AK492" i="3"/>
  <c r="Q492" i="3"/>
  <c r="P492" i="3"/>
  <c r="AD492" i="3"/>
  <c r="O492" i="3"/>
  <c r="AE492" i="3"/>
  <c r="M492" i="3"/>
  <c r="U492" i="3"/>
  <c r="AF492" i="3"/>
  <c r="V492" i="3"/>
  <c r="G492" i="3"/>
  <c r="H492" i="3"/>
  <c r="F492" i="3"/>
  <c r="T492" i="3"/>
  <c r="AX490" i="3"/>
  <c r="AW490" i="3"/>
  <c r="AG491" i="3"/>
  <c r="AO491" i="3"/>
  <c r="Y491" i="3"/>
  <c r="Z491" i="3"/>
  <c r="BA489" i="3"/>
  <c r="AH491" i="3"/>
  <c r="X491" i="3"/>
  <c r="BD488" i="3"/>
  <c r="BC489" i="3"/>
  <c r="BG489" i="3"/>
  <c r="BH489" i="3"/>
  <c r="BI489" i="3"/>
  <c r="BN492" i="3"/>
  <c r="AV490" i="3"/>
  <c r="AO492" i="3"/>
  <c r="BA490" i="3"/>
  <c r="BQ490" i="3"/>
  <c r="AX491" i="3"/>
  <c r="AY490" i="3"/>
  <c r="BF489" i="3"/>
  <c r="BJ488" i="3"/>
  <c r="BK488" i="3"/>
  <c r="BQ489" i="3"/>
  <c r="BB489" i="3"/>
  <c r="Y492" i="3"/>
  <c r="Z492" i="3"/>
  <c r="AT491" i="3"/>
  <c r="BM492" i="3"/>
  <c r="AG492" i="3"/>
  <c r="AH492" i="3"/>
  <c r="AN492" i="3"/>
  <c r="AQ493" i="3"/>
  <c r="B493" i="3"/>
  <c r="A494" i="3"/>
  <c r="AR493" i="3"/>
  <c r="C493" i="3"/>
  <c r="D493" i="3"/>
  <c r="T493" i="3"/>
  <c r="S493" i="3"/>
  <c r="Q493" i="3"/>
  <c r="AM493" i="3"/>
  <c r="AK493" i="3"/>
  <c r="AD493" i="3"/>
  <c r="R493" i="3"/>
  <c r="P493" i="3"/>
  <c r="AE493" i="3"/>
  <c r="O493" i="3"/>
  <c r="AF493" i="3"/>
  <c r="V493" i="3"/>
  <c r="M493" i="3"/>
  <c r="U493" i="3"/>
  <c r="G493" i="3"/>
  <c r="H493" i="3"/>
  <c r="F493" i="3"/>
  <c r="AU491" i="3"/>
  <c r="AW491" i="3"/>
  <c r="X492" i="3"/>
  <c r="BD489" i="3"/>
  <c r="BB490" i="3"/>
  <c r="BC490" i="3"/>
  <c r="BD490" i="3"/>
  <c r="AO493" i="3"/>
  <c r="BN493" i="3"/>
  <c r="BM493" i="3"/>
  <c r="AY491" i="3"/>
  <c r="AT492" i="3"/>
  <c r="BF490" i="3"/>
  <c r="BJ489" i="3"/>
  <c r="BK489" i="3"/>
  <c r="AN493" i="3"/>
  <c r="BG490" i="3"/>
  <c r="BH490" i="3"/>
  <c r="BI490" i="3"/>
  <c r="B494" i="3"/>
  <c r="A495" i="3"/>
  <c r="AQ494" i="3"/>
  <c r="AR494" i="3"/>
  <c r="C494" i="3"/>
  <c r="D494" i="3"/>
  <c r="AM494" i="3"/>
  <c r="AK494" i="3"/>
  <c r="T494" i="3"/>
  <c r="S494" i="3"/>
  <c r="R494" i="3"/>
  <c r="Q494" i="3"/>
  <c r="AD494" i="3"/>
  <c r="P494" i="3"/>
  <c r="AE494" i="3"/>
  <c r="O494" i="3"/>
  <c r="V494" i="3"/>
  <c r="AF494" i="3"/>
  <c r="M494" i="3"/>
  <c r="U494" i="3"/>
  <c r="F494" i="3"/>
  <c r="G494" i="3"/>
  <c r="H494" i="3"/>
  <c r="AV491" i="3"/>
  <c r="BA491" i="3"/>
  <c r="AG493" i="3"/>
  <c r="X493" i="3"/>
  <c r="AW492" i="3"/>
  <c r="Y493" i="3"/>
  <c r="Z493" i="3"/>
  <c r="AU492" i="3"/>
  <c r="AX492" i="3"/>
  <c r="AH493" i="3"/>
  <c r="BN494" i="3"/>
  <c r="BM494" i="3"/>
  <c r="AV492" i="3"/>
  <c r="AO494" i="3"/>
  <c r="BC491" i="3"/>
  <c r="BD491" i="3"/>
  <c r="AX493" i="3"/>
  <c r="AH494" i="3"/>
  <c r="AY492" i="3"/>
  <c r="BA492" i="3"/>
  <c r="AT493" i="3"/>
  <c r="AU493" i="3"/>
  <c r="AW493" i="3"/>
  <c r="AG494" i="3"/>
  <c r="AN494" i="3"/>
  <c r="X494" i="3"/>
  <c r="BQ491" i="3"/>
  <c r="BB491" i="3"/>
  <c r="BF491" i="3"/>
  <c r="BJ490" i="3"/>
  <c r="BK490" i="3"/>
  <c r="Y494" i="3"/>
  <c r="Z494" i="3"/>
  <c r="AR495" i="3"/>
  <c r="B495" i="3"/>
  <c r="AQ495" i="3"/>
  <c r="A496" i="3"/>
  <c r="D495" i="3"/>
  <c r="C495" i="3"/>
  <c r="AK495" i="3"/>
  <c r="R495" i="3"/>
  <c r="Q495" i="3"/>
  <c r="AM495" i="3"/>
  <c r="T495" i="3"/>
  <c r="S495" i="3"/>
  <c r="AD495" i="3"/>
  <c r="O495" i="3"/>
  <c r="AE495" i="3"/>
  <c r="M495" i="3"/>
  <c r="V495" i="3"/>
  <c r="P495" i="3"/>
  <c r="AF495" i="3"/>
  <c r="U495" i="3"/>
  <c r="G495" i="3"/>
  <c r="H495" i="3"/>
  <c r="F495" i="3"/>
  <c r="BM495" i="3"/>
  <c r="BN495" i="3"/>
  <c r="BC492" i="3"/>
  <c r="BD492" i="3"/>
  <c r="BG491" i="3"/>
  <c r="BH491" i="3"/>
  <c r="BI491" i="3"/>
  <c r="AY493" i="3"/>
  <c r="AO495" i="3"/>
  <c r="AX494" i="3"/>
  <c r="AT494" i="3"/>
  <c r="Y495" i="3"/>
  <c r="Z495" i="3"/>
  <c r="B496" i="3"/>
  <c r="AQ496" i="3"/>
  <c r="AR496" i="3"/>
  <c r="A497" i="3"/>
  <c r="C496" i="3"/>
  <c r="S496" i="3"/>
  <c r="AM496" i="3"/>
  <c r="D496" i="3"/>
  <c r="AK496" i="3"/>
  <c r="T496" i="3"/>
  <c r="AD496" i="3"/>
  <c r="Q496" i="3"/>
  <c r="R496" i="3"/>
  <c r="P496" i="3"/>
  <c r="O496" i="3"/>
  <c r="AE496" i="3"/>
  <c r="M496" i="3"/>
  <c r="AF496" i="3"/>
  <c r="V496" i="3"/>
  <c r="U496" i="3"/>
  <c r="F496" i="3"/>
  <c r="G496" i="3"/>
  <c r="H496" i="3"/>
  <c r="AV493" i="3"/>
  <c r="BA493" i="3"/>
  <c r="AH495" i="3"/>
  <c r="AN495" i="3"/>
  <c r="X495" i="3"/>
  <c r="AU494" i="3"/>
  <c r="AW494" i="3"/>
  <c r="BB492" i="3"/>
  <c r="BQ492" i="3"/>
  <c r="BF492" i="3"/>
  <c r="BJ491" i="3"/>
  <c r="BK491" i="3"/>
  <c r="AG495" i="3"/>
  <c r="BM496" i="3"/>
  <c r="BN496" i="3"/>
  <c r="AO496" i="3"/>
  <c r="BG492" i="3"/>
  <c r="BH492" i="3"/>
  <c r="BI492" i="3"/>
  <c r="BC493" i="3"/>
  <c r="BD493" i="3"/>
  <c r="AW495" i="3"/>
  <c r="AY494" i="3"/>
  <c r="AH496" i="3"/>
  <c r="BA494" i="3"/>
  <c r="BQ494" i="3"/>
  <c r="AT495" i="3"/>
  <c r="AX495" i="3"/>
  <c r="AN496" i="3"/>
  <c r="X496" i="3"/>
  <c r="AV494" i="3"/>
  <c r="BF493" i="3"/>
  <c r="BJ492" i="3"/>
  <c r="BK492" i="3"/>
  <c r="BQ493" i="3"/>
  <c r="BB493" i="3"/>
  <c r="Y496" i="3"/>
  <c r="Z496" i="3"/>
  <c r="AQ497" i="3"/>
  <c r="B497" i="3"/>
  <c r="A498" i="3"/>
  <c r="AR497" i="3"/>
  <c r="C497" i="3"/>
  <c r="AM497" i="3"/>
  <c r="R497" i="3"/>
  <c r="D497" i="3"/>
  <c r="AK497" i="3"/>
  <c r="Q497" i="3"/>
  <c r="AD497" i="3"/>
  <c r="P497" i="3"/>
  <c r="S497" i="3"/>
  <c r="O497" i="3"/>
  <c r="AE497" i="3"/>
  <c r="AF497" i="3"/>
  <c r="V497" i="3"/>
  <c r="M497" i="3"/>
  <c r="U497" i="3"/>
  <c r="F497" i="3"/>
  <c r="G497" i="3"/>
  <c r="H497" i="3"/>
  <c r="T497" i="3"/>
  <c r="AU495" i="3"/>
  <c r="AG496" i="3"/>
  <c r="BG493" i="3"/>
  <c r="BH493" i="3"/>
  <c r="BI493" i="3"/>
  <c r="AG497" i="3"/>
  <c r="BN497" i="3"/>
  <c r="AO497" i="3"/>
  <c r="AY495" i="3"/>
  <c r="AW496" i="3"/>
  <c r="BC494" i="3"/>
  <c r="BD494" i="3"/>
  <c r="BB494" i="3"/>
  <c r="AU496" i="3"/>
  <c r="AX496" i="3"/>
  <c r="BF494" i="3"/>
  <c r="BJ493" i="3"/>
  <c r="BK493" i="3"/>
  <c r="Y497" i="3"/>
  <c r="Z497" i="3"/>
  <c r="BM497" i="3"/>
  <c r="AN497" i="3"/>
  <c r="AT496" i="3"/>
  <c r="AV495" i="3"/>
  <c r="B498" i="3"/>
  <c r="A499" i="3"/>
  <c r="AQ498" i="3"/>
  <c r="AR498" i="3"/>
  <c r="C498" i="3"/>
  <c r="AM498" i="3"/>
  <c r="AK498" i="3"/>
  <c r="T498" i="3"/>
  <c r="S498" i="3"/>
  <c r="D498" i="3"/>
  <c r="Q498" i="3"/>
  <c r="AD498" i="3"/>
  <c r="P498" i="3"/>
  <c r="M498" i="3"/>
  <c r="AF498" i="3"/>
  <c r="AE498" i="3"/>
  <c r="V498" i="3"/>
  <c r="O498" i="3"/>
  <c r="G498" i="3"/>
  <c r="H498" i="3"/>
  <c r="U498" i="3"/>
  <c r="R498" i="3"/>
  <c r="F498" i="3"/>
  <c r="AH497" i="3"/>
  <c r="X497" i="3"/>
  <c r="BA495" i="3"/>
  <c r="AY496" i="3"/>
  <c r="BC495" i="3"/>
  <c r="BD495" i="3"/>
  <c r="BM498" i="3"/>
  <c r="AW497" i="3"/>
  <c r="BG494" i="3"/>
  <c r="BH494" i="3"/>
  <c r="BI494" i="3"/>
  <c r="AU497" i="3"/>
  <c r="AN498" i="3"/>
  <c r="AV496" i="3"/>
  <c r="BF495" i="3"/>
  <c r="BJ494" i="3"/>
  <c r="BK494" i="3"/>
  <c r="BB495" i="3"/>
  <c r="BQ495" i="3"/>
  <c r="Y498" i="3"/>
  <c r="Z498" i="3"/>
  <c r="AX497" i="3"/>
  <c r="BN498" i="3"/>
  <c r="AO498" i="3"/>
  <c r="X498" i="3"/>
  <c r="AT497" i="3"/>
  <c r="BA496" i="3"/>
  <c r="AH498" i="3"/>
  <c r="AG498" i="3"/>
  <c r="AR499" i="3"/>
  <c r="B499" i="3"/>
  <c r="AQ499" i="3"/>
  <c r="A500" i="3"/>
  <c r="D499" i="3"/>
  <c r="C499" i="3"/>
  <c r="AM499" i="3"/>
  <c r="AK499" i="3"/>
  <c r="Q499" i="3"/>
  <c r="P499" i="3"/>
  <c r="S499" i="3"/>
  <c r="R499" i="3"/>
  <c r="AD499" i="3"/>
  <c r="O499" i="3"/>
  <c r="M499" i="3"/>
  <c r="U499" i="3"/>
  <c r="AE499" i="3"/>
  <c r="AF499" i="3"/>
  <c r="V499" i="3"/>
  <c r="F499" i="3"/>
  <c r="G499" i="3"/>
  <c r="H499" i="3"/>
  <c r="BN499" i="3"/>
  <c r="T499" i="3"/>
  <c r="BM499" i="3"/>
  <c r="BC496" i="3"/>
  <c r="BD496" i="3"/>
  <c r="BG495" i="3"/>
  <c r="BH495" i="3"/>
  <c r="BI495" i="3"/>
  <c r="AY497" i="3"/>
  <c r="AG499" i="3"/>
  <c r="AO499" i="3"/>
  <c r="AN499" i="3"/>
  <c r="AW498" i="3"/>
  <c r="AT498" i="3"/>
  <c r="AU498" i="3"/>
  <c r="B500" i="3"/>
  <c r="AQ500" i="3"/>
  <c r="AR500" i="3"/>
  <c r="A501" i="3"/>
  <c r="D500" i="3"/>
  <c r="C500" i="3"/>
  <c r="AM500" i="3"/>
  <c r="S500" i="3"/>
  <c r="AK500" i="3"/>
  <c r="R500" i="3"/>
  <c r="Q500" i="3"/>
  <c r="P500" i="3"/>
  <c r="AD500" i="3"/>
  <c r="M500" i="3"/>
  <c r="AE500" i="3"/>
  <c r="O500" i="3"/>
  <c r="AF500" i="3"/>
  <c r="U500" i="3"/>
  <c r="V500" i="3"/>
  <c r="G500" i="3"/>
  <c r="H500" i="3"/>
  <c r="F500" i="3"/>
  <c r="T500" i="3"/>
  <c r="BF496" i="3"/>
  <c r="BJ495" i="3"/>
  <c r="BK495" i="3"/>
  <c r="BB496" i="3"/>
  <c r="BQ496" i="3"/>
  <c r="Y499" i="3"/>
  <c r="Z499" i="3"/>
  <c r="X499" i="3"/>
  <c r="BA497" i="3"/>
  <c r="AV497" i="3"/>
  <c r="AH499" i="3"/>
  <c r="AX498" i="3"/>
  <c r="AO500" i="3"/>
  <c r="BC497" i="3"/>
  <c r="BG497" i="3"/>
  <c r="BH497" i="3"/>
  <c r="BI497" i="3"/>
  <c r="BG496" i="3"/>
  <c r="BH496" i="3"/>
  <c r="BI496" i="3"/>
  <c r="AX499" i="3"/>
  <c r="BN500" i="3"/>
  <c r="AH500" i="3"/>
  <c r="AY498" i="3"/>
  <c r="BA498" i="3"/>
  <c r="BB498" i="3"/>
  <c r="Y500" i="3"/>
  <c r="Z500" i="3"/>
  <c r="AV498" i="3"/>
  <c r="AU499" i="3"/>
  <c r="AW499" i="3"/>
  <c r="AT499" i="3"/>
  <c r="BM500" i="3"/>
  <c r="AG500" i="3"/>
  <c r="AN500" i="3"/>
  <c r="BF497" i="3"/>
  <c r="BJ496" i="3"/>
  <c r="BK496" i="3"/>
  <c r="BB497" i="3"/>
  <c r="BQ497" i="3"/>
  <c r="AQ501" i="3"/>
  <c r="B501" i="3"/>
  <c r="A502" i="3"/>
  <c r="AR501" i="3"/>
  <c r="C501" i="3"/>
  <c r="AK501" i="3"/>
  <c r="AM501" i="3"/>
  <c r="D501" i="3"/>
  <c r="T501" i="3"/>
  <c r="S501" i="3"/>
  <c r="R501" i="3"/>
  <c r="AD501" i="3"/>
  <c r="Q501" i="3"/>
  <c r="P501" i="3"/>
  <c r="AF501" i="3"/>
  <c r="AE501" i="3"/>
  <c r="U501" i="3"/>
  <c r="V501" i="3"/>
  <c r="O501" i="3"/>
  <c r="M501" i="3"/>
  <c r="F501" i="3"/>
  <c r="G501" i="3"/>
  <c r="H501" i="3"/>
  <c r="X500" i="3"/>
  <c r="BM501" i="3"/>
  <c r="BD497" i="3"/>
  <c r="BN501" i="3"/>
  <c r="AY499" i="3"/>
  <c r="AU500" i="3"/>
  <c r="AV499" i="3"/>
  <c r="AT500" i="3"/>
  <c r="AG501" i="3"/>
  <c r="BC498" i="3"/>
  <c r="BG498" i="3"/>
  <c r="BH498" i="3"/>
  <c r="BI498" i="3"/>
  <c r="BQ498" i="3"/>
  <c r="BF498" i="3"/>
  <c r="BJ497" i="3"/>
  <c r="BK497" i="3"/>
  <c r="BA499" i="3"/>
  <c r="BQ499" i="3"/>
  <c r="AX500" i="3"/>
  <c r="B502" i="3"/>
  <c r="A503" i="3"/>
  <c r="AQ502" i="3"/>
  <c r="AR502" i="3"/>
  <c r="C502" i="3"/>
  <c r="D502" i="3"/>
  <c r="AK502" i="3"/>
  <c r="AM502" i="3"/>
  <c r="S502" i="3"/>
  <c r="R502" i="3"/>
  <c r="AD502" i="3"/>
  <c r="P502" i="3"/>
  <c r="M502" i="3"/>
  <c r="O502" i="3"/>
  <c r="U502" i="3"/>
  <c r="V502" i="3"/>
  <c r="AF502" i="3"/>
  <c r="AE502" i="3"/>
  <c r="G502" i="3"/>
  <c r="H502" i="3"/>
  <c r="F502" i="3"/>
  <c r="Q502" i="3"/>
  <c r="T502" i="3"/>
  <c r="X501" i="3"/>
  <c r="AW500" i="3"/>
  <c r="Y501" i="3"/>
  <c r="Z501" i="3"/>
  <c r="AN501" i="3"/>
  <c r="AO501" i="3"/>
  <c r="AH501" i="3"/>
  <c r="BC499" i="3"/>
  <c r="BG499" i="3"/>
  <c r="BH499" i="3"/>
  <c r="BI499" i="3"/>
  <c r="AV500" i="3"/>
  <c r="BF499" i="3"/>
  <c r="BJ498" i="3"/>
  <c r="BK498" i="3"/>
  <c r="BD498" i="3"/>
  <c r="BM502" i="3"/>
  <c r="AU501" i="3"/>
  <c r="BB499" i="3"/>
  <c r="AY500" i="3"/>
  <c r="AN502" i="3"/>
  <c r="AW501" i="3"/>
  <c r="AT501" i="3"/>
  <c r="AG502" i="3"/>
  <c r="BA500" i="3"/>
  <c r="BF500" i="3"/>
  <c r="Y502" i="3"/>
  <c r="Z502" i="3"/>
  <c r="AX501" i="3"/>
  <c r="BN502" i="3"/>
  <c r="AH502" i="3"/>
  <c r="AO502" i="3"/>
  <c r="X502" i="3"/>
  <c r="AR503" i="3"/>
  <c r="B503" i="3"/>
  <c r="AQ503" i="3"/>
  <c r="A504" i="3"/>
  <c r="C503" i="3"/>
  <c r="T503" i="3"/>
  <c r="S503" i="3"/>
  <c r="AK503" i="3"/>
  <c r="D503" i="3"/>
  <c r="AM503" i="3"/>
  <c r="Q503" i="3"/>
  <c r="R503" i="3"/>
  <c r="AD503" i="3"/>
  <c r="P503" i="3"/>
  <c r="O503" i="3"/>
  <c r="M503" i="3"/>
  <c r="AF503" i="3"/>
  <c r="U503" i="3"/>
  <c r="AE503" i="3"/>
  <c r="V503" i="3"/>
  <c r="G503" i="3"/>
  <c r="H503" i="3"/>
  <c r="BN503" i="3"/>
  <c r="F503" i="3"/>
  <c r="BD499" i="3"/>
  <c r="BC500" i="3"/>
  <c r="BG500" i="3"/>
  <c r="BH500" i="3"/>
  <c r="BI500" i="3"/>
  <c r="AU502" i="3"/>
  <c r="AV501" i="3"/>
  <c r="BJ499" i="3"/>
  <c r="BK499" i="3"/>
  <c r="AN503" i="3"/>
  <c r="BM503" i="3"/>
  <c r="AG503" i="3"/>
  <c r="BA501" i="3"/>
  <c r="BB501" i="3"/>
  <c r="AT502" i="3"/>
  <c r="AW502" i="3"/>
  <c r="BQ500" i="3"/>
  <c r="AY501" i="3"/>
  <c r="BB500" i="3"/>
  <c r="Y503" i="3"/>
  <c r="Z503" i="3"/>
  <c r="AH503" i="3"/>
  <c r="X503" i="3"/>
  <c r="AX502" i="3"/>
  <c r="B504" i="3"/>
  <c r="AQ504" i="3"/>
  <c r="AR504" i="3"/>
  <c r="A505" i="3"/>
  <c r="D504" i="3"/>
  <c r="AM504" i="3"/>
  <c r="T504" i="3"/>
  <c r="C504" i="3"/>
  <c r="AK504" i="3"/>
  <c r="R504" i="3"/>
  <c r="Q504" i="3"/>
  <c r="AD504" i="3"/>
  <c r="P504" i="3"/>
  <c r="S504" i="3"/>
  <c r="M504" i="3"/>
  <c r="AE504" i="3"/>
  <c r="O504" i="3"/>
  <c r="U504" i="3"/>
  <c r="AF504" i="3"/>
  <c r="V504" i="3"/>
  <c r="G504" i="3"/>
  <c r="H504" i="3"/>
  <c r="F504" i="3"/>
  <c r="AO503" i="3"/>
  <c r="BN504" i="3"/>
  <c r="BM504" i="3"/>
  <c r="BD500" i="3"/>
  <c r="BF501" i="3"/>
  <c r="BJ500" i="3"/>
  <c r="BK500" i="3"/>
  <c r="AV502" i="3"/>
  <c r="BC501" i="3"/>
  <c r="BD501" i="3"/>
  <c r="AU503" i="3"/>
  <c r="AT503" i="3"/>
  <c r="BQ501" i="3"/>
  <c r="BA502" i="3"/>
  <c r="BQ502" i="3"/>
  <c r="AW503" i="3"/>
  <c r="AY502" i="3"/>
  <c r="AO504" i="3"/>
  <c r="AQ505" i="3"/>
  <c r="B505" i="3"/>
  <c r="A506" i="3"/>
  <c r="AR505" i="3"/>
  <c r="D505" i="3"/>
  <c r="C505" i="3"/>
  <c r="AK505" i="3"/>
  <c r="AM505" i="3"/>
  <c r="T505" i="3"/>
  <c r="P505" i="3"/>
  <c r="S505" i="3"/>
  <c r="Q505" i="3"/>
  <c r="AD505" i="3"/>
  <c r="M505" i="3"/>
  <c r="AE505" i="3"/>
  <c r="V505" i="3"/>
  <c r="U505" i="3"/>
  <c r="O505" i="3"/>
  <c r="AF505" i="3"/>
  <c r="G505" i="3"/>
  <c r="H505" i="3"/>
  <c r="F505" i="3"/>
  <c r="R505" i="3"/>
  <c r="AG504" i="3"/>
  <c r="AH504" i="3"/>
  <c r="X504" i="3"/>
  <c r="AN504" i="3"/>
  <c r="AX503" i="3"/>
  <c r="Y504" i="3"/>
  <c r="Z504" i="3"/>
  <c r="BG501" i="3"/>
  <c r="BH501" i="3"/>
  <c r="BI501" i="3"/>
  <c r="BC502" i="3"/>
  <c r="BD502" i="3"/>
  <c r="AV503" i="3"/>
  <c r="BM505" i="3"/>
  <c r="BF502" i="3"/>
  <c r="BJ501" i="3"/>
  <c r="BK501" i="3"/>
  <c r="BB502" i="3"/>
  <c r="AY503" i="3"/>
  <c r="AT504" i="3"/>
  <c r="AO505" i="3"/>
  <c r="BA503" i="3"/>
  <c r="BF503" i="3"/>
  <c r="AX504" i="3"/>
  <c r="AH505" i="3"/>
  <c r="AU504" i="3"/>
  <c r="AW504" i="3"/>
  <c r="BN505" i="3"/>
  <c r="AN505" i="3"/>
  <c r="X505" i="3"/>
  <c r="Y505" i="3"/>
  <c r="Z505" i="3"/>
  <c r="B506" i="3"/>
  <c r="A507" i="3"/>
  <c r="AQ506" i="3"/>
  <c r="AR506" i="3"/>
  <c r="C506" i="3"/>
  <c r="D506" i="3"/>
  <c r="S506" i="3"/>
  <c r="Q506" i="3"/>
  <c r="AM506" i="3"/>
  <c r="AK506" i="3"/>
  <c r="T506" i="3"/>
  <c r="R506" i="3"/>
  <c r="AD506" i="3"/>
  <c r="P506" i="3"/>
  <c r="AE506" i="3"/>
  <c r="AF506" i="3"/>
  <c r="M506" i="3"/>
  <c r="U506" i="3"/>
  <c r="O506" i="3"/>
  <c r="V506" i="3"/>
  <c r="G506" i="3"/>
  <c r="H506" i="3"/>
  <c r="F506" i="3"/>
  <c r="AG505" i="3"/>
  <c r="BC503" i="3"/>
  <c r="BG503" i="3"/>
  <c r="BH503" i="3"/>
  <c r="BI503" i="3"/>
  <c r="BG502" i="3"/>
  <c r="BH502" i="3"/>
  <c r="BI502" i="3"/>
  <c r="BN506" i="3"/>
  <c r="BJ502" i="3"/>
  <c r="BK502" i="3"/>
  <c r="AW505" i="3"/>
  <c r="AV504" i="3"/>
  <c r="AG506" i="3"/>
  <c r="AU505" i="3"/>
  <c r="AN506" i="3"/>
  <c r="BQ503" i="3"/>
  <c r="BB503" i="3"/>
  <c r="Y506" i="3"/>
  <c r="Z506" i="3"/>
  <c r="AR507" i="3"/>
  <c r="B507" i="3"/>
  <c r="AQ507" i="3"/>
  <c r="A508" i="3"/>
  <c r="D507" i="3"/>
  <c r="C507" i="3"/>
  <c r="AK507" i="3"/>
  <c r="S507" i="3"/>
  <c r="AM507" i="3"/>
  <c r="R507" i="3"/>
  <c r="Q507" i="3"/>
  <c r="AD507" i="3"/>
  <c r="P507" i="3"/>
  <c r="M507" i="3"/>
  <c r="U507" i="3"/>
  <c r="O507" i="3"/>
  <c r="AF507" i="3"/>
  <c r="AE507" i="3"/>
  <c r="V507" i="3"/>
  <c r="F507" i="3"/>
  <c r="G507" i="3"/>
  <c r="H507" i="3"/>
  <c r="T507" i="3"/>
  <c r="BA504" i="3"/>
  <c r="AY504" i="3"/>
  <c r="X506" i="3"/>
  <c r="BM506" i="3"/>
  <c r="AO506" i="3"/>
  <c r="AT505" i="3"/>
  <c r="AX505" i="3"/>
  <c r="AH506" i="3"/>
  <c r="BN507" i="3"/>
  <c r="AV505" i="3"/>
  <c r="BD503" i="3"/>
  <c r="BM507" i="3"/>
  <c r="AN507" i="3"/>
  <c r="AW506" i="3"/>
  <c r="AY505" i="3"/>
  <c r="BC504" i="3"/>
  <c r="BD504" i="3"/>
  <c r="AU506" i="3"/>
  <c r="AX506" i="3"/>
  <c r="BB504" i="3"/>
  <c r="BQ504" i="3"/>
  <c r="BF504" i="3"/>
  <c r="BJ503" i="3"/>
  <c r="BK503" i="3"/>
  <c r="AT506" i="3"/>
  <c r="AO507" i="3"/>
  <c r="B508" i="3"/>
  <c r="AQ508" i="3"/>
  <c r="AR508" i="3"/>
  <c r="A509" i="3"/>
  <c r="D508" i="3"/>
  <c r="AM508" i="3"/>
  <c r="T508" i="3"/>
  <c r="C508" i="3"/>
  <c r="AK508" i="3"/>
  <c r="S508" i="3"/>
  <c r="Q508" i="3"/>
  <c r="AD508" i="3"/>
  <c r="P508" i="3"/>
  <c r="O508" i="3"/>
  <c r="AF508" i="3"/>
  <c r="V508" i="3"/>
  <c r="U508" i="3"/>
  <c r="AE508" i="3"/>
  <c r="M508" i="3"/>
  <c r="R508" i="3"/>
  <c r="G508" i="3"/>
  <c r="H508" i="3"/>
  <c r="F508" i="3"/>
  <c r="BA505" i="3"/>
  <c r="Y507" i="3"/>
  <c r="Z507" i="3"/>
  <c r="AG507" i="3"/>
  <c r="AH507" i="3"/>
  <c r="X507" i="3"/>
  <c r="BN508" i="3"/>
  <c r="BC505" i="3"/>
  <c r="BG505" i="3"/>
  <c r="BH505" i="3"/>
  <c r="BI505" i="3"/>
  <c r="BM508" i="3"/>
  <c r="AY506" i="3"/>
  <c r="AG508" i="3"/>
  <c r="BG504" i="3"/>
  <c r="BH504" i="3"/>
  <c r="BI504" i="3"/>
  <c r="AX507" i="3"/>
  <c r="AO508" i="3"/>
  <c r="AN508" i="3"/>
  <c r="AQ509" i="3"/>
  <c r="B509" i="3"/>
  <c r="A510" i="3"/>
  <c r="AR509" i="3"/>
  <c r="C509" i="3"/>
  <c r="AM509" i="3"/>
  <c r="S509" i="3"/>
  <c r="AK509" i="3"/>
  <c r="D509" i="3"/>
  <c r="R509" i="3"/>
  <c r="P509" i="3"/>
  <c r="Q509" i="3"/>
  <c r="AD509" i="3"/>
  <c r="O509" i="3"/>
  <c r="AE509" i="3"/>
  <c r="U509" i="3"/>
  <c r="M509" i="3"/>
  <c r="AF509" i="3"/>
  <c r="V509" i="3"/>
  <c r="G509" i="3"/>
  <c r="H509" i="3"/>
  <c r="F509" i="3"/>
  <c r="T509" i="3"/>
  <c r="BQ505" i="3"/>
  <c r="BF505" i="3"/>
  <c r="BJ504" i="3"/>
  <c r="BK504" i="3"/>
  <c r="BB505" i="3"/>
  <c r="Y508" i="3"/>
  <c r="Z508" i="3"/>
  <c r="AW507" i="3"/>
  <c r="AU507" i="3"/>
  <c r="BA506" i="3"/>
  <c r="AV506" i="3"/>
  <c r="AH508" i="3"/>
  <c r="AU508" i="3"/>
  <c r="X508" i="3"/>
  <c r="AT507" i="3"/>
  <c r="BD505" i="3"/>
  <c r="BC506" i="3"/>
  <c r="BD506" i="3"/>
  <c r="BM509" i="3"/>
  <c r="AO509" i="3"/>
  <c r="BN509" i="3"/>
  <c r="AY507" i="3"/>
  <c r="AV507" i="3"/>
  <c r="BA507" i="3"/>
  <c r="BB506" i="3"/>
  <c r="BQ506" i="3"/>
  <c r="BF506" i="3"/>
  <c r="BJ505" i="3"/>
  <c r="BK505" i="3"/>
  <c r="B510" i="3"/>
  <c r="A511" i="3"/>
  <c r="AQ510" i="3"/>
  <c r="AR510" i="3"/>
  <c r="D510" i="3"/>
  <c r="C510" i="3"/>
  <c r="AM510" i="3"/>
  <c r="R510" i="3"/>
  <c r="AK510" i="3"/>
  <c r="S510" i="3"/>
  <c r="Q510" i="3"/>
  <c r="AD510" i="3"/>
  <c r="P510" i="3"/>
  <c r="O510" i="3"/>
  <c r="M510" i="3"/>
  <c r="AF510" i="3"/>
  <c r="AE510" i="3"/>
  <c r="U510" i="3"/>
  <c r="V510" i="3"/>
  <c r="G510" i="3"/>
  <c r="H510" i="3"/>
  <c r="F510" i="3"/>
  <c r="T510" i="3"/>
  <c r="Y509" i="3"/>
  <c r="Z509" i="3"/>
  <c r="AW508" i="3"/>
  <c r="AT508" i="3"/>
  <c r="AG509" i="3"/>
  <c r="AH509" i="3"/>
  <c r="X509" i="3"/>
  <c r="AX508" i="3"/>
  <c r="AN509" i="3"/>
  <c r="BG506" i="3"/>
  <c r="BH506" i="3"/>
  <c r="BI506" i="3"/>
  <c r="AO510" i="3"/>
  <c r="BM510" i="3"/>
  <c r="BN510" i="3"/>
  <c r="BC507" i="3"/>
  <c r="BD507" i="3"/>
  <c r="AU509" i="3"/>
  <c r="AG510" i="3"/>
  <c r="AY508" i="3"/>
  <c r="AV508" i="3"/>
  <c r="BA508" i="3"/>
  <c r="AR511" i="3"/>
  <c r="B511" i="3"/>
  <c r="AQ511" i="3"/>
  <c r="A512" i="3"/>
  <c r="D511" i="3"/>
  <c r="C511" i="3"/>
  <c r="AM511" i="3"/>
  <c r="AK511" i="3"/>
  <c r="S511" i="3"/>
  <c r="AD511" i="3"/>
  <c r="P511" i="3"/>
  <c r="AE511" i="3"/>
  <c r="U511" i="3"/>
  <c r="O511" i="3"/>
  <c r="M511" i="3"/>
  <c r="AF511" i="3"/>
  <c r="V511" i="3"/>
  <c r="Q511" i="3"/>
  <c r="G511" i="3"/>
  <c r="H511" i="3"/>
  <c r="F511" i="3"/>
  <c r="R511" i="3"/>
  <c r="T511" i="3"/>
  <c r="AW509" i="3"/>
  <c r="AT509" i="3"/>
  <c r="AX509" i="3"/>
  <c r="Y510" i="3"/>
  <c r="Z510" i="3"/>
  <c r="AH510" i="3"/>
  <c r="X510" i="3"/>
  <c r="BQ507" i="3"/>
  <c r="BF507" i="3"/>
  <c r="BJ506" i="3"/>
  <c r="BK506" i="3"/>
  <c r="BB507" i="3"/>
  <c r="AN510" i="3"/>
  <c r="BN511" i="3"/>
  <c r="BM511" i="3"/>
  <c r="AU510" i="3"/>
  <c r="BG507" i="3"/>
  <c r="BH507" i="3"/>
  <c r="BI507" i="3"/>
  <c r="AT510" i="3"/>
  <c r="AW510" i="3"/>
  <c r="AO511" i="3"/>
  <c r="BC508" i="3"/>
  <c r="BD508" i="3"/>
  <c r="BA509" i="3"/>
  <c r="BQ509" i="3"/>
  <c r="Y511" i="3"/>
  <c r="Z511" i="3"/>
  <c r="AV509" i="3"/>
  <c r="AX510" i="3"/>
  <c r="AY509" i="3"/>
  <c r="AN511" i="3"/>
  <c r="B512" i="3"/>
  <c r="AQ512" i="3"/>
  <c r="AR512" i="3"/>
  <c r="A513" i="3"/>
  <c r="C512" i="3"/>
  <c r="AM512" i="3"/>
  <c r="AK512" i="3"/>
  <c r="S512" i="3"/>
  <c r="D512" i="3"/>
  <c r="R512" i="3"/>
  <c r="Q512" i="3"/>
  <c r="AD512" i="3"/>
  <c r="P512" i="3"/>
  <c r="O512" i="3"/>
  <c r="M512" i="3"/>
  <c r="V512" i="3"/>
  <c r="AF512" i="3"/>
  <c r="AE512" i="3"/>
  <c r="U512" i="3"/>
  <c r="G512" i="3"/>
  <c r="H512" i="3"/>
  <c r="F512" i="3"/>
  <c r="T512" i="3"/>
  <c r="BB508" i="3"/>
  <c r="BF508" i="3"/>
  <c r="BJ507" i="3"/>
  <c r="BK507" i="3"/>
  <c r="BQ508" i="3"/>
  <c r="AG511" i="3"/>
  <c r="AH511" i="3"/>
  <c r="X511" i="3"/>
  <c r="BM512" i="3"/>
  <c r="AV510" i="3"/>
  <c r="BF509" i="3"/>
  <c r="BJ508" i="3"/>
  <c r="BK508" i="3"/>
  <c r="BN512" i="3"/>
  <c r="AY510" i="3"/>
  <c r="BC509" i="3"/>
  <c r="BG509" i="3"/>
  <c r="BH509" i="3"/>
  <c r="BI509" i="3"/>
  <c r="BA510" i="3"/>
  <c r="BF510" i="3"/>
  <c r="AG512" i="3"/>
  <c r="BG508" i="3"/>
  <c r="BH508" i="3"/>
  <c r="BI508" i="3"/>
  <c r="AN512" i="3"/>
  <c r="AX511" i="3"/>
  <c r="Y512" i="3"/>
  <c r="Z512" i="3"/>
  <c r="BB509" i="3"/>
  <c r="AW511" i="3"/>
  <c r="AO512" i="3"/>
  <c r="X512" i="3"/>
  <c r="AU511" i="3"/>
  <c r="AQ513" i="3"/>
  <c r="B513" i="3"/>
  <c r="A514" i="3"/>
  <c r="AR513" i="3"/>
  <c r="C513" i="3"/>
  <c r="D513" i="3"/>
  <c r="AK513" i="3"/>
  <c r="AM513" i="3"/>
  <c r="T513" i="3"/>
  <c r="S513" i="3"/>
  <c r="Q513" i="3"/>
  <c r="R513" i="3"/>
  <c r="AD513" i="3"/>
  <c r="P513" i="3"/>
  <c r="O513" i="3"/>
  <c r="AE513" i="3"/>
  <c r="M513" i="3"/>
  <c r="AF513" i="3"/>
  <c r="V513" i="3"/>
  <c r="U513" i="3"/>
  <c r="G513" i="3"/>
  <c r="H513" i="3"/>
  <c r="F513" i="3"/>
  <c r="AH512" i="3"/>
  <c r="AT511" i="3"/>
  <c r="BJ509" i="3"/>
  <c r="BK509" i="3"/>
  <c r="BC510" i="3"/>
  <c r="BD510" i="3"/>
  <c r="BD509" i="3"/>
  <c r="AN513" i="3"/>
  <c r="AY511" i="3"/>
  <c r="BM513" i="3"/>
  <c r="BQ510" i="3"/>
  <c r="BB510" i="3"/>
  <c r="AX512" i="3"/>
  <c r="AU512" i="3"/>
  <c r="AG513" i="3"/>
  <c r="Y513" i="3"/>
  <c r="Z513" i="3"/>
  <c r="AT512" i="3"/>
  <c r="AV511" i="3"/>
  <c r="BA511" i="3"/>
  <c r="B514" i="3"/>
  <c r="A515" i="3"/>
  <c r="AQ514" i="3"/>
  <c r="AR514" i="3"/>
  <c r="C514" i="3"/>
  <c r="S514" i="3"/>
  <c r="AM514" i="3"/>
  <c r="D514" i="3"/>
  <c r="AK514" i="3"/>
  <c r="R514" i="3"/>
  <c r="Q514" i="3"/>
  <c r="AD514" i="3"/>
  <c r="P514" i="3"/>
  <c r="O514" i="3"/>
  <c r="AE514" i="3"/>
  <c r="AF514" i="3"/>
  <c r="M514" i="3"/>
  <c r="U514" i="3"/>
  <c r="V514" i="3"/>
  <c r="G514" i="3"/>
  <c r="H514" i="3"/>
  <c r="F514" i="3"/>
  <c r="T514" i="3"/>
  <c r="BN513" i="3"/>
  <c r="AH513" i="3"/>
  <c r="AO513" i="3"/>
  <c r="X513" i="3"/>
  <c r="AW512" i="3"/>
  <c r="BM514" i="3"/>
  <c r="BN514" i="3"/>
  <c r="BG510" i="3"/>
  <c r="BH510" i="3"/>
  <c r="BI510" i="3"/>
  <c r="AU513" i="3"/>
  <c r="AO514" i="3"/>
  <c r="BC511" i="3"/>
  <c r="BG511" i="3"/>
  <c r="BH511" i="3"/>
  <c r="BI511" i="3"/>
  <c r="AY512" i="3"/>
  <c r="AG514" i="3"/>
  <c r="AR515" i="3"/>
  <c r="B515" i="3"/>
  <c r="AQ515" i="3"/>
  <c r="A516" i="3"/>
  <c r="D515" i="3"/>
  <c r="AK515" i="3"/>
  <c r="AM515" i="3"/>
  <c r="Q515" i="3"/>
  <c r="C515" i="3"/>
  <c r="T515" i="3"/>
  <c r="S515" i="3"/>
  <c r="R515" i="3"/>
  <c r="AD515" i="3"/>
  <c r="P515" i="3"/>
  <c r="O515" i="3"/>
  <c r="M515" i="3"/>
  <c r="AE515" i="3"/>
  <c r="AF515" i="3"/>
  <c r="V515" i="3"/>
  <c r="U515" i="3"/>
  <c r="F515" i="3"/>
  <c r="G515" i="3"/>
  <c r="H515" i="3"/>
  <c r="BF511" i="3"/>
  <c r="BJ510" i="3"/>
  <c r="BK510" i="3"/>
  <c r="BQ511" i="3"/>
  <c r="BB511" i="3"/>
  <c r="AV512" i="3"/>
  <c r="BA512" i="3"/>
  <c r="AX513" i="3"/>
  <c r="Y514" i="3"/>
  <c r="Z514" i="3"/>
  <c r="AH514" i="3"/>
  <c r="AW513" i="3"/>
  <c r="AN514" i="3"/>
  <c r="X514" i="3"/>
  <c r="AT513" i="3"/>
  <c r="BM515" i="3"/>
  <c r="BD511" i="3"/>
  <c r="AT514" i="3"/>
  <c r="BN515" i="3"/>
  <c r="BC512" i="3"/>
  <c r="BG512" i="3"/>
  <c r="BH512" i="3"/>
  <c r="BI512" i="3"/>
  <c r="AN515" i="3"/>
  <c r="AY513" i="3"/>
  <c r="AU514" i="3"/>
  <c r="AW514" i="3"/>
  <c r="AG515" i="3"/>
  <c r="Y515" i="3"/>
  <c r="Z515" i="3"/>
  <c r="X515" i="3"/>
  <c r="BF512" i="3"/>
  <c r="BQ512" i="3"/>
  <c r="BB512" i="3"/>
  <c r="BA513" i="3"/>
  <c r="AV513" i="3"/>
  <c r="B516" i="3"/>
  <c r="AQ516" i="3"/>
  <c r="AR516" i="3"/>
  <c r="A517" i="3"/>
  <c r="C516" i="3"/>
  <c r="D516" i="3"/>
  <c r="S516" i="3"/>
  <c r="Q516" i="3"/>
  <c r="AM516" i="3"/>
  <c r="AK516" i="3"/>
  <c r="T516" i="3"/>
  <c r="R516" i="3"/>
  <c r="AD516" i="3"/>
  <c r="P516" i="3"/>
  <c r="O516" i="3"/>
  <c r="M516" i="3"/>
  <c r="V516" i="3"/>
  <c r="AF516" i="3"/>
  <c r="AE516" i="3"/>
  <c r="U516" i="3"/>
  <c r="G516" i="3"/>
  <c r="H516" i="3"/>
  <c r="F516" i="3"/>
  <c r="AX514" i="3"/>
  <c r="AH515" i="3"/>
  <c r="AO515" i="3"/>
  <c r="BC513" i="3"/>
  <c r="BG513" i="3"/>
  <c r="BH513" i="3"/>
  <c r="BI513" i="3"/>
  <c r="BD512" i="3"/>
  <c r="AV514" i="3"/>
  <c r="AY514" i="3"/>
  <c r="BN516" i="3"/>
  <c r="AG516" i="3"/>
  <c r="AN516" i="3"/>
  <c r="Y516" i="3"/>
  <c r="Z516" i="3"/>
  <c r="AQ517" i="3"/>
  <c r="B517" i="3"/>
  <c r="A518" i="3"/>
  <c r="AR517" i="3"/>
  <c r="D517" i="3"/>
  <c r="C517" i="3"/>
  <c r="AK517" i="3"/>
  <c r="AM517" i="3"/>
  <c r="R517" i="3"/>
  <c r="S517" i="3"/>
  <c r="AD517" i="3"/>
  <c r="P517" i="3"/>
  <c r="AE517" i="3"/>
  <c r="O517" i="3"/>
  <c r="M517" i="3"/>
  <c r="AF517" i="3"/>
  <c r="U517" i="3"/>
  <c r="V517" i="3"/>
  <c r="Q517" i="3"/>
  <c r="G517" i="3"/>
  <c r="H517" i="3"/>
  <c r="F517" i="3"/>
  <c r="T517" i="3"/>
  <c r="BJ511" i="3"/>
  <c r="BK511" i="3"/>
  <c r="AH516" i="3"/>
  <c r="X516" i="3"/>
  <c r="AX515" i="3"/>
  <c r="BM516" i="3"/>
  <c r="AO516" i="3"/>
  <c r="BA514" i="3"/>
  <c r="AU515" i="3"/>
  <c r="AW515" i="3"/>
  <c r="BB513" i="3"/>
  <c r="BQ513" i="3"/>
  <c r="BF513" i="3"/>
  <c r="BJ512" i="3"/>
  <c r="BK512" i="3"/>
  <c r="AT515" i="3"/>
  <c r="BD513" i="3"/>
  <c r="AU516" i="3"/>
  <c r="BC514" i="3"/>
  <c r="BD514" i="3"/>
  <c r="AW516" i="3"/>
  <c r="Y517" i="3"/>
  <c r="Z517" i="3"/>
  <c r="BN517" i="3"/>
  <c r="AN517" i="3"/>
  <c r="AT516" i="3"/>
  <c r="AY515" i="3"/>
  <c r="BQ514" i="3"/>
  <c r="BF514" i="3"/>
  <c r="BJ513" i="3"/>
  <c r="BK513" i="3"/>
  <c r="BB514" i="3"/>
  <c r="B518" i="3"/>
  <c r="A519" i="3"/>
  <c r="AQ518" i="3"/>
  <c r="AR518" i="3"/>
  <c r="C518" i="3"/>
  <c r="D518" i="3"/>
  <c r="T518" i="3"/>
  <c r="S518" i="3"/>
  <c r="AK518" i="3"/>
  <c r="AM518" i="3"/>
  <c r="Q518" i="3"/>
  <c r="R518" i="3"/>
  <c r="AD518" i="3"/>
  <c r="P518" i="3"/>
  <c r="O518" i="3"/>
  <c r="M518" i="3"/>
  <c r="AE518" i="3"/>
  <c r="U518" i="3"/>
  <c r="AF518" i="3"/>
  <c r="V518" i="3"/>
  <c r="F518" i="3"/>
  <c r="G518" i="3"/>
  <c r="H518" i="3"/>
  <c r="AX516" i="3"/>
  <c r="BM517" i="3"/>
  <c r="AG517" i="3"/>
  <c r="AH517" i="3"/>
  <c r="AO517" i="3"/>
  <c r="AV515" i="3"/>
  <c r="BA515" i="3"/>
  <c r="X517" i="3"/>
  <c r="BM518" i="3"/>
  <c r="BN518" i="3"/>
  <c r="AV516" i="3"/>
  <c r="BG514" i="3"/>
  <c r="BH514" i="3"/>
  <c r="BI514" i="3"/>
  <c r="BA516" i="3"/>
  <c r="BB516" i="3"/>
  <c r="AU517" i="3"/>
  <c r="BC515" i="3"/>
  <c r="BG515" i="3"/>
  <c r="BH515" i="3"/>
  <c r="BI515" i="3"/>
  <c r="AO518" i="3"/>
  <c r="BF515" i="3"/>
  <c r="BJ514" i="3"/>
  <c r="BK514" i="3"/>
  <c r="BB515" i="3"/>
  <c r="BQ515" i="3"/>
  <c r="AH518" i="3"/>
  <c r="AG518" i="3"/>
  <c r="Y518" i="3"/>
  <c r="Z518" i="3"/>
  <c r="AR519" i="3"/>
  <c r="B519" i="3"/>
  <c r="AQ519" i="3"/>
  <c r="A520" i="3"/>
  <c r="D519" i="3"/>
  <c r="C519" i="3"/>
  <c r="S519" i="3"/>
  <c r="AK519" i="3"/>
  <c r="AM519" i="3"/>
  <c r="R519" i="3"/>
  <c r="Q519" i="3"/>
  <c r="AD519" i="3"/>
  <c r="P519" i="3"/>
  <c r="O519" i="3"/>
  <c r="AE519" i="3"/>
  <c r="M519" i="3"/>
  <c r="AF519" i="3"/>
  <c r="V519" i="3"/>
  <c r="U519" i="3"/>
  <c r="G519" i="3"/>
  <c r="H519" i="3"/>
  <c r="F519" i="3"/>
  <c r="T519" i="3"/>
  <c r="AW517" i="3"/>
  <c r="AY516" i="3"/>
  <c r="AT517" i="3"/>
  <c r="AX517" i="3"/>
  <c r="AN518" i="3"/>
  <c r="X518" i="3"/>
  <c r="BC516" i="3"/>
  <c r="BD516" i="3"/>
  <c r="BD515" i="3"/>
  <c r="BM519" i="3"/>
  <c r="BN519" i="3"/>
  <c r="BF516" i="3"/>
  <c r="BJ515" i="3"/>
  <c r="BK515" i="3"/>
  <c r="BQ516" i="3"/>
  <c r="AU518" i="3"/>
  <c r="AN519" i="3"/>
  <c r="Y519" i="3"/>
  <c r="Z519" i="3"/>
  <c r="AY517" i="3"/>
  <c r="AT518" i="3"/>
  <c r="AX518" i="3"/>
  <c r="AG519" i="3"/>
  <c r="BA517" i="3"/>
  <c r="AV517" i="3"/>
  <c r="B520" i="3"/>
  <c r="AQ520" i="3"/>
  <c r="AR520" i="3"/>
  <c r="A521" i="3"/>
  <c r="C520" i="3"/>
  <c r="AM520" i="3"/>
  <c r="S520" i="3"/>
  <c r="R520" i="3"/>
  <c r="D520" i="3"/>
  <c r="AK520" i="3"/>
  <c r="Q520" i="3"/>
  <c r="AD520" i="3"/>
  <c r="P520" i="3"/>
  <c r="O520" i="3"/>
  <c r="AF520" i="3"/>
  <c r="V520" i="3"/>
  <c r="AE520" i="3"/>
  <c r="M520" i="3"/>
  <c r="U520" i="3"/>
  <c r="F520" i="3"/>
  <c r="G520" i="3"/>
  <c r="H520" i="3"/>
  <c r="T520" i="3"/>
  <c r="AH519" i="3"/>
  <c r="AO519" i="3"/>
  <c r="X519" i="3"/>
  <c r="AW518" i="3"/>
  <c r="BN520" i="3"/>
  <c r="AV518" i="3"/>
  <c r="BG516" i="3"/>
  <c r="BH516" i="3"/>
  <c r="BI516" i="3"/>
  <c r="AO520" i="3"/>
  <c r="AY518" i="3"/>
  <c r="AG520" i="3"/>
  <c r="AX519" i="3"/>
  <c r="BC517" i="3"/>
  <c r="BD517" i="3"/>
  <c r="AQ521" i="3"/>
  <c r="B521" i="3"/>
  <c r="A522" i="3"/>
  <c r="AR521" i="3"/>
  <c r="C521" i="3"/>
  <c r="AM521" i="3"/>
  <c r="AK521" i="3"/>
  <c r="S521" i="3"/>
  <c r="D521" i="3"/>
  <c r="R521" i="3"/>
  <c r="Q521" i="3"/>
  <c r="AD521" i="3"/>
  <c r="P521" i="3"/>
  <c r="O521" i="3"/>
  <c r="M521" i="3"/>
  <c r="AF521" i="3"/>
  <c r="AE521" i="3"/>
  <c r="V521" i="3"/>
  <c r="U521" i="3"/>
  <c r="F521" i="3"/>
  <c r="G521" i="3"/>
  <c r="H521" i="3"/>
  <c r="T521" i="3"/>
  <c r="BA518" i="3"/>
  <c r="Y520" i="3"/>
  <c r="Z520" i="3"/>
  <c r="BM520" i="3"/>
  <c r="AH520" i="3"/>
  <c r="AN520" i="3"/>
  <c r="AT519" i="3"/>
  <c r="AW519" i="3"/>
  <c r="BB517" i="3"/>
  <c r="BF517" i="3"/>
  <c r="BJ516" i="3"/>
  <c r="BK516" i="3"/>
  <c r="BQ517" i="3"/>
  <c r="X520" i="3"/>
  <c r="AU519" i="3"/>
  <c r="BN521" i="3"/>
  <c r="AU520" i="3"/>
  <c r="BC518" i="3"/>
  <c r="BG518" i="3"/>
  <c r="BH518" i="3"/>
  <c r="BI518" i="3"/>
  <c r="AY519" i="3"/>
  <c r="BM521" i="3"/>
  <c r="AT520" i="3"/>
  <c r="BG517" i="3"/>
  <c r="BH517" i="3"/>
  <c r="BI517" i="3"/>
  <c r="AN521" i="3"/>
  <c r="AW520" i="3"/>
  <c r="Y521" i="3"/>
  <c r="Z521" i="3"/>
  <c r="AV519" i="3"/>
  <c r="BA519" i="3"/>
  <c r="BQ518" i="3"/>
  <c r="BF518" i="3"/>
  <c r="BJ517" i="3"/>
  <c r="BK517" i="3"/>
  <c r="BB518" i="3"/>
  <c r="B522" i="3"/>
  <c r="A523" i="3"/>
  <c r="AQ522" i="3"/>
  <c r="AR522" i="3"/>
  <c r="C522" i="3"/>
  <c r="AM522" i="3"/>
  <c r="R522" i="3"/>
  <c r="D522" i="3"/>
  <c r="AK522" i="3"/>
  <c r="S522" i="3"/>
  <c r="Q522" i="3"/>
  <c r="AD522" i="3"/>
  <c r="P522" i="3"/>
  <c r="O522" i="3"/>
  <c r="V522" i="3"/>
  <c r="M522" i="3"/>
  <c r="AF522" i="3"/>
  <c r="AE522" i="3"/>
  <c r="U522" i="3"/>
  <c r="F522" i="3"/>
  <c r="G522" i="3"/>
  <c r="H522" i="3"/>
  <c r="T522" i="3"/>
  <c r="AX520" i="3"/>
  <c r="AG521" i="3"/>
  <c r="AO521" i="3"/>
  <c r="X521" i="3"/>
  <c r="AH521" i="3"/>
  <c r="AV520" i="3"/>
  <c r="BD518" i="3"/>
  <c r="BC519" i="3"/>
  <c r="BD519" i="3"/>
  <c r="AY520" i="3"/>
  <c r="BM522" i="3"/>
  <c r="AG522" i="3"/>
  <c r="AX521" i="3"/>
  <c r="AN522" i="3"/>
  <c r="Y522" i="3"/>
  <c r="Z522" i="3"/>
  <c r="BB519" i="3"/>
  <c r="BQ519" i="3"/>
  <c r="BF519" i="3"/>
  <c r="BJ518" i="3"/>
  <c r="BK518" i="3"/>
  <c r="AH522" i="3"/>
  <c r="AT521" i="3"/>
  <c r="AU521" i="3"/>
  <c r="AW521" i="3"/>
  <c r="BN522" i="3"/>
  <c r="AO522" i="3"/>
  <c r="X522" i="3"/>
  <c r="BA520" i="3"/>
  <c r="AR523" i="3"/>
  <c r="B523" i="3"/>
  <c r="AQ523" i="3"/>
  <c r="A524" i="3"/>
  <c r="C523" i="3"/>
  <c r="D523" i="3"/>
  <c r="T523" i="3"/>
  <c r="S523" i="3"/>
  <c r="R523" i="3"/>
  <c r="AK523" i="3"/>
  <c r="AM523" i="3"/>
  <c r="Q523" i="3"/>
  <c r="AD523" i="3"/>
  <c r="O523" i="3"/>
  <c r="AE523" i="3"/>
  <c r="M523" i="3"/>
  <c r="V523" i="3"/>
  <c r="P523" i="3"/>
  <c r="AF523" i="3"/>
  <c r="U523" i="3"/>
  <c r="F523" i="3"/>
  <c r="BM523" i="3"/>
  <c r="G523" i="3"/>
  <c r="H523" i="3"/>
  <c r="BN523" i="3"/>
  <c r="BC520" i="3"/>
  <c r="BD520" i="3"/>
  <c r="BG519" i="3"/>
  <c r="BH519" i="3"/>
  <c r="BI519" i="3"/>
  <c r="AU522" i="3"/>
  <c r="AY521" i="3"/>
  <c r="AN523" i="3"/>
  <c r="AW522" i="3"/>
  <c r="Y523" i="3"/>
  <c r="Z523" i="3"/>
  <c r="B524" i="3"/>
  <c r="AQ524" i="3"/>
  <c r="AR524" i="3"/>
  <c r="A525" i="3"/>
  <c r="C524" i="3"/>
  <c r="AM524" i="3"/>
  <c r="AK524" i="3"/>
  <c r="D524" i="3"/>
  <c r="S524" i="3"/>
  <c r="R524" i="3"/>
  <c r="Q524" i="3"/>
  <c r="P524" i="3"/>
  <c r="AD524" i="3"/>
  <c r="O524" i="3"/>
  <c r="M524" i="3"/>
  <c r="AF524" i="3"/>
  <c r="AE524" i="3"/>
  <c r="V524" i="3"/>
  <c r="U524" i="3"/>
  <c r="G524" i="3"/>
  <c r="H524" i="3"/>
  <c r="F524" i="3"/>
  <c r="T524" i="3"/>
  <c r="BQ520" i="3"/>
  <c r="BF520" i="3"/>
  <c r="BJ519" i="3"/>
  <c r="BK519" i="3"/>
  <c r="BB520" i="3"/>
  <c r="AG523" i="3"/>
  <c r="AH523" i="3"/>
  <c r="X523" i="3"/>
  <c r="AX522" i="3"/>
  <c r="AT522" i="3"/>
  <c r="AO523" i="3"/>
  <c r="AV521" i="3"/>
  <c r="BA521" i="3"/>
  <c r="BM524" i="3"/>
  <c r="BN524" i="3"/>
  <c r="BG520" i="3"/>
  <c r="BH520" i="3"/>
  <c r="BI520" i="3"/>
  <c r="AY522" i="3"/>
  <c r="AO524" i="3"/>
  <c r="Y524" i="3"/>
  <c r="Z524" i="3"/>
  <c r="AU523" i="3"/>
  <c r="AG524" i="3"/>
  <c r="BC521" i="3"/>
  <c r="BG521" i="3"/>
  <c r="BH521" i="3"/>
  <c r="BI521" i="3"/>
  <c r="AT523" i="3"/>
  <c r="BA522" i="3"/>
  <c r="AV522" i="3"/>
  <c r="AX523" i="3"/>
  <c r="AH524" i="3"/>
  <c r="X524" i="3"/>
  <c r="BB521" i="3"/>
  <c r="BF521" i="3"/>
  <c r="BJ520" i="3"/>
  <c r="BK520" i="3"/>
  <c r="BQ521" i="3"/>
  <c r="AQ525" i="3"/>
  <c r="B525" i="3"/>
  <c r="A526" i="3"/>
  <c r="AR525" i="3"/>
  <c r="C525" i="3"/>
  <c r="D525" i="3"/>
  <c r="AM525" i="3"/>
  <c r="AK525" i="3"/>
  <c r="S525" i="3"/>
  <c r="Q525" i="3"/>
  <c r="R525" i="3"/>
  <c r="T525" i="3"/>
  <c r="AD525" i="3"/>
  <c r="P525" i="3"/>
  <c r="M525" i="3"/>
  <c r="AE525" i="3"/>
  <c r="O525" i="3"/>
  <c r="AF525" i="3"/>
  <c r="V525" i="3"/>
  <c r="U525" i="3"/>
  <c r="G525" i="3"/>
  <c r="H525" i="3"/>
  <c r="F525" i="3"/>
  <c r="AW523" i="3"/>
  <c r="AN524" i="3"/>
  <c r="BD521" i="3"/>
  <c r="BC522" i="3"/>
  <c r="BG522" i="3"/>
  <c r="BH522" i="3"/>
  <c r="BI522" i="3"/>
  <c r="AN525" i="3"/>
  <c r="AV523" i="3"/>
  <c r="BN525" i="3"/>
  <c r="BM525" i="3"/>
  <c r="AT524" i="3"/>
  <c r="AY523" i="3"/>
  <c r="AU524" i="3"/>
  <c r="AH525" i="3"/>
  <c r="B526" i="3"/>
  <c r="A527" i="3"/>
  <c r="AQ526" i="3"/>
  <c r="AR526" i="3"/>
  <c r="C526" i="3"/>
  <c r="AM526" i="3"/>
  <c r="Q526" i="3"/>
  <c r="D526" i="3"/>
  <c r="AK526" i="3"/>
  <c r="T526" i="3"/>
  <c r="S526" i="3"/>
  <c r="R526" i="3"/>
  <c r="AD526" i="3"/>
  <c r="P526" i="3"/>
  <c r="O526" i="3"/>
  <c r="M526" i="3"/>
  <c r="AE526" i="3"/>
  <c r="V526" i="3"/>
  <c r="AF526" i="3"/>
  <c r="U526" i="3"/>
  <c r="G526" i="3"/>
  <c r="H526" i="3"/>
  <c r="F526" i="3"/>
  <c r="BB522" i="3"/>
  <c r="BQ522" i="3"/>
  <c r="BF522" i="3"/>
  <c r="BJ521" i="3"/>
  <c r="BK521" i="3"/>
  <c r="X525" i="3"/>
  <c r="BA523" i="3"/>
  <c r="AX524" i="3"/>
  <c r="Y525" i="3"/>
  <c r="Z525" i="3"/>
  <c r="AG525" i="3"/>
  <c r="AO525" i="3"/>
  <c r="AW524" i="3"/>
  <c r="BD522" i="3"/>
  <c r="AV524" i="3"/>
  <c r="AT525" i="3"/>
  <c r="BC523" i="3"/>
  <c r="BD523" i="3"/>
  <c r="BM526" i="3"/>
  <c r="AH526" i="3"/>
  <c r="AN526" i="3"/>
  <c r="AU525" i="3"/>
  <c r="AW525" i="3"/>
  <c r="AY524" i="3"/>
  <c r="BA524" i="3"/>
  <c r="BN526" i="3"/>
  <c r="AG526" i="3"/>
  <c r="AO526" i="3"/>
  <c r="X526" i="3"/>
  <c r="BF523" i="3"/>
  <c r="BJ522" i="3"/>
  <c r="BK522" i="3"/>
  <c r="BQ523" i="3"/>
  <c r="BB523" i="3"/>
  <c r="Y526" i="3"/>
  <c r="Z526" i="3"/>
  <c r="AR527" i="3"/>
  <c r="B527" i="3"/>
  <c r="AQ527" i="3"/>
  <c r="A528" i="3"/>
  <c r="C527" i="3"/>
  <c r="AM527" i="3"/>
  <c r="T527" i="3"/>
  <c r="AK527" i="3"/>
  <c r="D527" i="3"/>
  <c r="R527" i="3"/>
  <c r="S527" i="3"/>
  <c r="Q527" i="3"/>
  <c r="AD527" i="3"/>
  <c r="O527" i="3"/>
  <c r="P527" i="3"/>
  <c r="U527" i="3"/>
  <c r="V527" i="3"/>
  <c r="AF527" i="3"/>
  <c r="AE527" i="3"/>
  <c r="M527" i="3"/>
  <c r="G527" i="3"/>
  <c r="H527" i="3"/>
  <c r="BN527" i="3"/>
  <c r="F527" i="3"/>
  <c r="AX525" i="3"/>
  <c r="BC524" i="3"/>
  <c r="BD524" i="3"/>
  <c r="AO527" i="3"/>
  <c r="AV525" i="3"/>
  <c r="AU526" i="3"/>
  <c r="BG523" i="3"/>
  <c r="BH523" i="3"/>
  <c r="BI523" i="3"/>
  <c r="AG527" i="3"/>
  <c r="AT526" i="3"/>
  <c r="AW526" i="3"/>
  <c r="BA525" i="3"/>
  <c r="BF525" i="3"/>
  <c r="B528" i="3"/>
  <c r="AQ528" i="3"/>
  <c r="AR528" i="3"/>
  <c r="A529" i="3"/>
  <c r="C528" i="3"/>
  <c r="D528" i="3"/>
  <c r="AK528" i="3"/>
  <c r="AM528" i="3"/>
  <c r="T528" i="3"/>
  <c r="S528" i="3"/>
  <c r="R528" i="3"/>
  <c r="AD528" i="3"/>
  <c r="Q528" i="3"/>
  <c r="O528" i="3"/>
  <c r="AF528" i="3"/>
  <c r="M528" i="3"/>
  <c r="P528" i="3"/>
  <c r="AE528" i="3"/>
  <c r="V528" i="3"/>
  <c r="U528" i="3"/>
  <c r="F528" i="3"/>
  <c r="G528" i="3"/>
  <c r="H528" i="3"/>
  <c r="X527" i="3"/>
  <c r="BM527" i="3"/>
  <c r="AN527" i="3"/>
  <c r="Y527" i="3"/>
  <c r="Z527" i="3"/>
  <c r="BQ524" i="3"/>
  <c r="BB524" i="3"/>
  <c r="BF524" i="3"/>
  <c r="BJ523" i="3"/>
  <c r="BK523" i="3"/>
  <c r="AH527" i="3"/>
  <c r="AX526" i="3"/>
  <c r="AY525" i="3"/>
  <c r="BM528" i="3"/>
  <c r="BN528" i="3"/>
  <c r="BG524" i="3"/>
  <c r="BH524" i="3"/>
  <c r="BI524" i="3"/>
  <c r="BC525" i="3"/>
  <c r="BG525" i="3"/>
  <c r="BH525" i="3"/>
  <c r="BI525" i="3"/>
  <c r="AV526" i="3"/>
  <c r="AX527" i="3"/>
  <c r="AO528" i="3"/>
  <c r="BA526" i="3"/>
  <c r="BB526" i="3"/>
  <c r="BQ525" i="3"/>
  <c r="AY526" i="3"/>
  <c r="BB525" i="3"/>
  <c r="Y528" i="3"/>
  <c r="Z528" i="3"/>
  <c r="AQ529" i="3"/>
  <c r="B529" i="3"/>
  <c r="A530" i="3"/>
  <c r="AR529" i="3"/>
  <c r="D529" i="3"/>
  <c r="C529" i="3"/>
  <c r="AM529" i="3"/>
  <c r="R529" i="3"/>
  <c r="AK529" i="3"/>
  <c r="Q529" i="3"/>
  <c r="AD529" i="3"/>
  <c r="P529" i="3"/>
  <c r="S529" i="3"/>
  <c r="AE529" i="3"/>
  <c r="M529" i="3"/>
  <c r="O529" i="3"/>
  <c r="AF529" i="3"/>
  <c r="V529" i="3"/>
  <c r="U529" i="3"/>
  <c r="G529" i="3"/>
  <c r="H529" i="3"/>
  <c r="F529" i="3"/>
  <c r="T529" i="3"/>
  <c r="AU527" i="3"/>
  <c r="AW527" i="3"/>
  <c r="AT527" i="3"/>
  <c r="AG528" i="3"/>
  <c r="AH528" i="3"/>
  <c r="AN528" i="3"/>
  <c r="BJ524" i="3"/>
  <c r="BK524" i="3"/>
  <c r="X528" i="3"/>
  <c r="BD525" i="3"/>
  <c r="AO529" i="3"/>
  <c r="BQ526" i="3"/>
  <c r="BC526" i="3"/>
  <c r="BG526" i="3"/>
  <c r="BH526" i="3"/>
  <c r="BI526" i="3"/>
  <c r="BM529" i="3"/>
  <c r="AY527" i="3"/>
  <c r="BF526" i="3"/>
  <c r="BJ525" i="3"/>
  <c r="BK525" i="3"/>
  <c r="AU528" i="3"/>
  <c r="AX528" i="3"/>
  <c r="AH529" i="3"/>
  <c r="AT528" i="3"/>
  <c r="AW528" i="3"/>
  <c r="Y529" i="3"/>
  <c r="Z529" i="3"/>
  <c r="BN529" i="3"/>
  <c r="AG529" i="3"/>
  <c r="X529" i="3"/>
  <c r="AV527" i="3"/>
  <c r="BA527" i="3"/>
  <c r="B530" i="3"/>
  <c r="A531" i="3"/>
  <c r="AQ530" i="3"/>
  <c r="AR530" i="3"/>
  <c r="D530" i="3"/>
  <c r="C530" i="3"/>
  <c r="AK530" i="3"/>
  <c r="AM530" i="3"/>
  <c r="T530" i="3"/>
  <c r="Q530" i="3"/>
  <c r="S530" i="3"/>
  <c r="AD530" i="3"/>
  <c r="P530" i="3"/>
  <c r="O530" i="3"/>
  <c r="M530" i="3"/>
  <c r="U530" i="3"/>
  <c r="V530" i="3"/>
  <c r="AE530" i="3"/>
  <c r="AF530" i="3"/>
  <c r="R530" i="3"/>
  <c r="G530" i="3"/>
  <c r="H530" i="3"/>
  <c r="F530" i="3"/>
  <c r="AN529" i="3"/>
  <c r="BM530" i="3"/>
  <c r="BN530" i="3"/>
  <c r="BD526" i="3"/>
  <c r="AN530" i="3"/>
  <c r="BC527" i="3"/>
  <c r="BG527" i="3"/>
  <c r="BH527" i="3"/>
  <c r="BI527" i="3"/>
  <c r="AG530" i="3"/>
  <c r="AY528" i="3"/>
  <c r="AT529" i="3"/>
  <c r="AU529" i="3"/>
  <c r="AX529" i="3"/>
  <c r="BA528" i="3"/>
  <c r="BQ528" i="3"/>
  <c r="Y530" i="3"/>
  <c r="Z530" i="3"/>
  <c r="AH530" i="3"/>
  <c r="AO530" i="3"/>
  <c r="AV528" i="3"/>
  <c r="AR531" i="3"/>
  <c r="B531" i="3"/>
  <c r="AQ531" i="3"/>
  <c r="A532" i="3"/>
  <c r="C531" i="3"/>
  <c r="AK531" i="3"/>
  <c r="S531" i="3"/>
  <c r="Q531" i="3"/>
  <c r="AM531" i="3"/>
  <c r="D531" i="3"/>
  <c r="R531" i="3"/>
  <c r="P531" i="3"/>
  <c r="AD531" i="3"/>
  <c r="AE531" i="3"/>
  <c r="M531" i="3"/>
  <c r="O531" i="3"/>
  <c r="AF531" i="3"/>
  <c r="U531" i="3"/>
  <c r="V531" i="3"/>
  <c r="G531" i="3"/>
  <c r="H531" i="3"/>
  <c r="F531" i="3"/>
  <c r="T531" i="3"/>
  <c r="BB527" i="3"/>
  <c r="BF527" i="3"/>
  <c r="BJ526" i="3"/>
  <c r="BK526" i="3"/>
  <c r="BQ527" i="3"/>
  <c r="X530" i="3"/>
  <c r="AW529" i="3"/>
  <c r="BD527" i="3"/>
  <c r="BM531" i="3"/>
  <c r="BN531" i="3"/>
  <c r="AO531" i="3"/>
  <c r="BC528" i="3"/>
  <c r="BD528" i="3"/>
  <c r="AV529" i="3"/>
  <c r="AY529" i="3"/>
  <c r="AG531" i="3"/>
  <c r="Y531" i="3"/>
  <c r="Z531" i="3"/>
  <c r="BF528" i="3"/>
  <c r="BJ527" i="3"/>
  <c r="BK527" i="3"/>
  <c r="BB528" i="3"/>
  <c r="AU530" i="3"/>
  <c r="AT530" i="3"/>
  <c r="BA529" i="3"/>
  <c r="AH531" i="3"/>
  <c r="AN531" i="3"/>
  <c r="X531" i="3"/>
  <c r="AX530" i="3"/>
  <c r="AW530" i="3"/>
  <c r="B532" i="3"/>
  <c r="AQ532" i="3"/>
  <c r="AR532" i="3"/>
  <c r="A533" i="3"/>
  <c r="D532" i="3"/>
  <c r="AK532" i="3"/>
  <c r="C532" i="3"/>
  <c r="AM532" i="3"/>
  <c r="S532" i="3"/>
  <c r="AD532" i="3"/>
  <c r="P532" i="3"/>
  <c r="R532" i="3"/>
  <c r="M532" i="3"/>
  <c r="U532" i="3"/>
  <c r="O532" i="3"/>
  <c r="AE532" i="3"/>
  <c r="AF532" i="3"/>
  <c r="V532" i="3"/>
  <c r="Q532" i="3"/>
  <c r="G532" i="3"/>
  <c r="H532" i="3"/>
  <c r="F532" i="3"/>
  <c r="T532" i="3"/>
  <c r="BM532" i="3"/>
  <c r="AN532" i="3"/>
  <c r="BG528" i="3"/>
  <c r="BH528" i="3"/>
  <c r="BI528" i="3"/>
  <c r="BN532" i="3"/>
  <c r="BC529" i="3"/>
  <c r="BD529" i="3"/>
  <c r="AV530" i="3"/>
  <c r="AG532" i="3"/>
  <c r="AX531" i="3"/>
  <c r="AW531" i="3"/>
  <c r="AT531" i="3"/>
  <c r="Y532" i="3"/>
  <c r="Z532" i="3"/>
  <c r="BA530" i="3"/>
  <c r="BF530" i="3"/>
  <c r="BB529" i="3"/>
  <c r="BF529" i="3"/>
  <c r="BJ528" i="3"/>
  <c r="BK528" i="3"/>
  <c r="BQ529" i="3"/>
  <c r="X532" i="3"/>
  <c r="AY530" i="3"/>
  <c r="AU531" i="3"/>
  <c r="AQ533" i="3"/>
  <c r="B533" i="3"/>
  <c r="A534" i="3"/>
  <c r="AR533" i="3"/>
  <c r="C533" i="3"/>
  <c r="D533" i="3"/>
  <c r="T533" i="3"/>
  <c r="S533" i="3"/>
  <c r="AK533" i="3"/>
  <c r="AM533" i="3"/>
  <c r="R533" i="3"/>
  <c r="Q533" i="3"/>
  <c r="AD533" i="3"/>
  <c r="M533" i="3"/>
  <c r="AE533" i="3"/>
  <c r="U533" i="3"/>
  <c r="V533" i="3"/>
  <c r="P533" i="3"/>
  <c r="O533" i="3"/>
  <c r="AF533" i="3"/>
  <c r="F533" i="3"/>
  <c r="G533" i="3"/>
  <c r="H533" i="3"/>
  <c r="AH532" i="3"/>
  <c r="AO532" i="3"/>
  <c r="BM533" i="3"/>
  <c r="BN533" i="3"/>
  <c r="BC530" i="3"/>
  <c r="BD530" i="3"/>
  <c r="BG529" i="3"/>
  <c r="BH529" i="3"/>
  <c r="BI529" i="3"/>
  <c r="AG533" i="3"/>
  <c r="AU532" i="3"/>
  <c r="AY531" i="3"/>
  <c r="BB530" i="3"/>
  <c r="AO533" i="3"/>
  <c r="AV531" i="3"/>
  <c r="AW532" i="3"/>
  <c r="BA531" i="3"/>
  <c r="BQ531" i="3"/>
  <c r="BQ530" i="3"/>
  <c r="B534" i="3"/>
  <c r="A535" i="3"/>
  <c r="AQ534" i="3"/>
  <c r="AR534" i="3"/>
  <c r="D534" i="3"/>
  <c r="C534" i="3"/>
  <c r="AK534" i="3"/>
  <c r="AM534" i="3"/>
  <c r="S534" i="3"/>
  <c r="R534" i="3"/>
  <c r="Q534" i="3"/>
  <c r="AD534" i="3"/>
  <c r="P534" i="3"/>
  <c r="O534" i="3"/>
  <c r="AE534" i="3"/>
  <c r="AF534" i="3"/>
  <c r="V534" i="3"/>
  <c r="M534" i="3"/>
  <c r="U534" i="3"/>
  <c r="F534" i="3"/>
  <c r="G534" i="3"/>
  <c r="H534" i="3"/>
  <c r="T534" i="3"/>
  <c r="AH533" i="3"/>
  <c r="X533" i="3"/>
  <c r="BJ529" i="3"/>
  <c r="BK529" i="3"/>
  <c r="Y533" i="3"/>
  <c r="Z533" i="3"/>
  <c r="AX532" i="3"/>
  <c r="AN533" i="3"/>
  <c r="AT532" i="3"/>
  <c r="BN534" i="3"/>
  <c r="BM534" i="3"/>
  <c r="BG530" i="3"/>
  <c r="BH530" i="3"/>
  <c r="BI530" i="3"/>
  <c r="AT533" i="3"/>
  <c r="BC531" i="3"/>
  <c r="BD531" i="3"/>
  <c r="AU533" i="3"/>
  <c r="AY532" i="3"/>
  <c r="BF531" i="3"/>
  <c r="BJ530" i="3"/>
  <c r="BK530" i="3"/>
  <c r="BB531" i="3"/>
  <c r="AO534" i="3"/>
  <c r="AW533" i="3"/>
  <c r="AG534" i="3"/>
  <c r="BA532" i="3"/>
  <c r="BF532" i="3"/>
  <c r="AR535" i="3"/>
  <c r="B535" i="3"/>
  <c r="AQ535" i="3"/>
  <c r="A536" i="3"/>
  <c r="D535" i="3"/>
  <c r="C535" i="3"/>
  <c r="AM535" i="3"/>
  <c r="AK535" i="3"/>
  <c r="S535" i="3"/>
  <c r="Q535" i="3"/>
  <c r="T535" i="3"/>
  <c r="R535" i="3"/>
  <c r="AD535" i="3"/>
  <c r="P535" i="3"/>
  <c r="M535" i="3"/>
  <c r="O535" i="3"/>
  <c r="AE535" i="3"/>
  <c r="AF535" i="3"/>
  <c r="V535" i="3"/>
  <c r="U535" i="3"/>
  <c r="F535" i="3"/>
  <c r="G535" i="3"/>
  <c r="H535" i="3"/>
  <c r="AV532" i="3"/>
  <c r="AX533" i="3"/>
  <c r="Y534" i="3"/>
  <c r="Z534" i="3"/>
  <c r="AH534" i="3"/>
  <c r="AN534" i="3"/>
  <c r="X534" i="3"/>
  <c r="BG531" i="3"/>
  <c r="BH531" i="3"/>
  <c r="BI531" i="3"/>
  <c r="BC532" i="3"/>
  <c r="BD532" i="3"/>
  <c r="BJ531" i="3"/>
  <c r="BK531" i="3"/>
  <c r="AV533" i="3"/>
  <c r="BN535" i="3"/>
  <c r="BM535" i="3"/>
  <c r="BQ532" i="3"/>
  <c r="BA533" i="3"/>
  <c r="BF533" i="3"/>
  <c r="BJ532" i="3"/>
  <c r="BK532" i="3"/>
  <c r="AO535" i="3"/>
  <c r="BB532" i="3"/>
  <c r="AX534" i="3"/>
  <c r="AH535" i="3"/>
  <c r="Y535" i="3"/>
  <c r="Z535" i="3"/>
  <c r="AU534" i="3"/>
  <c r="AW534" i="3"/>
  <c r="AT534" i="3"/>
  <c r="AG535" i="3"/>
  <c r="AN535" i="3"/>
  <c r="AY533" i="3"/>
  <c r="B536" i="3"/>
  <c r="AQ536" i="3"/>
  <c r="AR536" i="3"/>
  <c r="A537" i="3"/>
  <c r="D536" i="3"/>
  <c r="AM536" i="3"/>
  <c r="S536" i="3"/>
  <c r="Q536" i="3"/>
  <c r="C536" i="3"/>
  <c r="AK536" i="3"/>
  <c r="T536" i="3"/>
  <c r="AD536" i="3"/>
  <c r="P536" i="3"/>
  <c r="R536" i="3"/>
  <c r="M536" i="3"/>
  <c r="O536" i="3"/>
  <c r="AF536" i="3"/>
  <c r="U536" i="3"/>
  <c r="AE536" i="3"/>
  <c r="V536" i="3"/>
  <c r="F536" i="3"/>
  <c r="BM536" i="3"/>
  <c r="G536" i="3"/>
  <c r="H536" i="3"/>
  <c r="X535" i="3"/>
  <c r="BG532" i="3"/>
  <c r="BH532" i="3"/>
  <c r="BI532" i="3"/>
  <c r="BC533" i="3"/>
  <c r="BD533" i="3"/>
  <c r="AO536" i="3"/>
  <c r="BN536" i="3"/>
  <c r="BQ533" i="3"/>
  <c r="BB533" i="3"/>
  <c r="AW535" i="3"/>
  <c r="AY534" i="3"/>
  <c r="Y536" i="3"/>
  <c r="Z536" i="3"/>
  <c r="AU535" i="3"/>
  <c r="AG536" i="3"/>
  <c r="AH536" i="3"/>
  <c r="X536" i="3"/>
  <c r="AT535" i="3"/>
  <c r="BA534" i="3"/>
  <c r="AV534" i="3"/>
  <c r="AQ537" i="3"/>
  <c r="B537" i="3"/>
  <c r="A538" i="3"/>
  <c r="AR537" i="3"/>
  <c r="D537" i="3"/>
  <c r="T537" i="3"/>
  <c r="S537" i="3"/>
  <c r="C537" i="3"/>
  <c r="AK537" i="3"/>
  <c r="AM537" i="3"/>
  <c r="P537" i="3"/>
  <c r="Q537" i="3"/>
  <c r="AD537" i="3"/>
  <c r="M537" i="3"/>
  <c r="O537" i="3"/>
  <c r="AF537" i="3"/>
  <c r="V537" i="3"/>
  <c r="AE537" i="3"/>
  <c r="U537" i="3"/>
  <c r="R537" i="3"/>
  <c r="G537" i="3"/>
  <c r="H537" i="3"/>
  <c r="F537" i="3"/>
  <c r="AN536" i="3"/>
  <c r="AX535" i="3"/>
  <c r="BN537" i="3"/>
  <c r="BM537" i="3"/>
  <c r="BC534" i="3"/>
  <c r="BG534" i="3"/>
  <c r="BH534" i="3"/>
  <c r="BI534" i="3"/>
  <c r="BG533" i="3"/>
  <c r="BH533" i="3"/>
  <c r="BI533" i="3"/>
  <c r="AY535" i="3"/>
  <c r="AO537" i="3"/>
  <c r="AT536" i="3"/>
  <c r="AN537" i="3"/>
  <c r="AX536" i="3"/>
  <c r="AU536" i="3"/>
  <c r="AG537" i="3"/>
  <c r="BA535" i="3"/>
  <c r="AV535" i="3"/>
  <c r="AH537" i="3"/>
  <c r="X537" i="3"/>
  <c r="AW536" i="3"/>
  <c r="Y537" i="3"/>
  <c r="Z537" i="3"/>
  <c r="B538" i="3"/>
  <c r="A539" i="3"/>
  <c r="AQ538" i="3"/>
  <c r="AR538" i="3"/>
  <c r="C538" i="3"/>
  <c r="AM538" i="3"/>
  <c r="T538" i="3"/>
  <c r="Q538" i="3"/>
  <c r="AK538" i="3"/>
  <c r="D538" i="3"/>
  <c r="S538" i="3"/>
  <c r="R538" i="3"/>
  <c r="AD538" i="3"/>
  <c r="AE538" i="3"/>
  <c r="M538" i="3"/>
  <c r="P538" i="3"/>
  <c r="O538" i="3"/>
  <c r="AF538" i="3"/>
  <c r="V538" i="3"/>
  <c r="U538" i="3"/>
  <c r="G538" i="3"/>
  <c r="H538" i="3"/>
  <c r="F538" i="3"/>
  <c r="BB534" i="3"/>
  <c r="BF534" i="3"/>
  <c r="BJ533" i="3"/>
  <c r="BK533" i="3"/>
  <c r="BQ534" i="3"/>
  <c r="BC535" i="3"/>
  <c r="BG535" i="3"/>
  <c r="BH535" i="3"/>
  <c r="BI535" i="3"/>
  <c r="BD534" i="3"/>
  <c r="BM538" i="3"/>
  <c r="BN538" i="3"/>
  <c r="AO538" i="3"/>
  <c r="AY536" i="3"/>
  <c r="AX537" i="3"/>
  <c r="AV536" i="3"/>
  <c r="AT537" i="3"/>
  <c r="AN538" i="3"/>
  <c r="AU537" i="3"/>
  <c r="BA536" i="3"/>
  <c r="BQ536" i="3"/>
  <c r="AH538" i="3"/>
  <c r="X538" i="3"/>
  <c r="Y538" i="3"/>
  <c r="Z538" i="3"/>
  <c r="AR539" i="3"/>
  <c r="B539" i="3"/>
  <c r="AQ539" i="3"/>
  <c r="A540" i="3"/>
  <c r="C539" i="3"/>
  <c r="AM539" i="3"/>
  <c r="S539" i="3"/>
  <c r="Q539" i="3"/>
  <c r="D539" i="3"/>
  <c r="AK539" i="3"/>
  <c r="AD539" i="3"/>
  <c r="R539" i="3"/>
  <c r="P539" i="3"/>
  <c r="O539" i="3"/>
  <c r="M539" i="3"/>
  <c r="AE539" i="3"/>
  <c r="AF539" i="3"/>
  <c r="U539" i="3"/>
  <c r="V539" i="3"/>
  <c r="F539" i="3"/>
  <c r="G539" i="3"/>
  <c r="H539" i="3"/>
  <c r="T539" i="3"/>
  <c r="BF535" i="3"/>
  <c r="BJ534" i="3"/>
  <c r="BK534" i="3"/>
  <c r="BQ535" i="3"/>
  <c r="BB535" i="3"/>
  <c r="AG538" i="3"/>
  <c r="AW537" i="3"/>
  <c r="BD535" i="3"/>
  <c r="AO539" i="3"/>
  <c r="BC536" i="3"/>
  <c r="BG536" i="3"/>
  <c r="BH536" i="3"/>
  <c r="BI536" i="3"/>
  <c r="BN539" i="3"/>
  <c r="AV537" i="3"/>
  <c r="AY537" i="3"/>
  <c r="AW538" i="3"/>
  <c r="BM539" i="3"/>
  <c r="BB536" i="3"/>
  <c r="BF536" i="3"/>
  <c r="BJ535" i="3"/>
  <c r="BK535" i="3"/>
  <c r="AG539" i="3"/>
  <c r="Y539" i="3"/>
  <c r="Z539" i="3"/>
  <c r="AT538" i="3"/>
  <c r="AH539" i="3"/>
  <c r="X539" i="3"/>
  <c r="AU538" i="3"/>
  <c r="AX538" i="3"/>
  <c r="B540" i="3"/>
  <c r="AQ540" i="3"/>
  <c r="AR540" i="3"/>
  <c r="A541" i="3"/>
  <c r="C540" i="3"/>
  <c r="D540" i="3"/>
  <c r="S540" i="3"/>
  <c r="Q540" i="3"/>
  <c r="AM540" i="3"/>
  <c r="AK540" i="3"/>
  <c r="T540" i="3"/>
  <c r="AD540" i="3"/>
  <c r="P540" i="3"/>
  <c r="O540" i="3"/>
  <c r="AE540" i="3"/>
  <c r="AF540" i="3"/>
  <c r="M540" i="3"/>
  <c r="V540" i="3"/>
  <c r="U540" i="3"/>
  <c r="R540" i="3"/>
  <c r="F540" i="3"/>
  <c r="G540" i="3"/>
  <c r="H540" i="3"/>
  <c r="AN539" i="3"/>
  <c r="BA537" i="3"/>
  <c r="BN540" i="3"/>
  <c r="BM540" i="3"/>
  <c r="BD536" i="3"/>
  <c r="BC537" i="3"/>
  <c r="AY538" i="3"/>
  <c r="AT539" i="3"/>
  <c r="AO540" i="3"/>
  <c r="AU539" i="3"/>
  <c r="AW539" i="3"/>
  <c r="BB537" i="3"/>
  <c r="BF537" i="3"/>
  <c r="BQ537" i="3"/>
  <c r="AV538" i="3"/>
  <c r="BA538" i="3"/>
  <c r="AH540" i="3"/>
  <c r="AG540" i="3"/>
  <c r="AN540" i="3"/>
  <c r="X540" i="3"/>
  <c r="Y540" i="3"/>
  <c r="Z540" i="3"/>
  <c r="AQ541" i="3"/>
  <c r="B541" i="3"/>
  <c r="A542" i="3"/>
  <c r="AR541" i="3"/>
  <c r="C541" i="3"/>
  <c r="D541" i="3"/>
  <c r="AM541" i="3"/>
  <c r="S541" i="3"/>
  <c r="Q541" i="3"/>
  <c r="AK541" i="3"/>
  <c r="R541" i="3"/>
  <c r="P541" i="3"/>
  <c r="AD541" i="3"/>
  <c r="O541" i="3"/>
  <c r="AE541" i="3"/>
  <c r="U541" i="3"/>
  <c r="M541" i="3"/>
  <c r="AF541" i="3"/>
  <c r="V541" i="3"/>
  <c r="G541" i="3"/>
  <c r="H541" i="3"/>
  <c r="F541" i="3"/>
  <c r="T541" i="3"/>
  <c r="AX539" i="3"/>
  <c r="BM541" i="3"/>
  <c r="BN541" i="3"/>
  <c r="BC538" i="3"/>
  <c r="BD538" i="3"/>
  <c r="BG537" i="3"/>
  <c r="BH537" i="3"/>
  <c r="BI537" i="3"/>
  <c r="BD537" i="3"/>
  <c r="AV539" i="3"/>
  <c r="AO541" i="3"/>
  <c r="AU540" i="3"/>
  <c r="AY539" i="3"/>
  <c r="B542" i="3"/>
  <c r="A543" i="3"/>
  <c r="AQ542" i="3"/>
  <c r="AR542" i="3"/>
  <c r="C542" i="3"/>
  <c r="D542" i="3"/>
  <c r="AM542" i="3"/>
  <c r="AK542" i="3"/>
  <c r="Q542" i="3"/>
  <c r="R542" i="3"/>
  <c r="S542" i="3"/>
  <c r="AD542" i="3"/>
  <c r="P542" i="3"/>
  <c r="O542" i="3"/>
  <c r="AE542" i="3"/>
  <c r="AF542" i="3"/>
  <c r="M542" i="3"/>
  <c r="V542" i="3"/>
  <c r="U542" i="3"/>
  <c r="G542" i="3"/>
  <c r="H542" i="3"/>
  <c r="F542" i="3"/>
  <c r="T542" i="3"/>
  <c r="BJ536" i="3"/>
  <c r="BK536" i="3"/>
  <c r="Y541" i="3"/>
  <c r="Z541" i="3"/>
  <c r="BA539" i="3"/>
  <c r="AG541" i="3"/>
  <c r="AH541" i="3"/>
  <c r="AN541" i="3"/>
  <c r="X541" i="3"/>
  <c r="AT540" i="3"/>
  <c r="AW540" i="3"/>
  <c r="BQ538" i="3"/>
  <c r="BF538" i="3"/>
  <c r="BJ537" i="3"/>
  <c r="BK537" i="3"/>
  <c r="BB538" i="3"/>
  <c r="AX540" i="3"/>
  <c r="BM542" i="3"/>
  <c r="BN542" i="3"/>
  <c r="BG538" i="3"/>
  <c r="BH538" i="3"/>
  <c r="BI538" i="3"/>
  <c r="AO542" i="3"/>
  <c r="BC539" i="3"/>
  <c r="BD539" i="3"/>
  <c r="AV540" i="3"/>
  <c r="AU541" i="3"/>
  <c r="Y542" i="3"/>
  <c r="Z542" i="3"/>
  <c r="BA540" i="3"/>
  <c r="AY540" i="3"/>
  <c r="BQ539" i="3"/>
  <c r="BB539" i="3"/>
  <c r="BF539" i="3"/>
  <c r="BJ538" i="3"/>
  <c r="BK538" i="3"/>
  <c r="AX541" i="3"/>
  <c r="AG542" i="3"/>
  <c r="AN542" i="3"/>
  <c r="X542" i="3"/>
  <c r="AR543" i="3"/>
  <c r="B543" i="3"/>
  <c r="AQ543" i="3"/>
  <c r="A544" i="3"/>
  <c r="C543" i="3"/>
  <c r="AM543" i="3"/>
  <c r="AK543" i="3"/>
  <c r="D543" i="3"/>
  <c r="S543" i="3"/>
  <c r="AD543" i="3"/>
  <c r="Q543" i="3"/>
  <c r="P543" i="3"/>
  <c r="AF543" i="3"/>
  <c r="U543" i="3"/>
  <c r="O543" i="3"/>
  <c r="M543" i="3"/>
  <c r="AE543" i="3"/>
  <c r="V543" i="3"/>
  <c r="R543" i="3"/>
  <c r="F543" i="3"/>
  <c r="G543" i="3"/>
  <c r="H543" i="3"/>
  <c r="T543" i="3"/>
  <c r="AW541" i="3"/>
  <c r="AT541" i="3"/>
  <c r="AH542" i="3"/>
  <c r="AY541" i="3"/>
  <c r="BG539" i="3"/>
  <c r="BH539" i="3"/>
  <c r="BI539" i="3"/>
  <c r="BN543" i="3"/>
  <c r="BC540" i="3"/>
  <c r="BD540" i="3"/>
  <c r="AO543" i="3"/>
  <c r="AX542" i="3"/>
  <c r="AT542" i="3"/>
  <c r="AV541" i="3"/>
  <c r="BA541" i="3"/>
  <c r="B544" i="3"/>
  <c r="AQ544" i="3"/>
  <c r="AR544" i="3"/>
  <c r="A545" i="3"/>
  <c r="C544" i="3"/>
  <c r="D544" i="3"/>
  <c r="AK544" i="3"/>
  <c r="S544" i="3"/>
  <c r="AM544" i="3"/>
  <c r="R544" i="3"/>
  <c r="Q544" i="3"/>
  <c r="AD544" i="3"/>
  <c r="P544" i="3"/>
  <c r="M544" i="3"/>
  <c r="AE544" i="3"/>
  <c r="AF544" i="3"/>
  <c r="V544" i="3"/>
  <c r="O544" i="3"/>
  <c r="U544" i="3"/>
  <c r="F544" i="3"/>
  <c r="G544" i="3"/>
  <c r="H544" i="3"/>
  <c r="T544" i="3"/>
  <c r="BF540" i="3"/>
  <c r="BJ539" i="3"/>
  <c r="BK539" i="3"/>
  <c r="BB540" i="3"/>
  <c r="BQ540" i="3"/>
  <c r="AG543" i="3"/>
  <c r="Y543" i="3"/>
  <c r="Z543" i="3"/>
  <c r="BM543" i="3"/>
  <c r="AH543" i="3"/>
  <c r="AN543" i="3"/>
  <c r="AU542" i="3"/>
  <c r="X543" i="3"/>
  <c r="AW542" i="3"/>
  <c r="BC541" i="3"/>
  <c r="BG541" i="3"/>
  <c r="BH541" i="3"/>
  <c r="BI541" i="3"/>
  <c r="AN544" i="3"/>
  <c r="BM544" i="3"/>
  <c r="AY542" i="3"/>
  <c r="BG540" i="3"/>
  <c r="BH540" i="3"/>
  <c r="BI540" i="3"/>
  <c r="AT543" i="3"/>
  <c r="BA542" i="3"/>
  <c r="BF542" i="3"/>
  <c r="Y544" i="3"/>
  <c r="Z544" i="3"/>
  <c r="AX543" i="3"/>
  <c r="AU543" i="3"/>
  <c r="AW543" i="3"/>
  <c r="BN544" i="3"/>
  <c r="AG544" i="3"/>
  <c r="AO544" i="3"/>
  <c r="X544" i="3"/>
  <c r="AV542" i="3"/>
  <c r="AQ545" i="3"/>
  <c r="B545" i="3"/>
  <c r="A546" i="3"/>
  <c r="AR545" i="3"/>
  <c r="D545" i="3"/>
  <c r="AM545" i="3"/>
  <c r="C545" i="3"/>
  <c r="AK545" i="3"/>
  <c r="T545" i="3"/>
  <c r="S545" i="3"/>
  <c r="R545" i="3"/>
  <c r="AD545" i="3"/>
  <c r="Q545" i="3"/>
  <c r="P545" i="3"/>
  <c r="U545" i="3"/>
  <c r="O545" i="3"/>
  <c r="AF545" i="3"/>
  <c r="M545" i="3"/>
  <c r="AE545" i="3"/>
  <c r="V545" i="3"/>
  <c r="F545" i="3"/>
  <c r="G545" i="3"/>
  <c r="H545" i="3"/>
  <c r="BQ541" i="3"/>
  <c r="BB541" i="3"/>
  <c r="BF541" i="3"/>
  <c r="BJ540" i="3"/>
  <c r="BK540" i="3"/>
  <c r="AH544" i="3"/>
  <c r="BD541" i="3"/>
  <c r="BM545" i="3"/>
  <c r="AV543" i="3"/>
  <c r="BC542" i="3"/>
  <c r="BG542" i="3"/>
  <c r="BH542" i="3"/>
  <c r="BI542" i="3"/>
  <c r="AO545" i="3"/>
  <c r="BQ542" i="3"/>
  <c r="AX544" i="3"/>
  <c r="BB542" i="3"/>
  <c r="AU544" i="3"/>
  <c r="AG545" i="3"/>
  <c r="BA543" i="3"/>
  <c r="BF543" i="3"/>
  <c r="BN545" i="3"/>
  <c r="AH545" i="3"/>
  <c r="AN545" i="3"/>
  <c r="AW544" i="3"/>
  <c r="AY543" i="3"/>
  <c r="Y545" i="3"/>
  <c r="Z545" i="3"/>
  <c r="B546" i="3"/>
  <c r="A547" i="3"/>
  <c r="AQ546" i="3"/>
  <c r="AR546" i="3"/>
  <c r="C546" i="3"/>
  <c r="AM546" i="3"/>
  <c r="AK546" i="3"/>
  <c r="R546" i="3"/>
  <c r="D546" i="3"/>
  <c r="S546" i="3"/>
  <c r="Q546" i="3"/>
  <c r="P546" i="3"/>
  <c r="AD546" i="3"/>
  <c r="AE546" i="3"/>
  <c r="AF546" i="3"/>
  <c r="O546" i="3"/>
  <c r="M546" i="3"/>
  <c r="U546" i="3"/>
  <c r="V546" i="3"/>
  <c r="F546" i="3"/>
  <c r="G546" i="3"/>
  <c r="H546" i="3"/>
  <c r="BN546" i="3"/>
  <c r="T546" i="3"/>
  <c r="X545" i="3"/>
  <c r="AT544" i="3"/>
  <c r="BJ541" i="3"/>
  <c r="BK541" i="3"/>
  <c r="BD542" i="3"/>
  <c r="BC543" i="3"/>
  <c r="BD543" i="3"/>
  <c r="AO546" i="3"/>
  <c r="AT545" i="3"/>
  <c r="AY544" i="3"/>
  <c r="BB543" i="3"/>
  <c r="BQ543" i="3"/>
  <c r="AX545" i="3"/>
  <c r="BA544" i="3"/>
  <c r="BF544" i="3"/>
  <c r="BJ543" i="3"/>
  <c r="BK543" i="3"/>
  <c r="AU545" i="3"/>
  <c r="AR547" i="3"/>
  <c r="B547" i="3"/>
  <c r="AQ547" i="3"/>
  <c r="A548" i="3"/>
  <c r="D547" i="3"/>
  <c r="AM547" i="3"/>
  <c r="T547" i="3"/>
  <c r="C547" i="3"/>
  <c r="AK547" i="3"/>
  <c r="S547" i="3"/>
  <c r="R547" i="3"/>
  <c r="AD547" i="3"/>
  <c r="Q547" i="3"/>
  <c r="P547" i="3"/>
  <c r="M547" i="3"/>
  <c r="AE547" i="3"/>
  <c r="V547" i="3"/>
  <c r="U547" i="3"/>
  <c r="O547" i="3"/>
  <c r="AF547" i="3"/>
  <c r="G547" i="3"/>
  <c r="H547" i="3"/>
  <c r="F547" i="3"/>
  <c r="BJ542" i="3"/>
  <c r="BK542" i="3"/>
  <c r="AH546" i="3"/>
  <c r="X546" i="3"/>
  <c r="Y546" i="3"/>
  <c r="Z546" i="3"/>
  <c r="BM546" i="3"/>
  <c r="AG546" i="3"/>
  <c r="AN546" i="3"/>
  <c r="AW545" i="3"/>
  <c r="AV544" i="3"/>
  <c r="BN547" i="3"/>
  <c r="BM547" i="3"/>
  <c r="BG543" i="3"/>
  <c r="BH543" i="3"/>
  <c r="BI543" i="3"/>
  <c r="BB544" i="3"/>
  <c r="AV545" i="3"/>
  <c r="AO547" i="3"/>
  <c r="BC544" i="3"/>
  <c r="BD544" i="3"/>
  <c r="AY545" i="3"/>
  <c r="BQ544" i="3"/>
  <c r="BA545" i="3"/>
  <c r="BQ545" i="3"/>
  <c r="AH547" i="3"/>
  <c r="AT546" i="3"/>
  <c r="B548" i="3"/>
  <c r="AQ548" i="3"/>
  <c r="AR548" i="3"/>
  <c r="A549" i="3"/>
  <c r="C548" i="3"/>
  <c r="D548" i="3"/>
  <c r="AK548" i="3"/>
  <c r="AM548" i="3"/>
  <c r="T548" i="3"/>
  <c r="R548" i="3"/>
  <c r="S548" i="3"/>
  <c r="AD548" i="3"/>
  <c r="P548" i="3"/>
  <c r="M548" i="3"/>
  <c r="AF548" i="3"/>
  <c r="V548" i="3"/>
  <c r="O548" i="3"/>
  <c r="AE548" i="3"/>
  <c r="U548" i="3"/>
  <c r="G548" i="3"/>
  <c r="H548" i="3"/>
  <c r="Q548" i="3"/>
  <c r="F548" i="3"/>
  <c r="AU546" i="3"/>
  <c r="AW546" i="3"/>
  <c r="AG547" i="3"/>
  <c r="X547" i="3"/>
  <c r="AN547" i="3"/>
  <c r="Y547" i="3"/>
  <c r="Z547" i="3"/>
  <c r="AX546" i="3"/>
  <c r="BN548" i="3"/>
  <c r="BC545" i="3"/>
  <c r="BD545" i="3"/>
  <c r="AV546" i="3"/>
  <c r="BB545" i="3"/>
  <c r="BG544" i="3"/>
  <c r="BH544" i="3"/>
  <c r="BI544" i="3"/>
  <c r="AO548" i="3"/>
  <c r="BF545" i="3"/>
  <c r="BJ544" i="3"/>
  <c r="BK544" i="3"/>
  <c r="AX547" i="3"/>
  <c r="AU547" i="3"/>
  <c r="AT547" i="3"/>
  <c r="Y548" i="3"/>
  <c r="Z548" i="3"/>
  <c r="AQ549" i="3"/>
  <c r="B549" i="3"/>
  <c r="A550" i="3"/>
  <c r="AR549" i="3"/>
  <c r="D549" i="3"/>
  <c r="C549" i="3"/>
  <c r="AM549" i="3"/>
  <c r="Q549" i="3"/>
  <c r="R549" i="3"/>
  <c r="AK549" i="3"/>
  <c r="S549" i="3"/>
  <c r="AD549" i="3"/>
  <c r="P549" i="3"/>
  <c r="O549" i="3"/>
  <c r="M549" i="3"/>
  <c r="AE549" i="3"/>
  <c r="AF549" i="3"/>
  <c r="U549" i="3"/>
  <c r="V549" i="3"/>
  <c r="F549" i="3"/>
  <c r="G549" i="3"/>
  <c r="H549" i="3"/>
  <c r="T549" i="3"/>
  <c r="AW547" i="3"/>
  <c r="AY546" i="3"/>
  <c r="BM548" i="3"/>
  <c r="AG548" i="3"/>
  <c r="AH548" i="3"/>
  <c r="AN548" i="3"/>
  <c r="BA546" i="3"/>
  <c r="X548" i="3"/>
  <c r="BN549" i="3"/>
  <c r="BM549" i="3"/>
  <c r="AY547" i="3"/>
  <c r="BG545" i="3"/>
  <c r="BH545" i="3"/>
  <c r="BI545" i="3"/>
  <c r="BC546" i="3"/>
  <c r="BG546" i="3"/>
  <c r="BH546" i="3"/>
  <c r="BI546" i="3"/>
  <c r="AV547" i="3"/>
  <c r="AN549" i="3"/>
  <c r="AW548" i="3"/>
  <c r="AX548" i="3"/>
  <c r="BF546" i="3"/>
  <c r="BJ545" i="3"/>
  <c r="BK545" i="3"/>
  <c r="BQ546" i="3"/>
  <c r="BB546" i="3"/>
  <c r="BA547" i="3"/>
  <c r="AT548" i="3"/>
  <c r="Y549" i="3"/>
  <c r="Z549" i="3"/>
  <c r="AG549" i="3"/>
  <c r="AH549" i="3"/>
  <c r="AO549" i="3"/>
  <c r="X549" i="3"/>
  <c r="B550" i="3"/>
  <c r="A551" i="3"/>
  <c r="AQ550" i="3"/>
  <c r="AR550" i="3"/>
  <c r="D550" i="3"/>
  <c r="C550" i="3"/>
  <c r="AK550" i="3"/>
  <c r="AM550" i="3"/>
  <c r="S550" i="3"/>
  <c r="Q550" i="3"/>
  <c r="T550" i="3"/>
  <c r="R550" i="3"/>
  <c r="AD550" i="3"/>
  <c r="P550" i="3"/>
  <c r="O550" i="3"/>
  <c r="AF550" i="3"/>
  <c r="AE550" i="3"/>
  <c r="M550" i="3"/>
  <c r="U550" i="3"/>
  <c r="V550" i="3"/>
  <c r="G550" i="3"/>
  <c r="H550" i="3"/>
  <c r="F550" i="3"/>
  <c r="BM550" i="3"/>
  <c r="AU548" i="3"/>
  <c r="BN550" i="3"/>
  <c r="BC547" i="3"/>
  <c r="BG547" i="3"/>
  <c r="BH547" i="3"/>
  <c r="BI547" i="3"/>
  <c r="BD546" i="3"/>
  <c r="AU549" i="3"/>
  <c r="AN550" i="3"/>
  <c r="AY548" i="3"/>
  <c r="AV548" i="3"/>
  <c r="AT549" i="3"/>
  <c r="Y550" i="3"/>
  <c r="Z550" i="3"/>
  <c r="BB547" i="3"/>
  <c r="BF547" i="3"/>
  <c r="BJ546" i="3"/>
  <c r="BK546" i="3"/>
  <c r="BQ547" i="3"/>
  <c r="AG550" i="3"/>
  <c r="AH550" i="3"/>
  <c r="AO550" i="3"/>
  <c r="AX549" i="3"/>
  <c r="AR551" i="3"/>
  <c r="B551" i="3"/>
  <c r="AQ551" i="3"/>
  <c r="A552" i="3"/>
  <c r="D551" i="3"/>
  <c r="AM551" i="3"/>
  <c r="S551" i="3"/>
  <c r="AK551" i="3"/>
  <c r="C551" i="3"/>
  <c r="R551" i="3"/>
  <c r="Q551" i="3"/>
  <c r="AD551" i="3"/>
  <c r="P551" i="3"/>
  <c r="AE551" i="3"/>
  <c r="M551" i="3"/>
  <c r="AF551" i="3"/>
  <c r="V551" i="3"/>
  <c r="U551" i="3"/>
  <c r="O551" i="3"/>
  <c r="F551" i="3"/>
  <c r="G551" i="3"/>
  <c r="H551" i="3"/>
  <c r="T551" i="3"/>
  <c r="X550" i="3"/>
  <c r="AW549" i="3"/>
  <c r="BA548" i="3"/>
  <c r="BN551" i="3"/>
  <c r="BD547" i="3"/>
  <c r="AO551" i="3"/>
  <c r="BM551" i="3"/>
  <c r="BA549" i="3"/>
  <c r="BQ549" i="3"/>
  <c r="AV549" i="3"/>
  <c r="AT550" i="3"/>
  <c r="BC548" i="3"/>
  <c r="BD548" i="3"/>
  <c r="AN551" i="3"/>
  <c r="AU550" i="3"/>
  <c r="Y551" i="3"/>
  <c r="Z551" i="3"/>
  <c r="B552" i="3"/>
  <c r="AQ552" i="3"/>
  <c r="AR552" i="3"/>
  <c r="A553" i="3"/>
  <c r="D552" i="3"/>
  <c r="C552" i="3"/>
  <c r="AM552" i="3"/>
  <c r="AK552" i="3"/>
  <c r="S552" i="3"/>
  <c r="R552" i="3"/>
  <c r="AD552" i="3"/>
  <c r="Q552" i="3"/>
  <c r="P552" i="3"/>
  <c r="O552" i="3"/>
  <c r="AE552" i="3"/>
  <c r="M552" i="3"/>
  <c r="V552" i="3"/>
  <c r="AF552" i="3"/>
  <c r="U552" i="3"/>
  <c r="G552" i="3"/>
  <c r="H552" i="3"/>
  <c r="F552" i="3"/>
  <c r="T552" i="3"/>
  <c r="AH551" i="3"/>
  <c r="AY549" i="3"/>
  <c r="X551" i="3"/>
  <c r="AX550" i="3"/>
  <c r="BF548" i="3"/>
  <c r="BJ547" i="3"/>
  <c r="BK547" i="3"/>
  <c r="BQ548" i="3"/>
  <c r="BB548" i="3"/>
  <c r="AG551" i="3"/>
  <c r="AW550" i="3"/>
  <c r="BG548" i="3"/>
  <c r="BH548" i="3"/>
  <c r="BI548" i="3"/>
  <c r="AV550" i="3"/>
  <c r="BA550" i="3"/>
  <c r="BQ550" i="3"/>
  <c r="AG552" i="3"/>
  <c r="BB549" i="3"/>
  <c r="BF549" i="3"/>
  <c r="BJ548" i="3"/>
  <c r="BK548" i="3"/>
  <c r="BM552" i="3"/>
  <c r="BC549" i="3"/>
  <c r="BD549" i="3"/>
  <c r="AW551" i="3"/>
  <c r="AN552" i="3"/>
  <c r="AY550" i="3"/>
  <c r="AQ553" i="3"/>
  <c r="B553" i="3"/>
  <c r="A554" i="3"/>
  <c r="AR553" i="3"/>
  <c r="D553" i="3"/>
  <c r="AK553" i="3"/>
  <c r="R553" i="3"/>
  <c r="C553" i="3"/>
  <c r="AM553" i="3"/>
  <c r="S553" i="3"/>
  <c r="Q553" i="3"/>
  <c r="AD553" i="3"/>
  <c r="P553" i="3"/>
  <c r="O553" i="3"/>
  <c r="M553" i="3"/>
  <c r="AE553" i="3"/>
  <c r="AF553" i="3"/>
  <c r="U553" i="3"/>
  <c r="V553" i="3"/>
  <c r="G553" i="3"/>
  <c r="H553" i="3"/>
  <c r="F553" i="3"/>
  <c r="T553" i="3"/>
  <c r="AU551" i="3"/>
  <c r="AX551" i="3"/>
  <c r="AT551" i="3"/>
  <c r="Y552" i="3"/>
  <c r="Z552" i="3"/>
  <c r="BN552" i="3"/>
  <c r="AH552" i="3"/>
  <c r="AO552" i="3"/>
  <c r="X552" i="3"/>
  <c r="BC550" i="3"/>
  <c r="BG550" i="3"/>
  <c r="BH550" i="3"/>
  <c r="BI550" i="3"/>
  <c r="BB550" i="3"/>
  <c r="BF550" i="3"/>
  <c r="BJ549" i="3"/>
  <c r="BK549" i="3"/>
  <c r="AU552" i="3"/>
  <c r="BG549" i="3"/>
  <c r="BH549" i="3"/>
  <c r="BI549" i="3"/>
  <c r="BM553" i="3"/>
  <c r="BN553" i="3"/>
  <c r="AG553" i="3"/>
  <c r="AT552" i="3"/>
  <c r="AW552" i="3"/>
  <c r="AY551" i="3"/>
  <c r="Y553" i="3"/>
  <c r="Z553" i="3"/>
  <c r="AO553" i="3"/>
  <c r="AN553" i="3"/>
  <c r="BA551" i="3"/>
  <c r="AV551" i="3"/>
  <c r="AH553" i="3"/>
  <c r="X553" i="3"/>
  <c r="B554" i="3"/>
  <c r="A555" i="3"/>
  <c r="AR554" i="3"/>
  <c r="AQ554" i="3"/>
  <c r="D554" i="3"/>
  <c r="AK554" i="3"/>
  <c r="AM554" i="3"/>
  <c r="R554" i="3"/>
  <c r="C554" i="3"/>
  <c r="Q554" i="3"/>
  <c r="AD554" i="3"/>
  <c r="S554" i="3"/>
  <c r="P554" i="3"/>
  <c r="O554" i="3"/>
  <c r="AF554" i="3"/>
  <c r="U554" i="3"/>
  <c r="V554" i="3"/>
  <c r="M554" i="3"/>
  <c r="AE554" i="3"/>
  <c r="F554" i="3"/>
  <c r="G554" i="3"/>
  <c r="H554" i="3"/>
  <c r="T554" i="3"/>
  <c r="AX552" i="3"/>
  <c r="BN554" i="3"/>
  <c r="BD550" i="3"/>
  <c r="AV552" i="3"/>
  <c r="BM554" i="3"/>
  <c r="AU553" i="3"/>
  <c r="AT553" i="3"/>
  <c r="AG554" i="3"/>
  <c r="BC551" i="3"/>
  <c r="BD551" i="3"/>
  <c r="AY552" i="3"/>
  <c r="AX553" i="3"/>
  <c r="AO554" i="3"/>
  <c r="Y554" i="3"/>
  <c r="Z554" i="3"/>
  <c r="BB551" i="3"/>
  <c r="BQ551" i="3"/>
  <c r="BF551" i="3"/>
  <c r="BJ550" i="3"/>
  <c r="BK550" i="3"/>
  <c r="AH554" i="3"/>
  <c r="X554" i="3"/>
  <c r="AN554" i="3"/>
  <c r="AW553" i="3"/>
  <c r="AR555" i="3"/>
  <c r="B555" i="3"/>
  <c r="AQ555" i="3"/>
  <c r="A556" i="3"/>
  <c r="D555" i="3"/>
  <c r="C555" i="3"/>
  <c r="AK555" i="3"/>
  <c r="AM555" i="3"/>
  <c r="R555" i="3"/>
  <c r="T555" i="3"/>
  <c r="Q555" i="3"/>
  <c r="S555" i="3"/>
  <c r="AD555" i="3"/>
  <c r="P555" i="3"/>
  <c r="O555" i="3"/>
  <c r="M555" i="3"/>
  <c r="AF555" i="3"/>
  <c r="V555" i="3"/>
  <c r="AE555" i="3"/>
  <c r="U555" i="3"/>
  <c r="F555" i="3"/>
  <c r="G555" i="3"/>
  <c r="H555" i="3"/>
  <c r="BA552" i="3"/>
  <c r="BC552" i="3"/>
  <c r="BD552" i="3"/>
  <c r="AY553" i="3"/>
  <c r="AV553" i="3"/>
  <c r="BM555" i="3"/>
  <c r="BA553" i="3"/>
  <c r="BF553" i="3"/>
  <c r="BN555" i="3"/>
  <c r="BG551" i="3"/>
  <c r="BH551" i="3"/>
  <c r="BI551" i="3"/>
  <c r="AT554" i="3"/>
  <c r="AU554" i="3"/>
  <c r="AG555" i="3"/>
  <c r="AN555" i="3"/>
  <c r="AO555" i="3"/>
  <c r="BQ552" i="3"/>
  <c r="BF552" i="3"/>
  <c r="BJ551" i="3"/>
  <c r="BK551" i="3"/>
  <c r="BB552" i="3"/>
  <c r="B556" i="3"/>
  <c r="AQ556" i="3"/>
  <c r="AR556" i="3"/>
  <c r="A557" i="3"/>
  <c r="D556" i="3"/>
  <c r="AK556" i="3"/>
  <c r="S556" i="3"/>
  <c r="R556" i="3"/>
  <c r="C556" i="3"/>
  <c r="AM556" i="3"/>
  <c r="Q556" i="3"/>
  <c r="P556" i="3"/>
  <c r="AD556" i="3"/>
  <c r="O556" i="3"/>
  <c r="M556" i="3"/>
  <c r="AE556" i="3"/>
  <c r="AF556" i="3"/>
  <c r="V556" i="3"/>
  <c r="U556" i="3"/>
  <c r="G556" i="3"/>
  <c r="H556" i="3"/>
  <c r="F556" i="3"/>
  <c r="T556" i="3"/>
  <c r="X555" i="3"/>
  <c r="AX554" i="3"/>
  <c r="Y555" i="3"/>
  <c r="Z555" i="3"/>
  <c r="AH555" i="3"/>
  <c r="AW554" i="3"/>
  <c r="BM556" i="3"/>
  <c r="BG552" i="3"/>
  <c r="BH552" i="3"/>
  <c r="BI552" i="3"/>
  <c r="BC553" i="3"/>
  <c r="BG553" i="3"/>
  <c r="BH553" i="3"/>
  <c r="BI553" i="3"/>
  <c r="BQ553" i="3"/>
  <c r="BN556" i="3"/>
  <c r="BB553" i="3"/>
  <c r="AV554" i="3"/>
  <c r="Y556" i="3"/>
  <c r="Z556" i="3"/>
  <c r="AT555" i="3"/>
  <c r="AX555" i="3"/>
  <c r="AG556" i="3"/>
  <c r="BA554" i="3"/>
  <c r="BB554" i="3"/>
  <c r="AO556" i="3"/>
  <c r="AN556" i="3"/>
  <c r="AY554" i="3"/>
  <c r="AU555" i="3"/>
  <c r="AW555" i="3"/>
  <c r="AH556" i="3"/>
  <c r="X556" i="3"/>
  <c r="BJ552" i="3"/>
  <c r="BK552" i="3"/>
  <c r="AQ557" i="3"/>
  <c r="B557" i="3"/>
  <c r="A558" i="3"/>
  <c r="AR557" i="3"/>
  <c r="D557" i="3"/>
  <c r="C557" i="3"/>
  <c r="T557" i="3"/>
  <c r="S557" i="3"/>
  <c r="AK557" i="3"/>
  <c r="AM557" i="3"/>
  <c r="R557" i="3"/>
  <c r="AD557" i="3"/>
  <c r="P557" i="3"/>
  <c r="O557" i="3"/>
  <c r="M557" i="3"/>
  <c r="AF557" i="3"/>
  <c r="V557" i="3"/>
  <c r="U557" i="3"/>
  <c r="AE557" i="3"/>
  <c r="Q557" i="3"/>
  <c r="G557" i="3"/>
  <c r="H557" i="3"/>
  <c r="BN557" i="3"/>
  <c r="F557" i="3"/>
  <c r="BM557" i="3"/>
  <c r="BD553" i="3"/>
  <c r="BC554" i="3"/>
  <c r="BG554" i="3"/>
  <c r="BH554" i="3"/>
  <c r="BI554" i="3"/>
  <c r="AV555" i="3"/>
  <c r="AT556" i="3"/>
  <c r="AU556" i="3"/>
  <c r="AO557" i="3"/>
  <c r="AG557" i="3"/>
  <c r="BF554" i="3"/>
  <c r="BJ553" i="3"/>
  <c r="BK553" i="3"/>
  <c r="BQ554" i="3"/>
  <c r="Y557" i="3"/>
  <c r="Z557" i="3"/>
  <c r="B558" i="3"/>
  <c r="A559" i="3"/>
  <c r="AQ558" i="3"/>
  <c r="AR558" i="3"/>
  <c r="D558" i="3"/>
  <c r="AM558" i="3"/>
  <c r="T558" i="3"/>
  <c r="S558" i="3"/>
  <c r="Q558" i="3"/>
  <c r="C558" i="3"/>
  <c r="AK558" i="3"/>
  <c r="AD558" i="3"/>
  <c r="R558" i="3"/>
  <c r="P558" i="3"/>
  <c r="O558" i="3"/>
  <c r="M558" i="3"/>
  <c r="AE558" i="3"/>
  <c r="V558" i="3"/>
  <c r="U558" i="3"/>
  <c r="AF558" i="3"/>
  <c r="G558" i="3"/>
  <c r="H558" i="3"/>
  <c r="F558" i="3"/>
  <c r="BA555" i="3"/>
  <c r="AY555" i="3"/>
  <c r="AH557" i="3"/>
  <c r="AN557" i="3"/>
  <c r="X557" i="3"/>
  <c r="AX556" i="3"/>
  <c r="AW556" i="3"/>
  <c r="BN558" i="3"/>
  <c r="BM558" i="3"/>
  <c r="BD554" i="3"/>
  <c r="AU557" i="3"/>
  <c r="AN558" i="3"/>
  <c r="BC555" i="3"/>
  <c r="BG555" i="3"/>
  <c r="BH555" i="3"/>
  <c r="BI555" i="3"/>
  <c r="AV556" i="3"/>
  <c r="AX557" i="3"/>
  <c r="AH558" i="3"/>
  <c r="BA556" i="3"/>
  <c r="BF556" i="3"/>
  <c r="BQ555" i="3"/>
  <c r="BB555" i="3"/>
  <c r="BF555" i="3"/>
  <c r="BJ554" i="3"/>
  <c r="BK554" i="3"/>
  <c r="Y558" i="3"/>
  <c r="Z558" i="3"/>
  <c r="AY556" i="3"/>
  <c r="AT557" i="3"/>
  <c r="AW557" i="3"/>
  <c r="AG558" i="3"/>
  <c r="AO558" i="3"/>
  <c r="AR559" i="3"/>
  <c r="B559" i="3"/>
  <c r="AQ559" i="3"/>
  <c r="A560" i="3"/>
  <c r="C559" i="3"/>
  <c r="D559" i="3"/>
  <c r="AK559" i="3"/>
  <c r="AM559" i="3"/>
  <c r="S559" i="3"/>
  <c r="R559" i="3"/>
  <c r="T559" i="3"/>
  <c r="AD559" i="3"/>
  <c r="Q559" i="3"/>
  <c r="O559" i="3"/>
  <c r="AE559" i="3"/>
  <c r="AF559" i="3"/>
  <c r="M559" i="3"/>
  <c r="V559" i="3"/>
  <c r="U559" i="3"/>
  <c r="P559" i="3"/>
  <c r="G559" i="3"/>
  <c r="H559" i="3"/>
  <c r="F559" i="3"/>
  <c r="X558" i="3"/>
  <c r="BC556" i="3"/>
  <c r="BD556" i="3"/>
  <c r="BD555" i="3"/>
  <c r="BN559" i="3"/>
  <c r="BM559" i="3"/>
  <c r="AY557" i="3"/>
  <c r="AO559" i="3"/>
  <c r="AU558" i="3"/>
  <c r="AG559" i="3"/>
  <c r="AT558" i="3"/>
  <c r="BB556" i="3"/>
  <c r="BQ556" i="3"/>
  <c r="Y559" i="3"/>
  <c r="Z559" i="3"/>
  <c r="B560" i="3"/>
  <c r="AQ560" i="3"/>
  <c r="AR560" i="3"/>
  <c r="A561" i="3"/>
  <c r="C560" i="3"/>
  <c r="AM560" i="3"/>
  <c r="AK560" i="3"/>
  <c r="D560" i="3"/>
  <c r="T560" i="3"/>
  <c r="S560" i="3"/>
  <c r="Q560" i="3"/>
  <c r="R560" i="3"/>
  <c r="AD560" i="3"/>
  <c r="O560" i="3"/>
  <c r="P560" i="3"/>
  <c r="AE560" i="3"/>
  <c r="U560" i="3"/>
  <c r="AF560" i="3"/>
  <c r="M560" i="3"/>
  <c r="V560" i="3"/>
  <c r="G560" i="3"/>
  <c r="H560" i="3"/>
  <c r="F560" i="3"/>
  <c r="AV557" i="3"/>
  <c r="BA557" i="3"/>
  <c r="AH559" i="3"/>
  <c r="AN559" i="3"/>
  <c r="AW558" i="3"/>
  <c r="AX558" i="3"/>
  <c r="BJ555" i="3"/>
  <c r="BK555" i="3"/>
  <c r="X559" i="3"/>
  <c r="BG556" i="3"/>
  <c r="BH556" i="3"/>
  <c r="BI556" i="3"/>
  <c r="AV558" i="3"/>
  <c r="BC557" i="3"/>
  <c r="BG557" i="3"/>
  <c r="BH557" i="3"/>
  <c r="BI557" i="3"/>
  <c r="BM560" i="3"/>
  <c r="AT559" i="3"/>
  <c r="AN560" i="3"/>
  <c r="AG560" i="3"/>
  <c r="AW559" i="3"/>
  <c r="AX559" i="3"/>
  <c r="BF557" i="3"/>
  <c r="BJ556" i="3"/>
  <c r="BK556" i="3"/>
  <c r="BQ557" i="3"/>
  <c r="BB557" i="3"/>
  <c r="AU559" i="3"/>
  <c r="AY558" i="3"/>
  <c r="BA558" i="3"/>
  <c r="BN560" i="3"/>
  <c r="AH560" i="3"/>
  <c r="AO560" i="3"/>
  <c r="X560" i="3"/>
  <c r="Y560" i="3"/>
  <c r="Z560" i="3"/>
  <c r="AQ561" i="3"/>
  <c r="B561" i="3"/>
  <c r="A562" i="3"/>
  <c r="AR561" i="3"/>
  <c r="D561" i="3"/>
  <c r="C561" i="3"/>
  <c r="S561" i="3"/>
  <c r="R561" i="3"/>
  <c r="AM561" i="3"/>
  <c r="AK561" i="3"/>
  <c r="Q561" i="3"/>
  <c r="P561" i="3"/>
  <c r="AD561" i="3"/>
  <c r="O561" i="3"/>
  <c r="M561" i="3"/>
  <c r="AE561" i="3"/>
  <c r="V561" i="3"/>
  <c r="U561" i="3"/>
  <c r="AF561" i="3"/>
  <c r="G561" i="3"/>
  <c r="H561" i="3"/>
  <c r="F561" i="3"/>
  <c r="T561" i="3"/>
  <c r="BC558" i="3"/>
  <c r="BD558" i="3"/>
  <c r="BD557" i="3"/>
  <c r="AV559" i="3"/>
  <c r="AU560" i="3"/>
  <c r="AO561" i="3"/>
  <c r="BN561" i="3"/>
  <c r="BM561" i="3"/>
  <c r="Y561" i="3"/>
  <c r="Z561" i="3"/>
  <c r="AG561" i="3"/>
  <c r="AT560" i="3"/>
  <c r="BA559" i="3"/>
  <c r="BQ559" i="3"/>
  <c r="B562" i="3"/>
  <c r="A563" i="3"/>
  <c r="AQ562" i="3"/>
  <c r="AR562" i="3"/>
  <c r="C562" i="3"/>
  <c r="AM562" i="3"/>
  <c r="T562" i="3"/>
  <c r="S562" i="3"/>
  <c r="D562" i="3"/>
  <c r="AK562" i="3"/>
  <c r="Q562" i="3"/>
  <c r="AD562" i="3"/>
  <c r="P562" i="3"/>
  <c r="O562" i="3"/>
  <c r="M562" i="3"/>
  <c r="AF562" i="3"/>
  <c r="V562" i="3"/>
  <c r="U562" i="3"/>
  <c r="AE562" i="3"/>
  <c r="R562" i="3"/>
  <c r="F562" i="3"/>
  <c r="G562" i="3"/>
  <c r="H562" i="3"/>
  <c r="BB558" i="3"/>
  <c r="BF558" i="3"/>
  <c r="BJ557" i="3"/>
  <c r="BK557" i="3"/>
  <c r="BQ558" i="3"/>
  <c r="AH561" i="3"/>
  <c r="AN561" i="3"/>
  <c r="AX560" i="3"/>
  <c r="AW560" i="3"/>
  <c r="AY559" i="3"/>
  <c r="BC559" i="3"/>
  <c r="X561" i="3"/>
  <c r="BM562" i="3"/>
  <c r="BG558" i="3"/>
  <c r="BH558" i="3"/>
  <c r="BI558" i="3"/>
  <c r="AV560" i="3"/>
  <c r="AO562" i="3"/>
  <c r="AT561" i="3"/>
  <c r="BN562" i="3"/>
  <c r="BA560" i="3"/>
  <c r="BQ560" i="3"/>
  <c r="AX561" i="3"/>
  <c r="BF559" i="3"/>
  <c r="BJ558" i="3"/>
  <c r="BK558" i="3"/>
  <c r="BB559" i="3"/>
  <c r="AY560" i="3"/>
  <c r="BD559" i="3"/>
  <c r="BG559" i="3"/>
  <c r="BH559" i="3"/>
  <c r="BI559" i="3"/>
  <c r="Y562" i="3"/>
  <c r="Z562" i="3"/>
  <c r="AW561" i="3"/>
  <c r="AU561" i="3"/>
  <c r="AG562" i="3"/>
  <c r="X562" i="3"/>
  <c r="AR563" i="3"/>
  <c r="B563" i="3"/>
  <c r="AQ563" i="3"/>
  <c r="A564" i="3"/>
  <c r="C563" i="3"/>
  <c r="S563" i="3"/>
  <c r="D563" i="3"/>
  <c r="AM563" i="3"/>
  <c r="AK563" i="3"/>
  <c r="AD563" i="3"/>
  <c r="P563" i="3"/>
  <c r="R563" i="3"/>
  <c r="O563" i="3"/>
  <c r="AE563" i="3"/>
  <c r="M563" i="3"/>
  <c r="AF563" i="3"/>
  <c r="V563" i="3"/>
  <c r="U563" i="3"/>
  <c r="F563" i="3"/>
  <c r="G563" i="3"/>
  <c r="H563" i="3"/>
  <c r="Q563" i="3"/>
  <c r="T563" i="3"/>
  <c r="AH562" i="3"/>
  <c r="AN562" i="3"/>
  <c r="BF560" i="3"/>
  <c r="BJ559" i="3"/>
  <c r="BK559" i="3"/>
  <c r="BC560" i="3"/>
  <c r="BG560" i="3"/>
  <c r="BH560" i="3"/>
  <c r="BI560" i="3"/>
  <c r="BM563" i="3"/>
  <c r="BN563" i="3"/>
  <c r="AY561" i="3"/>
  <c r="BB560" i="3"/>
  <c r="AX562" i="3"/>
  <c r="AO563" i="3"/>
  <c r="AH563" i="3"/>
  <c r="Y563" i="3"/>
  <c r="Z563" i="3"/>
  <c r="BA561" i="3"/>
  <c r="BQ561" i="3"/>
  <c r="AT562" i="3"/>
  <c r="X563" i="3"/>
  <c r="AU562" i="3"/>
  <c r="AW562" i="3"/>
  <c r="AV561" i="3"/>
  <c r="B564" i="3"/>
  <c r="AQ564" i="3"/>
  <c r="AR564" i="3"/>
  <c r="A565" i="3"/>
  <c r="C564" i="3"/>
  <c r="D564" i="3"/>
  <c r="AK564" i="3"/>
  <c r="AM564" i="3"/>
  <c r="S564" i="3"/>
  <c r="Q564" i="3"/>
  <c r="R564" i="3"/>
  <c r="P564" i="3"/>
  <c r="AD564" i="3"/>
  <c r="AE564" i="3"/>
  <c r="AF564" i="3"/>
  <c r="U564" i="3"/>
  <c r="O564" i="3"/>
  <c r="M564" i="3"/>
  <c r="V564" i="3"/>
  <c r="G564" i="3"/>
  <c r="H564" i="3"/>
  <c r="F564" i="3"/>
  <c r="T564" i="3"/>
  <c r="AG563" i="3"/>
  <c r="AN563" i="3"/>
  <c r="BM564" i="3"/>
  <c r="BC561" i="3"/>
  <c r="BG561" i="3"/>
  <c r="BH561" i="3"/>
  <c r="BI561" i="3"/>
  <c r="BD560" i="3"/>
  <c r="AY562" i="3"/>
  <c r="BN564" i="3"/>
  <c r="AV562" i="3"/>
  <c r="AN564" i="3"/>
  <c r="AW563" i="3"/>
  <c r="AX563" i="3"/>
  <c r="Y564" i="3"/>
  <c r="Z564" i="3"/>
  <c r="AG564" i="3"/>
  <c r="BF561" i="3"/>
  <c r="BJ560" i="3"/>
  <c r="BK560" i="3"/>
  <c r="BB561" i="3"/>
  <c r="AH564" i="3"/>
  <c r="AO564" i="3"/>
  <c r="X564" i="3"/>
  <c r="AU563" i="3"/>
  <c r="AQ565" i="3"/>
  <c r="B565" i="3"/>
  <c r="A566" i="3"/>
  <c r="AR565" i="3"/>
  <c r="D565" i="3"/>
  <c r="C565" i="3"/>
  <c r="AK565" i="3"/>
  <c r="AM565" i="3"/>
  <c r="S565" i="3"/>
  <c r="Q565" i="3"/>
  <c r="AD565" i="3"/>
  <c r="T565" i="3"/>
  <c r="R565" i="3"/>
  <c r="O565" i="3"/>
  <c r="P565" i="3"/>
  <c r="M565" i="3"/>
  <c r="V565" i="3"/>
  <c r="AE565" i="3"/>
  <c r="AF565" i="3"/>
  <c r="U565" i="3"/>
  <c r="F565" i="3"/>
  <c r="G565" i="3"/>
  <c r="H565" i="3"/>
  <c r="AT563" i="3"/>
  <c r="BA562" i="3"/>
  <c r="BD561" i="3"/>
  <c r="BC562" i="3"/>
  <c r="BD562" i="3"/>
  <c r="BN565" i="3"/>
  <c r="AU564" i="3"/>
  <c r="AN565" i="3"/>
  <c r="BM565" i="3"/>
  <c r="AY563" i="3"/>
  <c r="AO565" i="3"/>
  <c r="AX564" i="3"/>
  <c r="AG565" i="3"/>
  <c r="AW564" i="3"/>
  <c r="AT564" i="3"/>
  <c r="BB562" i="3"/>
  <c r="BF562" i="3"/>
  <c r="BJ561" i="3"/>
  <c r="BK561" i="3"/>
  <c r="BQ562" i="3"/>
  <c r="BA563" i="3"/>
  <c r="AV563" i="3"/>
  <c r="Y565" i="3"/>
  <c r="Z565" i="3"/>
  <c r="B566" i="3"/>
  <c r="A567" i="3"/>
  <c r="AQ566" i="3"/>
  <c r="AR566" i="3"/>
  <c r="D566" i="3"/>
  <c r="C566" i="3"/>
  <c r="AM566" i="3"/>
  <c r="AK566" i="3"/>
  <c r="R566" i="3"/>
  <c r="Q566" i="3"/>
  <c r="S566" i="3"/>
  <c r="P566" i="3"/>
  <c r="AD566" i="3"/>
  <c r="M566" i="3"/>
  <c r="AF566" i="3"/>
  <c r="V566" i="3"/>
  <c r="U566" i="3"/>
  <c r="O566" i="3"/>
  <c r="AE566" i="3"/>
  <c r="G566" i="3"/>
  <c r="H566" i="3"/>
  <c r="F566" i="3"/>
  <c r="T566" i="3"/>
  <c r="AH565" i="3"/>
  <c r="X565" i="3"/>
  <c r="BG562" i="3"/>
  <c r="BH562" i="3"/>
  <c r="BI562" i="3"/>
  <c r="AV564" i="3"/>
  <c r="AY564" i="3"/>
  <c r="AG566" i="3"/>
  <c r="BN566" i="3"/>
  <c r="AX565" i="3"/>
  <c r="BM566" i="3"/>
  <c r="BC563" i="3"/>
  <c r="BD563" i="3"/>
  <c r="BA564" i="3"/>
  <c r="BB564" i="3"/>
  <c r="AN566" i="3"/>
  <c r="Y566" i="3"/>
  <c r="Z566" i="3"/>
  <c r="AR567" i="3"/>
  <c r="B567" i="3"/>
  <c r="AQ567" i="3"/>
  <c r="A568" i="3"/>
  <c r="C567" i="3"/>
  <c r="D567" i="3"/>
  <c r="AK567" i="3"/>
  <c r="T567" i="3"/>
  <c r="AM567" i="3"/>
  <c r="S567" i="3"/>
  <c r="Q567" i="3"/>
  <c r="R567" i="3"/>
  <c r="AD567" i="3"/>
  <c r="P567" i="3"/>
  <c r="M567" i="3"/>
  <c r="AF567" i="3"/>
  <c r="U567" i="3"/>
  <c r="O567" i="3"/>
  <c r="AE567" i="3"/>
  <c r="V567" i="3"/>
  <c r="F567" i="3"/>
  <c r="G567" i="3"/>
  <c r="H567" i="3"/>
  <c r="AW565" i="3"/>
  <c r="AU565" i="3"/>
  <c r="AO566" i="3"/>
  <c r="X566" i="3"/>
  <c r="BQ563" i="3"/>
  <c r="BF563" i="3"/>
  <c r="BJ562" i="3"/>
  <c r="BK562" i="3"/>
  <c r="BB563" i="3"/>
  <c r="AT565" i="3"/>
  <c r="AH566" i="3"/>
  <c r="BN567" i="3"/>
  <c r="BM567" i="3"/>
  <c r="BC564" i="3"/>
  <c r="BG564" i="3"/>
  <c r="BH564" i="3"/>
  <c r="BI564" i="3"/>
  <c r="AV565" i="3"/>
  <c r="AN567" i="3"/>
  <c r="AX566" i="3"/>
  <c r="AY565" i="3"/>
  <c r="BG563" i="3"/>
  <c r="BH563" i="3"/>
  <c r="BI563" i="3"/>
  <c r="BQ564" i="3"/>
  <c r="AG567" i="3"/>
  <c r="BF564" i="3"/>
  <c r="BJ563" i="3"/>
  <c r="BK563" i="3"/>
  <c r="Y567" i="3"/>
  <c r="Z567" i="3"/>
  <c r="B568" i="3"/>
  <c r="AQ568" i="3"/>
  <c r="AR568" i="3"/>
  <c r="A569" i="3"/>
  <c r="C568" i="3"/>
  <c r="AM568" i="3"/>
  <c r="AK568" i="3"/>
  <c r="T568" i="3"/>
  <c r="D568" i="3"/>
  <c r="S568" i="3"/>
  <c r="R568" i="3"/>
  <c r="Q568" i="3"/>
  <c r="AD568" i="3"/>
  <c r="P568" i="3"/>
  <c r="AE568" i="3"/>
  <c r="O568" i="3"/>
  <c r="M568" i="3"/>
  <c r="U568" i="3"/>
  <c r="AF568" i="3"/>
  <c r="V568" i="3"/>
  <c r="G568" i="3"/>
  <c r="H568" i="3"/>
  <c r="F568" i="3"/>
  <c r="AT566" i="3"/>
  <c r="AW566" i="3"/>
  <c r="BA565" i="3"/>
  <c r="AU566" i="3"/>
  <c r="AH567" i="3"/>
  <c r="AO567" i="3"/>
  <c r="X567" i="3"/>
  <c r="BN568" i="3"/>
  <c r="BD564" i="3"/>
  <c r="BC565" i="3"/>
  <c r="BD565" i="3"/>
  <c r="AY566" i="3"/>
  <c r="BM568" i="3"/>
  <c r="AU567" i="3"/>
  <c r="AH568" i="3"/>
  <c r="AN568" i="3"/>
  <c r="AT567" i="3"/>
  <c r="AW567" i="3"/>
  <c r="AQ569" i="3"/>
  <c r="B569" i="3"/>
  <c r="A570" i="3"/>
  <c r="AR569" i="3"/>
  <c r="C569" i="3"/>
  <c r="S569" i="3"/>
  <c r="AK569" i="3"/>
  <c r="D569" i="3"/>
  <c r="AM569" i="3"/>
  <c r="Q569" i="3"/>
  <c r="T569" i="3"/>
  <c r="P569" i="3"/>
  <c r="AD569" i="3"/>
  <c r="O569" i="3"/>
  <c r="M569" i="3"/>
  <c r="V569" i="3"/>
  <c r="AF569" i="3"/>
  <c r="AE569" i="3"/>
  <c r="G569" i="3"/>
  <c r="H569" i="3"/>
  <c r="U569" i="3"/>
  <c r="R569" i="3"/>
  <c r="F569" i="3"/>
  <c r="BF565" i="3"/>
  <c r="BQ565" i="3"/>
  <c r="BB565" i="3"/>
  <c r="AV566" i="3"/>
  <c r="BA566" i="3"/>
  <c r="Y568" i="3"/>
  <c r="Z568" i="3"/>
  <c r="AX567" i="3"/>
  <c r="AG568" i="3"/>
  <c r="AO568" i="3"/>
  <c r="X568" i="3"/>
  <c r="BG565" i="3"/>
  <c r="BH565" i="3"/>
  <c r="BI565" i="3"/>
  <c r="AY567" i="3"/>
  <c r="AU568" i="3"/>
  <c r="AN569" i="3"/>
  <c r="BC566" i="3"/>
  <c r="BD566" i="3"/>
  <c r="AV567" i="3"/>
  <c r="BN569" i="3"/>
  <c r="AT568" i="3"/>
  <c r="AX568" i="3"/>
  <c r="AH569" i="3"/>
  <c r="BJ564" i="3"/>
  <c r="BK564" i="3"/>
  <c r="B570" i="3"/>
  <c r="A571" i="3"/>
  <c r="AQ570" i="3"/>
  <c r="AR570" i="3"/>
  <c r="C570" i="3"/>
  <c r="AK570" i="3"/>
  <c r="AM570" i="3"/>
  <c r="D570" i="3"/>
  <c r="T570" i="3"/>
  <c r="Q570" i="3"/>
  <c r="S570" i="3"/>
  <c r="R570" i="3"/>
  <c r="AD570" i="3"/>
  <c r="M570" i="3"/>
  <c r="P570" i="3"/>
  <c r="O570" i="3"/>
  <c r="AF570" i="3"/>
  <c r="AE570" i="3"/>
  <c r="V570" i="3"/>
  <c r="U570" i="3"/>
  <c r="G570" i="3"/>
  <c r="H570" i="3"/>
  <c r="F570" i="3"/>
  <c r="Y569" i="3"/>
  <c r="Z569" i="3"/>
  <c r="AO569" i="3"/>
  <c r="X569" i="3"/>
  <c r="AW568" i="3"/>
  <c r="BA567" i="3"/>
  <c r="BM569" i="3"/>
  <c r="AG569" i="3"/>
  <c r="BF566" i="3"/>
  <c r="BQ566" i="3"/>
  <c r="BB566" i="3"/>
  <c r="BC567" i="3"/>
  <c r="BG567" i="3"/>
  <c r="BH567" i="3"/>
  <c r="BI567" i="3"/>
  <c r="AV568" i="3"/>
  <c r="BG566" i="3"/>
  <c r="BH566" i="3"/>
  <c r="BI566" i="3"/>
  <c r="BM570" i="3"/>
  <c r="BN570" i="3"/>
  <c r="AW569" i="3"/>
  <c r="AN570" i="3"/>
  <c r="AY568" i="3"/>
  <c r="BF567" i="3"/>
  <c r="BJ566" i="3"/>
  <c r="BK566" i="3"/>
  <c r="BQ567" i="3"/>
  <c r="BB567" i="3"/>
  <c r="Y570" i="3"/>
  <c r="Z570" i="3"/>
  <c r="AR571" i="3"/>
  <c r="B571" i="3"/>
  <c r="AQ571" i="3"/>
  <c r="A572" i="3"/>
  <c r="D571" i="3"/>
  <c r="AK571" i="3"/>
  <c r="S571" i="3"/>
  <c r="AM571" i="3"/>
  <c r="C571" i="3"/>
  <c r="R571" i="3"/>
  <c r="Q571" i="3"/>
  <c r="AD571" i="3"/>
  <c r="P571" i="3"/>
  <c r="AE571" i="3"/>
  <c r="M571" i="3"/>
  <c r="O571" i="3"/>
  <c r="AF571" i="3"/>
  <c r="U571" i="3"/>
  <c r="V571" i="3"/>
  <c r="G571" i="3"/>
  <c r="H571" i="3"/>
  <c r="F571" i="3"/>
  <c r="T571" i="3"/>
  <c r="AX569" i="3"/>
  <c r="AT569" i="3"/>
  <c r="AG570" i="3"/>
  <c r="AO570" i="3"/>
  <c r="BA568" i="3"/>
  <c r="AU569" i="3"/>
  <c r="AH570" i="3"/>
  <c r="X570" i="3"/>
  <c r="BJ565" i="3"/>
  <c r="BK565" i="3"/>
  <c r="BM571" i="3"/>
  <c r="BD567" i="3"/>
  <c r="BC568" i="3"/>
  <c r="BD568" i="3"/>
  <c r="AY569" i="3"/>
  <c r="AX570" i="3"/>
  <c r="AV569" i="3"/>
  <c r="BB568" i="3"/>
  <c r="BF568" i="3"/>
  <c r="BJ567" i="3"/>
  <c r="BK567" i="3"/>
  <c r="BQ568" i="3"/>
  <c r="AO571" i="3"/>
  <c r="AN571" i="3"/>
  <c r="B572" i="3"/>
  <c r="AQ572" i="3"/>
  <c r="AR572" i="3"/>
  <c r="A573" i="3"/>
  <c r="C572" i="3"/>
  <c r="D572" i="3"/>
  <c r="AK572" i="3"/>
  <c r="AM572" i="3"/>
  <c r="T572" i="3"/>
  <c r="S572" i="3"/>
  <c r="Q572" i="3"/>
  <c r="AD572" i="3"/>
  <c r="P572" i="3"/>
  <c r="O572" i="3"/>
  <c r="M572" i="3"/>
  <c r="AE572" i="3"/>
  <c r="V572" i="3"/>
  <c r="AF572" i="3"/>
  <c r="U572" i="3"/>
  <c r="F572" i="3"/>
  <c r="R572" i="3"/>
  <c r="G572" i="3"/>
  <c r="H572" i="3"/>
  <c r="AU570" i="3"/>
  <c r="X571" i="3"/>
  <c r="BA569" i="3"/>
  <c r="AT570" i="3"/>
  <c r="AW570" i="3"/>
  <c r="Y571" i="3"/>
  <c r="Z571" i="3"/>
  <c r="BN571" i="3"/>
  <c r="AG571" i="3"/>
  <c r="AH571" i="3"/>
  <c r="BN572" i="3"/>
  <c r="BG568" i="3"/>
  <c r="BH568" i="3"/>
  <c r="BI568" i="3"/>
  <c r="BC569" i="3"/>
  <c r="BD569" i="3"/>
  <c r="AO572" i="3"/>
  <c r="AU571" i="3"/>
  <c r="AY570" i="3"/>
  <c r="AW571" i="3"/>
  <c r="BA570" i="3"/>
  <c r="AV570" i="3"/>
  <c r="BQ569" i="3"/>
  <c r="BF569" i="3"/>
  <c r="BJ568" i="3"/>
  <c r="BK568" i="3"/>
  <c r="BB569" i="3"/>
  <c r="Y572" i="3"/>
  <c r="Z572" i="3"/>
  <c r="AQ573" i="3"/>
  <c r="B573" i="3"/>
  <c r="A574" i="3"/>
  <c r="AR573" i="3"/>
  <c r="D573" i="3"/>
  <c r="C573" i="3"/>
  <c r="S573" i="3"/>
  <c r="Q573" i="3"/>
  <c r="AK573" i="3"/>
  <c r="AM573" i="3"/>
  <c r="R573" i="3"/>
  <c r="P573" i="3"/>
  <c r="AD573" i="3"/>
  <c r="M573" i="3"/>
  <c r="AE573" i="3"/>
  <c r="O573" i="3"/>
  <c r="AF573" i="3"/>
  <c r="V573" i="3"/>
  <c r="U573" i="3"/>
  <c r="G573" i="3"/>
  <c r="H573" i="3"/>
  <c r="F573" i="3"/>
  <c r="T573" i="3"/>
  <c r="AT571" i="3"/>
  <c r="AX571" i="3"/>
  <c r="BM572" i="3"/>
  <c r="AG572" i="3"/>
  <c r="AH572" i="3"/>
  <c r="AN572" i="3"/>
  <c r="X572" i="3"/>
  <c r="BG569" i="3"/>
  <c r="BH569" i="3"/>
  <c r="BI569" i="3"/>
  <c r="AY571" i="3"/>
  <c r="BM573" i="3"/>
  <c r="BC570" i="3"/>
  <c r="BD570" i="3"/>
  <c r="AG573" i="3"/>
  <c r="AO573" i="3"/>
  <c r="AU572" i="3"/>
  <c r="AX572" i="3"/>
  <c r="BA571" i="3"/>
  <c r="AV571" i="3"/>
  <c r="BQ570" i="3"/>
  <c r="BF570" i="3"/>
  <c r="BJ569" i="3"/>
  <c r="BK569" i="3"/>
  <c r="BB570" i="3"/>
  <c r="AH573" i="3"/>
  <c r="AT572" i="3"/>
  <c r="AW572" i="3"/>
  <c r="Y573" i="3"/>
  <c r="Z573" i="3"/>
  <c r="BN573" i="3"/>
  <c r="AN573" i="3"/>
  <c r="X573" i="3"/>
  <c r="B574" i="3"/>
  <c r="A575" i="3"/>
  <c r="AQ574" i="3"/>
  <c r="AR574" i="3"/>
  <c r="C574" i="3"/>
  <c r="D574" i="3"/>
  <c r="AK574" i="3"/>
  <c r="S574" i="3"/>
  <c r="R574" i="3"/>
  <c r="AM574" i="3"/>
  <c r="AD574" i="3"/>
  <c r="P574" i="3"/>
  <c r="Q574" i="3"/>
  <c r="AF574" i="3"/>
  <c r="M574" i="3"/>
  <c r="U574" i="3"/>
  <c r="O574" i="3"/>
  <c r="AE574" i="3"/>
  <c r="V574" i="3"/>
  <c r="F574" i="3"/>
  <c r="G574" i="3"/>
  <c r="H574" i="3"/>
  <c r="T574" i="3"/>
  <c r="BC571" i="3"/>
  <c r="BG571" i="3"/>
  <c r="BH571" i="3"/>
  <c r="BI571" i="3"/>
  <c r="AY572" i="3"/>
  <c r="AU573" i="3"/>
  <c r="BG570" i="3"/>
  <c r="BH570" i="3"/>
  <c r="BI570" i="3"/>
  <c r="BN574" i="3"/>
  <c r="AN574" i="3"/>
  <c r="BM574" i="3"/>
  <c r="AG574" i="3"/>
  <c r="AO574" i="3"/>
  <c r="AW573" i="3"/>
  <c r="Y574" i="3"/>
  <c r="Z574" i="3"/>
  <c r="AR575" i="3"/>
  <c r="AQ575" i="3"/>
  <c r="A576" i="3"/>
  <c r="B575" i="3"/>
  <c r="D575" i="3"/>
  <c r="C575" i="3"/>
  <c r="AK575" i="3"/>
  <c r="AM575" i="3"/>
  <c r="Q575" i="3"/>
  <c r="S575" i="3"/>
  <c r="AD575" i="3"/>
  <c r="P575" i="3"/>
  <c r="O575" i="3"/>
  <c r="AE575" i="3"/>
  <c r="AF575" i="3"/>
  <c r="M575" i="3"/>
  <c r="V575" i="3"/>
  <c r="U575" i="3"/>
  <c r="G575" i="3"/>
  <c r="H575" i="3"/>
  <c r="F575" i="3"/>
  <c r="R575" i="3"/>
  <c r="T575" i="3"/>
  <c r="AT573" i="3"/>
  <c r="AX573" i="3"/>
  <c r="BQ571" i="3"/>
  <c r="BF571" i="3"/>
  <c r="BJ570" i="3"/>
  <c r="BK570" i="3"/>
  <c r="BB571" i="3"/>
  <c r="AV572" i="3"/>
  <c r="BA572" i="3"/>
  <c r="AH574" i="3"/>
  <c r="X574" i="3"/>
  <c r="BD571" i="3"/>
  <c r="BC572" i="3"/>
  <c r="BD572" i="3"/>
  <c r="BN575" i="3"/>
  <c r="BM575" i="3"/>
  <c r="AU574" i="3"/>
  <c r="AX574" i="3"/>
  <c r="AO575" i="3"/>
  <c r="AY573" i="3"/>
  <c r="BA573" i="3"/>
  <c r="AV573" i="3"/>
  <c r="AH575" i="3"/>
  <c r="AT574" i="3"/>
  <c r="AW574" i="3"/>
  <c r="Y575" i="3"/>
  <c r="Z575" i="3"/>
  <c r="AG575" i="3"/>
  <c r="AN575" i="3"/>
  <c r="X575" i="3"/>
  <c r="BQ572" i="3"/>
  <c r="BF572" i="3"/>
  <c r="BJ571" i="3"/>
  <c r="BK571" i="3"/>
  <c r="BB572" i="3"/>
  <c r="A577" i="3"/>
  <c r="AR576" i="3"/>
  <c r="B576" i="3"/>
  <c r="AQ576" i="3"/>
  <c r="D576" i="3"/>
  <c r="AM576" i="3"/>
  <c r="S576" i="3"/>
  <c r="Q576" i="3"/>
  <c r="AK576" i="3"/>
  <c r="C576" i="3"/>
  <c r="R576" i="3"/>
  <c r="AD576" i="3"/>
  <c r="P576" i="3"/>
  <c r="O576" i="3"/>
  <c r="AE576" i="3"/>
  <c r="AF576" i="3"/>
  <c r="V576" i="3"/>
  <c r="M576" i="3"/>
  <c r="U576" i="3"/>
  <c r="G576" i="3"/>
  <c r="H576" i="3"/>
  <c r="F576" i="3"/>
  <c r="T576" i="3"/>
  <c r="BG572" i="3"/>
  <c r="BH572" i="3"/>
  <c r="BI572" i="3"/>
  <c r="AU575" i="3"/>
  <c r="BC573" i="3"/>
  <c r="BD573" i="3"/>
  <c r="AO576" i="3"/>
  <c r="AY574" i="3"/>
  <c r="BM576" i="3"/>
  <c r="AG576" i="3"/>
  <c r="AT575" i="3"/>
  <c r="AW575" i="3"/>
  <c r="BF573" i="3"/>
  <c r="BJ572" i="3"/>
  <c r="BK572" i="3"/>
  <c r="BQ573" i="3"/>
  <c r="BB573" i="3"/>
  <c r="Y576" i="3"/>
  <c r="Z576" i="3"/>
  <c r="BN576" i="3"/>
  <c r="AH576" i="3"/>
  <c r="X576" i="3"/>
  <c r="AN576" i="3"/>
  <c r="AX575" i="3"/>
  <c r="AR577" i="3"/>
  <c r="A578" i="3"/>
  <c r="AQ577" i="3"/>
  <c r="B577" i="3"/>
  <c r="C577" i="3"/>
  <c r="AK577" i="3"/>
  <c r="T577" i="3"/>
  <c r="S577" i="3"/>
  <c r="D577" i="3"/>
  <c r="AM577" i="3"/>
  <c r="R577" i="3"/>
  <c r="Q577" i="3"/>
  <c r="AD577" i="3"/>
  <c r="P577" i="3"/>
  <c r="O577" i="3"/>
  <c r="M577" i="3"/>
  <c r="U577" i="3"/>
  <c r="AE577" i="3"/>
  <c r="AF577" i="3"/>
  <c r="V577" i="3"/>
  <c r="F577" i="3"/>
  <c r="G577" i="3"/>
  <c r="H577" i="3"/>
  <c r="BA574" i="3"/>
  <c r="AV574" i="3"/>
  <c r="BG573" i="3"/>
  <c r="BH573" i="3"/>
  <c r="BI573" i="3"/>
  <c r="BM577" i="3"/>
  <c r="AU576" i="3"/>
  <c r="AN577" i="3"/>
  <c r="BC574" i="3"/>
  <c r="BD574" i="3"/>
  <c r="BN577" i="3"/>
  <c r="AW576" i="3"/>
  <c r="AT576" i="3"/>
  <c r="BQ574" i="3"/>
  <c r="BB574" i="3"/>
  <c r="BF574" i="3"/>
  <c r="BJ573" i="3"/>
  <c r="BK573" i="3"/>
  <c r="AR578" i="3"/>
  <c r="AQ578" i="3"/>
  <c r="B578" i="3"/>
  <c r="A579" i="3"/>
  <c r="C578" i="3"/>
  <c r="D578" i="3"/>
  <c r="AM578" i="3"/>
  <c r="AK578" i="3"/>
  <c r="S578" i="3"/>
  <c r="AD578" i="3"/>
  <c r="P578" i="3"/>
  <c r="R578" i="3"/>
  <c r="Q578" i="3"/>
  <c r="O578" i="3"/>
  <c r="M578" i="3"/>
  <c r="AE578" i="3"/>
  <c r="AF578" i="3"/>
  <c r="U578" i="3"/>
  <c r="V578" i="3"/>
  <c r="G578" i="3"/>
  <c r="H578" i="3"/>
  <c r="F578" i="3"/>
  <c r="T578" i="3"/>
  <c r="BA575" i="3"/>
  <c r="AV575" i="3"/>
  <c r="AG577" i="3"/>
  <c r="AO577" i="3"/>
  <c r="Y577" i="3"/>
  <c r="Z577" i="3"/>
  <c r="AH577" i="3"/>
  <c r="X577" i="3"/>
  <c r="AX576" i="3"/>
  <c r="AY575" i="3"/>
  <c r="BM578" i="3"/>
  <c r="BN578" i="3"/>
  <c r="AV576" i="3"/>
  <c r="BG574" i="3"/>
  <c r="BH574" i="3"/>
  <c r="BI574" i="3"/>
  <c r="AU577" i="3"/>
  <c r="BA576" i="3"/>
  <c r="BB576" i="3"/>
  <c r="AT577" i="3"/>
  <c r="AN578" i="3"/>
  <c r="AH578" i="3"/>
  <c r="A580" i="3"/>
  <c r="AQ579" i="3"/>
  <c r="AR579" i="3"/>
  <c r="B579" i="3"/>
  <c r="C579" i="3"/>
  <c r="AK579" i="3"/>
  <c r="AM579" i="3"/>
  <c r="S579" i="3"/>
  <c r="D579" i="3"/>
  <c r="R579" i="3"/>
  <c r="Q579" i="3"/>
  <c r="AD579" i="3"/>
  <c r="T579" i="3"/>
  <c r="P579" i="3"/>
  <c r="M579" i="3"/>
  <c r="AE579" i="3"/>
  <c r="AF579" i="3"/>
  <c r="V579" i="3"/>
  <c r="O579" i="3"/>
  <c r="U579" i="3"/>
  <c r="F579" i="3"/>
  <c r="G579" i="3"/>
  <c r="H579" i="3"/>
  <c r="AY576" i="3"/>
  <c r="AX577" i="3"/>
  <c r="AW577" i="3"/>
  <c r="BC575" i="3"/>
  <c r="Y578" i="3"/>
  <c r="Z578" i="3"/>
  <c r="AG578" i="3"/>
  <c r="AO578" i="3"/>
  <c r="BF575" i="3"/>
  <c r="BJ574" i="3"/>
  <c r="BK574" i="3"/>
  <c r="BB575" i="3"/>
  <c r="BQ575" i="3"/>
  <c r="X578" i="3"/>
  <c r="BM579" i="3"/>
  <c r="BC576" i="3"/>
  <c r="BG576" i="3"/>
  <c r="BH576" i="3"/>
  <c r="BI576" i="3"/>
  <c r="BQ576" i="3"/>
  <c r="AV577" i="3"/>
  <c r="BF576" i="3"/>
  <c r="BJ575" i="3"/>
  <c r="BK575" i="3"/>
  <c r="AU578" i="3"/>
  <c r="AN579" i="3"/>
  <c r="AT578" i="3"/>
  <c r="AX578" i="3"/>
  <c r="AY577" i="3"/>
  <c r="BA577" i="3"/>
  <c r="BQ577" i="3"/>
  <c r="Y579" i="3"/>
  <c r="Z579" i="3"/>
  <c r="BD575" i="3"/>
  <c r="BG575" i="3"/>
  <c r="BH575" i="3"/>
  <c r="BI575" i="3"/>
  <c r="AW578" i="3"/>
  <c r="BN579" i="3"/>
  <c r="AG579" i="3"/>
  <c r="AH579" i="3"/>
  <c r="AO579" i="3"/>
  <c r="A581" i="3"/>
  <c r="AR580" i="3"/>
  <c r="B580" i="3"/>
  <c r="AQ580" i="3"/>
  <c r="C580" i="3"/>
  <c r="AK580" i="3"/>
  <c r="S580" i="3"/>
  <c r="AM580" i="3"/>
  <c r="D580" i="3"/>
  <c r="Q580" i="3"/>
  <c r="R580" i="3"/>
  <c r="AD580" i="3"/>
  <c r="T580" i="3"/>
  <c r="P580" i="3"/>
  <c r="M580" i="3"/>
  <c r="AF580" i="3"/>
  <c r="U580" i="3"/>
  <c r="V580" i="3"/>
  <c r="O580" i="3"/>
  <c r="AE580" i="3"/>
  <c r="F580" i="3"/>
  <c r="G580" i="3"/>
  <c r="H580" i="3"/>
  <c r="X579" i="3"/>
  <c r="BM580" i="3"/>
  <c r="AG580" i="3"/>
  <c r="BD576" i="3"/>
  <c r="AY578" i="3"/>
  <c r="BC577" i="3"/>
  <c r="BD577" i="3"/>
  <c r="AV578" i="3"/>
  <c r="AN580" i="3"/>
  <c r="BN580" i="3"/>
  <c r="BA578" i="3"/>
  <c r="BQ578" i="3"/>
  <c r="AU579" i="3"/>
  <c r="AX579" i="3"/>
  <c r="BB577" i="3"/>
  <c r="BF577" i="3"/>
  <c r="BJ576" i="3"/>
  <c r="BK576" i="3"/>
  <c r="AR581" i="3"/>
  <c r="A582" i="3"/>
  <c r="AQ581" i="3"/>
  <c r="B581" i="3"/>
  <c r="C581" i="3"/>
  <c r="D581" i="3"/>
  <c r="R581" i="3"/>
  <c r="Q581" i="3"/>
  <c r="AM581" i="3"/>
  <c r="AK581" i="3"/>
  <c r="S581" i="3"/>
  <c r="AD581" i="3"/>
  <c r="P581" i="3"/>
  <c r="M581" i="3"/>
  <c r="AE581" i="3"/>
  <c r="O581" i="3"/>
  <c r="AF581" i="3"/>
  <c r="U581" i="3"/>
  <c r="V581" i="3"/>
  <c r="G581" i="3"/>
  <c r="H581" i="3"/>
  <c r="F581" i="3"/>
  <c r="T581" i="3"/>
  <c r="Y580" i="3"/>
  <c r="Z580" i="3"/>
  <c r="X580" i="3"/>
  <c r="AT579" i="3"/>
  <c r="AW579" i="3"/>
  <c r="AH580" i="3"/>
  <c r="AO580" i="3"/>
  <c r="BM581" i="3"/>
  <c r="BC578" i="3"/>
  <c r="BD578" i="3"/>
  <c r="BN581" i="3"/>
  <c r="BG577" i="3"/>
  <c r="BH577" i="3"/>
  <c r="BI577" i="3"/>
  <c r="BF578" i="3"/>
  <c r="BJ577" i="3"/>
  <c r="BK577" i="3"/>
  <c r="BB578" i="3"/>
  <c r="AY579" i="3"/>
  <c r="AX580" i="3"/>
  <c r="AN581" i="3"/>
  <c r="AV579" i="3"/>
  <c r="BA579" i="3"/>
  <c r="AR582" i="3"/>
  <c r="AQ582" i="3"/>
  <c r="B582" i="3"/>
  <c r="A583" i="3"/>
  <c r="C582" i="3"/>
  <c r="D582" i="3"/>
  <c r="AM582" i="3"/>
  <c r="T582" i="3"/>
  <c r="AK582" i="3"/>
  <c r="S582" i="3"/>
  <c r="R582" i="3"/>
  <c r="Q582" i="3"/>
  <c r="AD582" i="3"/>
  <c r="P582" i="3"/>
  <c r="AE582" i="3"/>
  <c r="M582" i="3"/>
  <c r="O582" i="3"/>
  <c r="AF582" i="3"/>
  <c r="U582" i="3"/>
  <c r="V582" i="3"/>
  <c r="G582" i="3"/>
  <c r="H582" i="3"/>
  <c r="F582" i="3"/>
  <c r="AW580" i="3"/>
  <c r="Y581" i="3"/>
  <c r="Z581" i="3"/>
  <c r="AH581" i="3"/>
  <c r="AO581" i="3"/>
  <c r="AT580" i="3"/>
  <c r="AU580" i="3"/>
  <c r="AG581" i="3"/>
  <c r="X581" i="3"/>
  <c r="AY580" i="3"/>
  <c r="BG578" i="3"/>
  <c r="BH578" i="3"/>
  <c r="BI578" i="3"/>
  <c r="AO582" i="3"/>
  <c r="BN582" i="3"/>
  <c r="BM582" i="3"/>
  <c r="BC579" i="3"/>
  <c r="BG579" i="3"/>
  <c r="BH579" i="3"/>
  <c r="BI579" i="3"/>
  <c r="AW581" i="3"/>
  <c r="AX581" i="3"/>
  <c r="AG582" i="3"/>
  <c r="AH582" i="3"/>
  <c r="AN582" i="3"/>
  <c r="X582" i="3"/>
  <c r="AV580" i="3"/>
  <c r="BA580" i="3"/>
  <c r="Y582" i="3"/>
  <c r="Z582" i="3"/>
  <c r="A584" i="3"/>
  <c r="AQ583" i="3"/>
  <c r="AR583" i="3"/>
  <c r="B583" i="3"/>
  <c r="C583" i="3"/>
  <c r="D583" i="3"/>
  <c r="AK583" i="3"/>
  <c r="AM583" i="3"/>
  <c r="S583" i="3"/>
  <c r="R583" i="3"/>
  <c r="P583" i="3"/>
  <c r="Q583" i="3"/>
  <c r="AD583" i="3"/>
  <c r="O583" i="3"/>
  <c r="V583" i="3"/>
  <c r="AF583" i="3"/>
  <c r="AE583" i="3"/>
  <c r="M583" i="3"/>
  <c r="U583" i="3"/>
  <c r="G583" i="3"/>
  <c r="H583" i="3"/>
  <c r="F583" i="3"/>
  <c r="T583" i="3"/>
  <c r="BQ579" i="3"/>
  <c r="BF579" i="3"/>
  <c r="BJ578" i="3"/>
  <c r="BK578" i="3"/>
  <c r="BB579" i="3"/>
  <c r="AU581" i="3"/>
  <c r="AT581" i="3"/>
  <c r="BC580" i="3"/>
  <c r="BD580" i="3"/>
  <c r="BM583" i="3"/>
  <c r="BN583" i="3"/>
  <c r="BD579" i="3"/>
  <c r="AO583" i="3"/>
  <c r="AG583" i="3"/>
  <c r="AT582" i="3"/>
  <c r="AY581" i="3"/>
  <c r="AU582" i="3"/>
  <c r="Y583" i="3"/>
  <c r="Z583" i="3"/>
  <c r="AX582" i="3"/>
  <c r="BQ580" i="3"/>
  <c r="BB580" i="3"/>
  <c r="BF580" i="3"/>
  <c r="BJ579" i="3"/>
  <c r="BK579" i="3"/>
  <c r="AN583" i="3"/>
  <c r="AW582" i="3"/>
  <c r="AV581" i="3"/>
  <c r="BA581" i="3"/>
  <c r="A585" i="3"/>
  <c r="AR584" i="3"/>
  <c r="B584" i="3"/>
  <c r="AQ584" i="3"/>
  <c r="D584" i="3"/>
  <c r="AM584" i="3"/>
  <c r="AK584" i="3"/>
  <c r="R584" i="3"/>
  <c r="C584" i="3"/>
  <c r="S584" i="3"/>
  <c r="Q584" i="3"/>
  <c r="AD584" i="3"/>
  <c r="P584" i="3"/>
  <c r="O584" i="3"/>
  <c r="AE584" i="3"/>
  <c r="AF584" i="3"/>
  <c r="U584" i="3"/>
  <c r="V584" i="3"/>
  <c r="M584" i="3"/>
  <c r="F584" i="3"/>
  <c r="G584" i="3"/>
  <c r="H584" i="3"/>
  <c r="T584" i="3"/>
  <c r="AH583" i="3"/>
  <c r="X583" i="3"/>
  <c r="BN584" i="3"/>
  <c r="BG580" i="3"/>
  <c r="BH580" i="3"/>
  <c r="BI580" i="3"/>
  <c r="BC581" i="3"/>
  <c r="BG581" i="3"/>
  <c r="BH581" i="3"/>
  <c r="BI581" i="3"/>
  <c r="AV582" i="3"/>
  <c r="AY582" i="3"/>
  <c r="BM584" i="3"/>
  <c r="AX583" i="3"/>
  <c r="AN584" i="3"/>
  <c r="Y584" i="3"/>
  <c r="Z584" i="3"/>
  <c r="BB581" i="3"/>
  <c r="BF581" i="3"/>
  <c r="BJ580" i="3"/>
  <c r="BK580" i="3"/>
  <c r="BQ581" i="3"/>
  <c r="AT583" i="3"/>
  <c r="AH584" i="3"/>
  <c r="BA582" i="3"/>
  <c r="AR585" i="3"/>
  <c r="A586" i="3"/>
  <c r="AQ585" i="3"/>
  <c r="B585" i="3"/>
  <c r="D585" i="3"/>
  <c r="S585" i="3"/>
  <c r="C585" i="3"/>
  <c r="AM585" i="3"/>
  <c r="AK585" i="3"/>
  <c r="R585" i="3"/>
  <c r="Q585" i="3"/>
  <c r="AD585" i="3"/>
  <c r="P585" i="3"/>
  <c r="O585" i="3"/>
  <c r="AE585" i="3"/>
  <c r="M585" i="3"/>
  <c r="AF585" i="3"/>
  <c r="U585" i="3"/>
  <c r="V585" i="3"/>
  <c r="F585" i="3"/>
  <c r="G585" i="3"/>
  <c r="H585" i="3"/>
  <c r="T585" i="3"/>
  <c r="AW583" i="3"/>
  <c r="AG584" i="3"/>
  <c r="X584" i="3"/>
  <c r="AO584" i="3"/>
  <c r="AU583" i="3"/>
  <c r="BN585" i="3"/>
  <c r="BD581" i="3"/>
  <c r="BC582" i="3"/>
  <c r="BG582" i="3"/>
  <c r="BH582" i="3"/>
  <c r="BI582" i="3"/>
  <c r="AY583" i="3"/>
  <c r="BM585" i="3"/>
  <c r="AO585" i="3"/>
  <c r="AH585" i="3"/>
  <c r="AT584" i="3"/>
  <c r="AG585" i="3"/>
  <c r="X585" i="3"/>
  <c r="AX584" i="3"/>
  <c r="AR586" i="3"/>
  <c r="AQ586" i="3"/>
  <c r="B586" i="3"/>
  <c r="A587" i="3"/>
  <c r="D586" i="3"/>
  <c r="AK586" i="3"/>
  <c r="AM586" i="3"/>
  <c r="R586" i="3"/>
  <c r="C586" i="3"/>
  <c r="Q586" i="3"/>
  <c r="S586" i="3"/>
  <c r="AD586" i="3"/>
  <c r="P586" i="3"/>
  <c r="AE586" i="3"/>
  <c r="O586" i="3"/>
  <c r="M586" i="3"/>
  <c r="V586" i="3"/>
  <c r="AF586" i="3"/>
  <c r="U586" i="3"/>
  <c r="G586" i="3"/>
  <c r="H586" i="3"/>
  <c r="F586" i="3"/>
  <c r="T586" i="3"/>
  <c r="BB582" i="3"/>
  <c r="BQ582" i="3"/>
  <c r="BF582" i="3"/>
  <c r="BJ581" i="3"/>
  <c r="BK581" i="3"/>
  <c r="AV583" i="3"/>
  <c r="BA583" i="3"/>
  <c r="AW584" i="3"/>
  <c r="Y585" i="3"/>
  <c r="Z585" i="3"/>
  <c r="AN585" i="3"/>
  <c r="AU584" i="3"/>
  <c r="BM586" i="3"/>
  <c r="BD582" i="3"/>
  <c r="AT585" i="3"/>
  <c r="BC583" i="3"/>
  <c r="BD583" i="3"/>
  <c r="AU585" i="3"/>
  <c r="AH586" i="3"/>
  <c r="AV584" i="3"/>
  <c r="AN586" i="3"/>
  <c r="AX585" i="3"/>
  <c r="BA584" i="3"/>
  <c r="BQ584" i="3"/>
  <c r="BQ583" i="3"/>
  <c r="BF583" i="3"/>
  <c r="BJ582" i="3"/>
  <c r="BK582" i="3"/>
  <c r="BB583" i="3"/>
  <c r="A588" i="3"/>
  <c r="AQ587" i="3"/>
  <c r="AR587" i="3"/>
  <c r="B587" i="3"/>
  <c r="C587" i="3"/>
  <c r="D587" i="3"/>
  <c r="AK587" i="3"/>
  <c r="AM587" i="3"/>
  <c r="T587" i="3"/>
  <c r="R587" i="3"/>
  <c r="S587" i="3"/>
  <c r="Q587" i="3"/>
  <c r="AD587" i="3"/>
  <c r="O587" i="3"/>
  <c r="AF587" i="3"/>
  <c r="M587" i="3"/>
  <c r="U587" i="3"/>
  <c r="V587" i="3"/>
  <c r="P587" i="3"/>
  <c r="AE587" i="3"/>
  <c r="G587" i="3"/>
  <c r="H587" i="3"/>
  <c r="F587" i="3"/>
  <c r="X586" i="3"/>
  <c r="Y586" i="3"/>
  <c r="Z586" i="3"/>
  <c r="BN586" i="3"/>
  <c r="AG586" i="3"/>
  <c r="AO586" i="3"/>
  <c r="AY584" i="3"/>
  <c r="AW585" i="3"/>
  <c r="AV585" i="3"/>
  <c r="AY585" i="3"/>
  <c r="BG583" i="3"/>
  <c r="BH583" i="3"/>
  <c r="BI583" i="3"/>
  <c r="AW586" i="3"/>
  <c r="AN587" i="3"/>
  <c r="BC584" i="3"/>
  <c r="BD584" i="3"/>
  <c r="BM587" i="3"/>
  <c r="AU586" i="3"/>
  <c r="AG587" i="3"/>
  <c r="BF584" i="3"/>
  <c r="BJ583" i="3"/>
  <c r="BK583" i="3"/>
  <c r="BB584" i="3"/>
  <c r="Y587" i="3"/>
  <c r="Z587" i="3"/>
  <c r="A589" i="3"/>
  <c r="AR588" i="3"/>
  <c r="B588" i="3"/>
  <c r="AQ588" i="3"/>
  <c r="C588" i="3"/>
  <c r="D588" i="3"/>
  <c r="S588" i="3"/>
  <c r="AM588" i="3"/>
  <c r="AK588" i="3"/>
  <c r="Q588" i="3"/>
  <c r="P588" i="3"/>
  <c r="R588" i="3"/>
  <c r="AD588" i="3"/>
  <c r="O588" i="3"/>
  <c r="AE588" i="3"/>
  <c r="M588" i="3"/>
  <c r="U588" i="3"/>
  <c r="AF588" i="3"/>
  <c r="V588" i="3"/>
  <c r="G588" i="3"/>
  <c r="H588" i="3"/>
  <c r="F588" i="3"/>
  <c r="T588" i="3"/>
  <c r="BA585" i="3"/>
  <c r="AX586" i="3"/>
  <c r="AT586" i="3"/>
  <c r="BN587" i="3"/>
  <c r="AH587" i="3"/>
  <c r="AO587" i="3"/>
  <c r="X587" i="3"/>
  <c r="BM588" i="3"/>
  <c r="BN588" i="3"/>
  <c r="BC585" i="3"/>
  <c r="BD585" i="3"/>
  <c r="BG584" i="3"/>
  <c r="BH584" i="3"/>
  <c r="BI584" i="3"/>
  <c r="AY586" i="3"/>
  <c r="AN588" i="3"/>
  <c r="AX587" i="3"/>
  <c r="BB585" i="3"/>
  <c r="BF585" i="3"/>
  <c r="BJ584" i="3"/>
  <c r="BK584" i="3"/>
  <c r="BQ585" i="3"/>
  <c r="AR589" i="3"/>
  <c r="A590" i="3"/>
  <c r="AQ589" i="3"/>
  <c r="B589" i="3"/>
  <c r="C589" i="3"/>
  <c r="AM589" i="3"/>
  <c r="AK589" i="3"/>
  <c r="S589" i="3"/>
  <c r="Q589" i="3"/>
  <c r="D589" i="3"/>
  <c r="T589" i="3"/>
  <c r="R589" i="3"/>
  <c r="AD589" i="3"/>
  <c r="P589" i="3"/>
  <c r="O589" i="3"/>
  <c r="AE589" i="3"/>
  <c r="AF589" i="3"/>
  <c r="V589" i="3"/>
  <c r="M589" i="3"/>
  <c r="U589" i="3"/>
  <c r="G589" i="3"/>
  <c r="H589" i="3"/>
  <c r="F589" i="3"/>
  <c r="AW587" i="3"/>
  <c r="Y588" i="3"/>
  <c r="Z588" i="3"/>
  <c r="AT587" i="3"/>
  <c r="AU587" i="3"/>
  <c r="AG588" i="3"/>
  <c r="AH588" i="3"/>
  <c r="AO588" i="3"/>
  <c r="X588" i="3"/>
  <c r="AV586" i="3"/>
  <c r="BA586" i="3"/>
  <c r="AY587" i="3"/>
  <c r="BG585" i="3"/>
  <c r="BH585" i="3"/>
  <c r="BI585" i="3"/>
  <c r="BM589" i="3"/>
  <c r="BC586" i="3"/>
  <c r="BD586" i="3"/>
  <c r="AN589" i="3"/>
  <c r="AU588" i="3"/>
  <c r="AX588" i="3"/>
  <c r="AG589" i="3"/>
  <c r="AV587" i="3"/>
  <c r="BA587" i="3"/>
  <c r="AT588" i="3"/>
  <c r="AW588" i="3"/>
  <c r="BN589" i="3"/>
  <c r="AH589" i="3"/>
  <c r="AO589" i="3"/>
  <c r="X589" i="3"/>
  <c r="BQ586" i="3"/>
  <c r="BF586" i="3"/>
  <c r="BJ585" i="3"/>
  <c r="BK585" i="3"/>
  <c r="BB586" i="3"/>
  <c r="Y589" i="3"/>
  <c r="Z589" i="3"/>
  <c r="AR590" i="3"/>
  <c r="AQ590" i="3"/>
  <c r="B590" i="3"/>
  <c r="A591" i="3"/>
  <c r="D590" i="3"/>
  <c r="C590" i="3"/>
  <c r="AK590" i="3"/>
  <c r="AM590" i="3"/>
  <c r="S590" i="3"/>
  <c r="R590" i="3"/>
  <c r="Q590" i="3"/>
  <c r="T590" i="3"/>
  <c r="AD590" i="3"/>
  <c r="P590" i="3"/>
  <c r="O590" i="3"/>
  <c r="M590" i="3"/>
  <c r="V590" i="3"/>
  <c r="AE590" i="3"/>
  <c r="AF590" i="3"/>
  <c r="U590" i="3"/>
  <c r="F590" i="3"/>
  <c r="G590" i="3"/>
  <c r="H590" i="3"/>
  <c r="BC587" i="3"/>
  <c r="BG587" i="3"/>
  <c r="BH587" i="3"/>
  <c r="BI587" i="3"/>
  <c r="BG586" i="3"/>
  <c r="BH586" i="3"/>
  <c r="BI586" i="3"/>
  <c r="AN590" i="3"/>
  <c r="BN590" i="3"/>
  <c r="AU589" i="3"/>
  <c r="AW589" i="3"/>
  <c r="AY588" i="3"/>
  <c r="AT589" i="3"/>
  <c r="AG590" i="3"/>
  <c r="A592" i="3"/>
  <c r="AQ591" i="3"/>
  <c r="AR591" i="3"/>
  <c r="B591" i="3"/>
  <c r="C591" i="3"/>
  <c r="T591" i="3"/>
  <c r="D591" i="3"/>
  <c r="AM591" i="3"/>
  <c r="AK591" i="3"/>
  <c r="S591" i="3"/>
  <c r="R591" i="3"/>
  <c r="Q591" i="3"/>
  <c r="AD591" i="3"/>
  <c r="AE591" i="3"/>
  <c r="P591" i="3"/>
  <c r="O591" i="3"/>
  <c r="AF591" i="3"/>
  <c r="V591" i="3"/>
  <c r="U591" i="3"/>
  <c r="M591" i="3"/>
  <c r="F591" i="3"/>
  <c r="G591" i="3"/>
  <c r="H591" i="3"/>
  <c r="Y590" i="3"/>
  <c r="Z590" i="3"/>
  <c r="AV588" i="3"/>
  <c r="BA588" i="3"/>
  <c r="X590" i="3"/>
  <c r="BM590" i="3"/>
  <c r="AH590" i="3"/>
  <c r="AO590" i="3"/>
  <c r="AX589" i="3"/>
  <c r="BB587" i="3"/>
  <c r="BQ587" i="3"/>
  <c r="BF587" i="3"/>
  <c r="BJ586" i="3"/>
  <c r="BK586" i="3"/>
  <c r="BM591" i="3"/>
  <c r="BD587" i="3"/>
  <c r="BC588" i="3"/>
  <c r="BD588" i="3"/>
  <c r="AU590" i="3"/>
  <c r="AV589" i="3"/>
  <c r="BN591" i="3"/>
  <c r="AY589" i="3"/>
  <c r="AW590" i="3"/>
  <c r="AT590" i="3"/>
  <c r="AH591" i="3"/>
  <c r="AO591" i="3"/>
  <c r="BF588" i="3"/>
  <c r="BJ587" i="3"/>
  <c r="BK587" i="3"/>
  <c r="BB588" i="3"/>
  <c r="BQ588" i="3"/>
  <c r="AX590" i="3"/>
  <c r="BA589" i="3"/>
  <c r="AG591" i="3"/>
  <c r="AN591" i="3"/>
  <c r="Y591" i="3"/>
  <c r="Z591" i="3"/>
  <c r="A593" i="3"/>
  <c r="AR592" i="3"/>
  <c r="B592" i="3"/>
  <c r="AQ592" i="3"/>
  <c r="D592" i="3"/>
  <c r="C592" i="3"/>
  <c r="AK592" i="3"/>
  <c r="T592" i="3"/>
  <c r="S592" i="3"/>
  <c r="AM592" i="3"/>
  <c r="Q592" i="3"/>
  <c r="R592" i="3"/>
  <c r="AD592" i="3"/>
  <c r="O592" i="3"/>
  <c r="M592" i="3"/>
  <c r="AE592" i="3"/>
  <c r="AF592" i="3"/>
  <c r="U592" i="3"/>
  <c r="P592" i="3"/>
  <c r="V592" i="3"/>
  <c r="G592" i="3"/>
  <c r="H592" i="3"/>
  <c r="F592" i="3"/>
  <c r="BM592" i="3"/>
  <c r="X591" i="3"/>
  <c r="BN592" i="3"/>
  <c r="BG588" i="3"/>
  <c r="BH588" i="3"/>
  <c r="BI588" i="3"/>
  <c r="AV590" i="3"/>
  <c r="BC589" i="3"/>
  <c r="BD589" i="3"/>
  <c r="AU591" i="3"/>
  <c r="BA590" i="3"/>
  <c r="BF590" i="3"/>
  <c r="AX591" i="3"/>
  <c r="AT591" i="3"/>
  <c r="AO592" i="3"/>
  <c r="AY590" i="3"/>
  <c r="AG592" i="3"/>
  <c r="AN592" i="3"/>
  <c r="X592" i="3"/>
  <c r="AW591" i="3"/>
  <c r="Y592" i="3"/>
  <c r="Z592" i="3"/>
  <c r="AR593" i="3"/>
  <c r="A594" i="3"/>
  <c r="AQ593" i="3"/>
  <c r="B593" i="3"/>
  <c r="D593" i="3"/>
  <c r="AK593" i="3"/>
  <c r="R593" i="3"/>
  <c r="AM593" i="3"/>
  <c r="C593" i="3"/>
  <c r="Q593" i="3"/>
  <c r="P593" i="3"/>
  <c r="S593" i="3"/>
  <c r="AD593" i="3"/>
  <c r="O593" i="3"/>
  <c r="AF593" i="3"/>
  <c r="V593" i="3"/>
  <c r="AE593" i="3"/>
  <c r="M593" i="3"/>
  <c r="U593" i="3"/>
  <c r="F593" i="3"/>
  <c r="G593" i="3"/>
  <c r="H593" i="3"/>
  <c r="T593" i="3"/>
  <c r="BQ589" i="3"/>
  <c r="BF589" i="3"/>
  <c r="BJ588" i="3"/>
  <c r="BK588" i="3"/>
  <c r="BB589" i="3"/>
  <c r="AH592" i="3"/>
  <c r="BC590" i="3"/>
  <c r="BD590" i="3"/>
  <c r="AN593" i="3"/>
  <c r="BN593" i="3"/>
  <c r="BG589" i="3"/>
  <c r="BH589" i="3"/>
  <c r="BI589" i="3"/>
  <c r="AG593" i="3"/>
  <c r="BB590" i="3"/>
  <c r="AV591" i="3"/>
  <c r="BJ589" i="3"/>
  <c r="BK589" i="3"/>
  <c r="BQ590" i="3"/>
  <c r="AY591" i="3"/>
  <c r="AX592" i="3"/>
  <c r="AR594" i="3"/>
  <c r="AQ594" i="3"/>
  <c r="B594" i="3"/>
  <c r="A595" i="3"/>
  <c r="C594" i="3"/>
  <c r="D594" i="3"/>
  <c r="AK594" i="3"/>
  <c r="AM594" i="3"/>
  <c r="S594" i="3"/>
  <c r="AD594" i="3"/>
  <c r="T594" i="3"/>
  <c r="P594" i="3"/>
  <c r="AE594" i="3"/>
  <c r="M594" i="3"/>
  <c r="V594" i="3"/>
  <c r="O594" i="3"/>
  <c r="AF594" i="3"/>
  <c r="U594" i="3"/>
  <c r="R594" i="3"/>
  <c r="Q594" i="3"/>
  <c r="G594" i="3"/>
  <c r="H594" i="3"/>
  <c r="F594" i="3"/>
  <c r="AH593" i="3"/>
  <c r="Y593" i="3"/>
  <c r="Z593" i="3"/>
  <c r="BM593" i="3"/>
  <c r="AO593" i="3"/>
  <c r="AT592" i="3"/>
  <c r="AW592" i="3"/>
  <c r="X593" i="3"/>
  <c r="AU592" i="3"/>
  <c r="BA591" i="3"/>
  <c r="BG590" i="3"/>
  <c r="BH590" i="3"/>
  <c r="BI590" i="3"/>
  <c r="AU593" i="3"/>
  <c r="BM594" i="3"/>
  <c r="AV592" i="3"/>
  <c r="BC591" i="3"/>
  <c r="BG591" i="3"/>
  <c r="BH591" i="3"/>
  <c r="BI591" i="3"/>
  <c r="AW593" i="3"/>
  <c r="AN594" i="3"/>
  <c r="BA592" i="3"/>
  <c r="AY592" i="3"/>
  <c r="BB591" i="3"/>
  <c r="BF591" i="3"/>
  <c r="BJ590" i="3"/>
  <c r="BK590" i="3"/>
  <c r="BQ591" i="3"/>
  <c r="AT593" i="3"/>
  <c r="AX593" i="3"/>
  <c r="BN594" i="3"/>
  <c r="AH594" i="3"/>
  <c r="AG594" i="3"/>
  <c r="AO594" i="3"/>
  <c r="X594" i="3"/>
  <c r="Y594" i="3"/>
  <c r="Z594" i="3"/>
  <c r="A596" i="3"/>
  <c r="AQ595" i="3"/>
  <c r="AR595" i="3"/>
  <c r="B595" i="3"/>
  <c r="D595" i="3"/>
  <c r="AM595" i="3"/>
  <c r="C595" i="3"/>
  <c r="AK595" i="3"/>
  <c r="S595" i="3"/>
  <c r="Q595" i="3"/>
  <c r="R595" i="3"/>
  <c r="P595" i="3"/>
  <c r="AD595" i="3"/>
  <c r="M595" i="3"/>
  <c r="AE595" i="3"/>
  <c r="U595" i="3"/>
  <c r="O595" i="3"/>
  <c r="AF595" i="3"/>
  <c r="V595" i="3"/>
  <c r="G595" i="3"/>
  <c r="H595" i="3"/>
  <c r="F595" i="3"/>
  <c r="T595" i="3"/>
  <c r="BD591" i="3"/>
  <c r="BM595" i="3"/>
  <c r="BC592" i="3"/>
  <c r="BG592" i="3"/>
  <c r="BH592" i="3"/>
  <c r="BI592" i="3"/>
  <c r="BN595" i="3"/>
  <c r="AY593" i="3"/>
  <c r="AO595" i="3"/>
  <c r="AT594" i="3"/>
  <c r="AU594" i="3"/>
  <c r="A597" i="3"/>
  <c r="AR596" i="3"/>
  <c r="B596" i="3"/>
  <c r="AQ596" i="3"/>
  <c r="D596" i="3"/>
  <c r="C596" i="3"/>
  <c r="S596" i="3"/>
  <c r="AK596" i="3"/>
  <c r="AM596" i="3"/>
  <c r="Q596" i="3"/>
  <c r="AD596" i="3"/>
  <c r="P596" i="3"/>
  <c r="R596" i="3"/>
  <c r="O596" i="3"/>
  <c r="M596" i="3"/>
  <c r="U596" i="3"/>
  <c r="AE596" i="3"/>
  <c r="AF596" i="3"/>
  <c r="V596" i="3"/>
  <c r="G596" i="3"/>
  <c r="H596" i="3"/>
  <c r="F596" i="3"/>
  <c r="T596" i="3"/>
  <c r="AV593" i="3"/>
  <c r="BA593" i="3"/>
  <c r="AN595" i="3"/>
  <c r="AG595" i="3"/>
  <c r="AH595" i="3"/>
  <c r="X595" i="3"/>
  <c r="AW594" i="3"/>
  <c r="BQ592" i="3"/>
  <c r="BB592" i="3"/>
  <c r="BF592" i="3"/>
  <c r="BJ591" i="3"/>
  <c r="BK591" i="3"/>
  <c r="Y595" i="3"/>
  <c r="Z595" i="3"/>
  <c r="AX594" i="3"/>
  <c r="BD592" i="3"/>
  <c r="BC593" i="3"/>
  <c r="BG593" i="3"/>
  <c r="BH593" i="3"/>
  <c r="BI593" i="3"/>
  <c r="BM596" i="3"/>
  <c r="AG596" i="3"/>
  <c r="AV594" i="3"/>
  <c r="AU595" i="3"/>
  <c r="AX595" i="3"/>
  <c r="AN596" i="3"/>
  <c r="AY594" i="3"/>
  <c r="BB593" i="3"/>
  <c r="BF593" i="3"/>
  <c r="BJ592" i="3"/>
  <c r="BK592" i="3"/>
  <c r="BQ593" i="3"/>
  <c r="AW595" i="3"/>
  <c r="BA594" i="3"/>
  <c r="AT595" i="3"/>
  <c r="Y596" i="3"/>
  <c r="Z596" i="3"/>
  <c r="BN596" i="3"/>
  <c r="AH596" i="3"/>
  <c r="AO596" i="3"/>
  <c r="X596" i="3"/>
  <c r="AR597" i="3"/>
  <c r="A598" i="3"/>
  <c r="AQ597" i="3"/>
  <c r="B597" i="3"/>
  <c r="C597" i="3"/>
  <c r="AK597" i="3"/>
  <c r="AM597" i="3"/>
  <c r="T597" i="3"/>
  <c r="D597" i="3"/>
  <c r="R597" i="3"/>
  <c r="S597" i="3"/>
  <c r="AD597" i="3"/>
  <c r="O597" i="3"/>
  <c r="AE597" i="3"/>
  <c r="M597" i="3"/>
  <c r="AF597" i="3"/>
  <c r="V597" i="3"/>
  <c r="U597" i="3"/>
  <c r="P597" i="3"/>
  <c r="Q597" i="3"/>
  <c r="G597" i="3"/>
  <c r="H597" i="3"/>
  <c r="F597" i="3"/>
  <c r="BN597" i="3"/>
  <c r="BD593" i="3"/>
  <c r="BC594" i="3"/>
  <c r="BD594" i="3"/>
  <c r="AY595" i="3"/>
  <c r="BM597" i="3"/>
  <c r="AV595" i="3"/>
  <c r="AO597" i="3"/>
  <c r="AX596" i="3"/>
  <c r="AT596" i="3"/>
  <c r="BA595" i="3"/>
  <c r="BF595" i="3"/>
  <c r="Y597" i="3"/>
  <c r="Z597" i="3"/>
  <c r="AN597" i="3"/>
  <c r="X597" i="3"/>
  <c r="AU596" i="3"/>
  <c r="AR598" i="3"/>
  <c r="AQ598" i="3"/>
  <c r="B598" i="3"/>
  <c r="A599" i="3"/>
  <c r="C598" i="3"/>
  <c r="S598" i="3"/>
  <c r="Q598" i="3"/>
  <c r="D598" i="3"/>
  <c r="AM598" i="3"/>
  <c r="AK598" i="3"/>
  <c r="R598" i="3"/>
  <c r="AD598" i="3"/>
  <c r="P598" i="3"/>
  <c r="O598" i="3"/>
  <c r="M598" i="3"/>
  <c r="AE598" i="3"/>
  <c r="AF598" i="3"/>
  <c r="U598" i="3"/>
  <c r="V598" i="3"/>
  <c r="F598" i="3"/>
  <c r="G598" i="3"/>
  <c r="H598" i="3"/>
  <c r="T598" i="3"/>
  <c r="BQ594" i="3"/>
  <c r="BF594" i="3"/>
  <c r="BJ593" i="3"/>
  <c r="BK593" i="3"/>
  <c r="BB594" i="3"/>
  <c r="AG597" i="3"/>
  <c r="AH597" i="3"/>
  <c r="AW596" i="3"/>
  <c r="BG594" i="3"/>
  <c r="BH594" i="3"/>
  <c r="BI594" i="3"/>
  <c r="BC595" i="3"/>
  <c r="BD595" i="3"/>
  <c r="BN598" i="3"/>
  <c r="AV596" i="3"/>
  <c r="AN598" i="3"/>
  <c r="AX597" i="3"/>
  <c r="BB595" i="3"/>
  <c r="BQ595" i="3"/>
  <c r="A600" i="3"/>
  <c r="AQ599" i="3"/>
  <c r="AR599" i="3"/>
  <c r="B599" i="3"/>
  <c r="C599" i="3"/>
  <c r="D599" i="3"/>
  <c r="AM599" i="3"/>
  <c r="AK599" i="3"/>
  <c r="T599" i="3"/>
  <c r="S599" i="3"/>
  <c r="Q599" i="3"/>
  <c r="AD599" i="3"/>
  <c r="R599" i="3"/>
  <c r="P599" i="3"/>
  <c r="M599" i="3"/>
  <c r="AF599" i="3"/>
  <c r="AE599" i="3"/>
  <c r="U599" i="3"/>
  <c r="O599" i="3"/>
  <c r="V599" i="3"/>
  <c r="G599" i="3"/>
  <c r="H599" i="3"/>
  <c r="F599" i="3"/>
  <c r="AW597" i="3"/>
  <c r="Y598" i="3"/>
  <c r="Z598" i="3"/>
  <c r="BM598" i="3"/>
  <c r="AG598" i="3"/>
  <c r="AH598" i="3"/>
  <c r="AO598" i="3"/>
  <c r="AT597" i="3"/>
  <c r="BJ594" i="3"/>
  <c r="BK594" i="3"/>
  <c r="BA596" i="3"/>
  <c r="AY596" i="3"/>
  <c r="X598" i="3"/>
  <c r="AU597" i="3"/>
  <c r="BG595" i="3"/>
  <c r="BH595" i="3"/>
  <c r="BI595" i="3"/>
  <c r="BC596" i="3"/>
  <c r="BG596" i="3"/>
  <c r="BH596" i="3"/>
  <c r="BI596" i="3"/>
  <c r="BM599" i="3"/>
  <c r="AV597" i="3"/>
  <c r="AT598" i="3"/>
  <c r="AU598" i="3"/>
  <c r="AO599" i="3"/>
  <c r="BF596" i="3"/>
  <c r="BJ595" i="3"/>
  <c r="BK595" i="3"/>
  <c r="BQ596" i="3"/>
  <c r="BB596" i="3"/>
  <c r="BA597" i="3"/>
  <c r="AY597" i="3"/>
  <c r="A601" i="3"/>
  <c r="AR600" i="3"/>
  <c r="B600" i="3"/>
  <c r="AQ600" i="3"/>
  <c r="D600" i="3"/>
  <c r="C600" i="3"/>
  <c r="S600" i="3"/>
  <c r="AK600" i="3"/>
  <c r="AM600" i="3"/>
  <c r="T600" i="3"/>
  <c r="R600" i="3"/>
  <c r="P600" i="3"/>
  <c r="AD600" i="3"/>
  <c r="O600" i="3"/>
  <c r="M600" i="3"/>
  <c r="U600" i="3"/>
  <c r="AE600" i="3"/>
  <c r="AF600" i="3"/>
  <c r="V600" i="3"/>
  <c r="Q600" i="3"/>
  <c r="G600" i="3"/>
  <c r="H600" i="3"/>
  <c r="F600" i="3"/>
  <c r="AX598" i="3"/>
  <c r="BN599" i="3"/>
  <c r="AG599" i="3"/>
  <c r="AN599" i="3"/>
  <c r="X599" i="3"/>
  <c r="Y599" i="3"/>
  <c r="Z599" i="3"/>
  <c r="AW598" i="3"/>
  <c r="AH599" i="3"/>
  <c r="BM600" i="3"/>
  <c r="BN600" i="3"/>
  <c r="BC597" i="3"/>
  <c r="BD597" i="3"/>
  <c r="BD596" i="3"/>
  <c r="AY598" i="3"/>
  <c r="AG600" i="3"/>
  <c r="AV598" i="3"/>
  <c r="AN600" i="3"/>
  <c r="AU599" i="3"/>
  <c r="AX599" i="3"/>
  <c r="AT599" i="3"/>
  <c r="AW599" i="3"/>
  <c r="AH600" i="3"/>
  <c r="AO600" i="3"/>
  <c r="X600" i="3"/>
  <c r="Y600" i="3"/>
  <c r="Z600" i="3"/>
  <c r="AR601" i="3"/>
  <c r="A602" i="3"/>
  <c r="AQ601" i="3"/>
  <c r="B601" i="3"/>
  <c r="D601" i="3"/>
  <c r="AM601" i="3"/>
  <c r="T601" i="3"/>
  <c r="C601" i="3"/>
  <c r="AK601" i="3"/>
  <c r="P601" i="3"/>
  <c r="S601" i="3"/>
  <c r="Q601" i="3"/>
  <c r="AD601" i="3"/>
  <c r="O601" i="3"/>
  <c r="M601" i="3"/>
  <c r="V601" i="3"/>
  <c r="AF601" i="3"/>
  <c r="AE601" i="3"/>
  <c r="U601" i="3"/>
  <c r="R601" i="3"/>
  <c r="F601" i="3"/>
  <c r="G601" i="3"/>
  <c r="H601" i="3"/>
  <c r="BF597" i="3"/>
  <c r="BJ596" i="3"/>
  <c r="BK596" i="3"/>
  <c r="BQ597" i="3"/>
  <c r="BB597" i="3"/>
  <c r="BA598" i="3"/>
  <c r="BG597" i="3"/>
  <c r="BH597" i="3"/>
  <c r="BI597" i="3"/>
  <c r="BC598" i="3"/>
  <c r="BD598" i="3"/>
  <c r="AY599" i="3"/>
  <c r="BM601" i="3"/>
  <c r="BN601" i="3"/>
  <c r="AU600" i="3"/>
  <c r="AO601" i="3"/>
  <c r="AT600" i="3"/>
  <c r="BQ598" i="3"/>
  <c r="BF598" i="3"/>
  <c r="BB598" i="3"/>
  <c r="AR602" i="3"/>
  <c r="AQ602" i="3"/>
  <c r="B602" i="3"/>
  <c r="A603" i="3"/>
  <c r="C602" i="3"/>
  <c r="AK602" i="3"/>
  <c r="AM602" i="3"/>
  <c r="T602" i="3"/>
  <c r="S602" i="3"/>
  <c r="Q602" i="3"/>
  <c r="D602" i="3"/>
  <c r="R602" i="3"/>
  <c r="AD602" i="3"/>
  <c r="O602" i="3"/>
  <c r="M602" i="3"/>
  <c r="AF602" i="3"/>
  <c r="P602" i="3"/>
  <c r="AE602" i="3"/>
  <c r="V602" i="3"/>
  <c r="U602" i="3"/>
  <c r="G602" i="3"/>
  <c r="H602" i="3"/>
  <c r="F602" i="3"/>
  <c r="AV599" i="3"/>
  <c r="BA599" i="3"/>
  <c r="AG601" i="3"/>
  <c r="X601" i="3"/>
  <c r="AN601" i="3"/>
  <c r="AX600" i="3"/>
  <c r="AW600" i="3"/>
  <c r="Y601" i="3"/>
  <c r="Z601" i="3"/>
  <c r="AH601" i="3"/>
  <c r="BN602" i="3"/>
  <c r="AV600" i="3"/>
  <c r="BG598" i="3"/>
  <c r="BH598" i="3"/>
  <c r="BI598" i="3"/>
  <c r="BC599" i="3"/>
  <c r="BD599" i="3"/>
  <c r="AN602" i="3"/>
  <c r="AH602" i="3"/>
  <c r="AX601" i="3"/>
  <c r="BA600" i="3"/>
  <c r="BQ600" i="3"/>
  <c r="BB599" i="3"/>
  <c r="BF599" i="3"/>
  <c r="BJ598" i="3"/>
  <c r="BK598" i="3"/>
  <c r="BQ599" i="3"/>
  <c r="A604" i="3"/>
  <c r="AQ603" i="3"/>
  <c r="AR603" i="3"/>
  <c r="B603" i="3"/>
  <c r="D603" i="3"/>
  <c r="C603" i="3"/>
  <c r="S603" i="3"/>
  <c r="AM603" i="3"/>
  <c r="AK603" i="3"/>
  <c r="Q603" i="3"/>
  <c r="R603" i="3"/>
  <c r="AD603" i="3"/>
  <c r="P603" i="3"/>
  <c r="O603" i="3"/>
  <c r="M603" i="3"/>
  <c r="AF603" i="3"/>
  <c r="AE603" i="3"/>
  <c r="U603" i="3"/>
  <c r="V603" i="3"/>
  <c r="G603" i="3"/>
  <c r="H603" i="3"/>
  <c r="F603" i="3"/>
  <c r="T603" i="3"/>
  <c r="AT601" i="3"/>
  <c r="AY600" i="3"/>
  <c r="BM602" i="3"/>
  <c r="AG602" i="3"/>
  <c r="AO602" i="3"/>
  <c r="AU601" i="3"/>
  <c r="AW601" i="3"/>
  <c r="Y602" i="3"/>
  <c r="Z602" i="3"/>
  <c r="BJ597" i="3"/>
  <c r="BK597" i="3"/>
  <c r="X602" i="3"/>
  <c r="BC600" i="3"/>
  <c r="BG600" i="3"/>
  <c r="BH600" i="3"/>
  <c r="BI600" i="3"/>
  <c r="BG599" i="3"/>
  <c r="BH599" i="3"/>
  <c r="BI599" i="3"/>
  <c r="BN603" i="3"/>
  <c r="BM603" i="3"/>
  <c r="AW602" i="3"/>
  <c r="AN603" i="3"/>
  <c r="AO603" i="3"/>
  <c r="AT602" i="3"/>
  <c r="AY601" i="3"/>
  <c r="AU602" i="3"/>
  <c r="AG603" i="3"/>
  <c r="BB600" i="3"/>
  <c r="Y603" i="3"/>
  <c r="Z603" i="3"/>
  <c r="BF600" i="3"/>
  <c r="BJ599" i="3"/>
  <c r="BK599" i="3"/>
  <c r="A605" i="3"/>
  <c r="AR604" i="3"/>
  <c r="B604" i="3"/>
  <c r="AQ604" i="3"/>
  <c r="D604" i="3"/>
  <c r="AM604" i="3"/>
  <c r="AK604" i="3"/>
  <c r="C604" i="3"/>
  <c r="T604" i="3"/>
  <c r="S604" i="3"/>
  <c r="Q604" i="3"/>
  <c r="AD604" i="3"/>
  <c r="P604" i="3"/>
  <c r="AE604" i="3"/>
  <c r="M604" i="3"/>
  <c r="AF604" i="3"/>
  <c r="U604" i="3"/>
  <c r="V604" i="3"/>
  <c r="O604" i="3"/>
  <c r="R604" i="3"/>
  <c r="F604" i="3"/>
  <c r="G604" i="3"/>
  <c r="H604" i="3"/>
  <c r="AX602" i="3"/>
  <c r="BA601" i="3"/>
  <c r="AV601" i="3"/>
  <c r="AH603" i="3"/>
  <c r="X603" i="3"/>
  <c r="BD600" i="3"/>
  <c r="BN604" i="3"/>
  <c r="AX603" i="3"/>
  <c r="AV602" i="3"/>
  <c r="BC601" i="3"/>
  <c r="BG601" i="3"/>
  <c r="BH601" i="3"/>
  <c r="BI601" i="3"/>
  <c r="BA602" i="3"/>
  <c r="BQ602" i="3"/>
  <c r="AN604" i="3"/>
  <c r="AU603" i="3"/>
  <c r="BF601" i="3"/>
  <c r="BJ600" i="3"/>
  <c r="BK600" i="3"/>
  <c r="BB601" i="3"/>
  <c r="BQ601" i="3"/>
  <c r="Y604" i="3"/>
  <c r="Z604" i="3"/>
  <c r="AR605" i="3"/>
  <c r="A606" i="3"/>
  <c r="AQ605" i="3"/>
  <c r="B605" i="3"/>
  <c r="C605" i="3"/>
  <c r="D605" i="3"/>
  <c r="AM605" i="3"/>
  <c r="AK605" i="3"/>
  <c r="S605" i="3"/>
  <c r="R605" i="3"/>
  <c r="AD605" i="3"/>
  <c r="P605" i="3"/>
  <c r="Q605" i="3"/>
  <c r="O605" i="3"/>
  <c r="AE605" i="3"/>
  <c r="M605" i="3"/>
  <c r="AF605" i="3"/>
  <c r="V605" i="3"/>
  <c r="U605" i="3"/>
  <c r="G605" i="3"/>
  <c r="H605" i="3"/>
  <c r="F605" i="3"/>
  <c r="T605" i="3"/>
  <c r="AT603" i="3"/>
  <c r="AW603" i="3"/>
  <c r="AY602" i="3"/>
  <c r="BM604" i="3"/>
  <c r="AO604" i="3"/>
  <c r="AG604" i="3"/>
  <c r="AH604" i="3"/>
  <c r="X604" i="3"/>
  <c r="BM605" i="3"/>
  <c r="BN605" i="3"/>
  <c r="BC602" i="3"/>
  <c r="BG602" i="3"/>
  <c r="BH602" i="3"/>
  <c r="BI602" i="3"/>
  <c r="AY603" i="3"/>
  <c r="BD601" i="3"/>
  <c r="BB602" i="3"/>
  <c r="BF602" i="3"/>
  <c r="BJ601" i="3"/>
  <c r="BK601" i="3"/>
  <c r="AO605" i="3"/>
  <c r="AU604" i="3"/>
  <c r="AX604" i="3"/>
  <c r="BA603" i="3"/>
  <c r="AV603" i="3"/>
  <c r="AT604" i="3"/>
  <c r="AW604" i="3"/>
  <c r="AG605" i="3"/>
  <c r="AH605" i="3"/>
  <c r="AN605" i="3"/>
  <c r="X605" i="3"/>
  <c r="AR606" i="3"/>
  <c r="AQ606" i="3"/>
  <c r="B606" i="3"/>
  <c r="A607" i="3"/>
  <c r="D606" i="3"/>
  <c r="C606" i="3"/>
  <c r="AK606" i="3"/>
  <c r="AM606" i="3"/>
  <c r="S606" i="3"/>
  <c r="R606" i="3"/>
  <c r="Q606" i="3"/>
  <c r="AD606" i="3"/>
  <c r="P606" i="3"/>
  <c r="O606" i="3"/>
  <c r="AE606" i="3"/>
  <c r="M606" i="3"/>
  <c r="AF606" i="3"/>
  <c r="V606" i="3"/>
  <c r="U606" i="3"/>
  <c r="G606" i="3"/>
  <c r="H606" i="3"/>
  <c r="F606" i="3"/>
  <c r="T606" i="3"/>
  <c r="Y605" i="3"/>
  <c r="Z605" i="3"/>
  <c r="BD602" i="3"/>
  <c r="AY604" i="3"/>
  <c r="BC603" i="3"/>
  <c r="BG603" i="3"/>
  <c r="BH603" i="3"/>
  <c r="BI603" i="3"/>
  <c r="BN606" i="3"/>
  <c r="AN606" i="3"/>
  <c r="AU605" i="3"/>
  <c r="Y606" i="3"/>
  <c r="Z606" i="3"/>
  <c r="BA604" i="3"/>
  <c r="BQ604" i="3"/>
  <c r="A608" i="3"/>
  <c r="AQ607" i="3"/>
  <c r="AR607" i="3"/>
  <c r="B607" i="3"/>
  <c r="C607" i="3"/>
  <c r="AK607" i="3"/>
  <c r="D607" i="3"/>
  <c r="AM607" i="3"/>
  <c r="S607" i="3"/>
  <c r="Q607" i="3"/>
  <c r="AD607" i="3"/>
  <c r="P607" i="3"/>
  <c r="AE607" i="3"/>
  <c r="O607" i="3"/>
  <c r="AF607" i="3"/>
  <c r="M607" i="3"/>
  <c r="V607" i="3"/>
  <c r="U607" i="3"/>
  <c r="R607" i="3"/>
  <c r="F607" i="3"/>
  <c r="G607" i="3"/>
  <c r="H607" i="3"/>
  <c r="T607" i="3"/>
  <c r="BQ603" i="3"/>
  <c r="BB603" i="3"/>
  <c r="BF603" i="3"/>
  <c r="BJ602" i="3"/>
  <c r="BK602" i="3"/>
  <c r="X606" i="3"/>
  <c r="AW605" i="3"/>
  <c r="BM606" i="3"/>
  <c r="AH606" i="3"/>
  <c r="AG606" i="3"/>
  <c r="AO606" i="3"/>
  <c r="AT605" i="3"/>
  <c r="AX605" i="3"/>
  <c r="AV604" i="3"/>
  <c r="BN607" i="3"/>
  <c r="AN607" i="3"/>
  <c r="BD603" i="3"/>
  <c r="BC604" i="3"/>
  <c r="BD604" i="3"/>
  <c r="BM607" i="3"/>
  <c r="BF604" i="3"/>
  <c r="BJ603" i="3"/>
  <c r="BK603" i="3"/>
  <c r="AW606" i="3"/>
  <c r="BB604" i="3"/>
  <c r="Y607" i="3"/>
  <c r="Z607" i="3"/>
  <c r="A609" i="3"/>
  <c r="AR608" i="3"/>
  <c r="B608" i="3"/>
  <c r="AQ608" i="3"/>
  <c r="D608" i="3"/>
  <c r="AK608" i="3"/>
  <c r="S608" i="3"/>
  <c r="C608" i="3"/>
  <c r="AM608" i="3"/>
  <c r="Q608" i="3"/>
  <c r="R608" i="3"/>
  <c r="AD608" i="3"/>
  <c r="P608" i="3"/>
  <c r="O608" i="3"/>
  <c r="AF608" i="3"/>
  <c r="V608" i="3"/>
  <c r="AE608" i="3"/>
  <c r="M608" i="3"/>
  <c r="U608" i="3"/>
  <c r="F608" i="3"/>
  <c r="G608" i="3"/>
  <c r="H608" i="3"/>
  <c r="T608" i="3"/>
  <c r="AU606" i="3"/>
  <c r="AT606" i="3"/>
  <c r="AX606" i="3"/>
  <c r="AY605" i="3"/>
  <c r="AG607" i="3"/>
  <c r="AH607" i="3"/>
  <c r="X607" i="3"/>
  <c r="AV605" i="3"/>
  <c r="BA605" i="3"/>
  <c r="AO607" i="3"/>
  <c r="BN608" i="3"/>
  <c r="BM608" i="3"/>
  <c r="BG604" i="3"/>
  <c r="BH604" i="3"/>
  <c r="BI604" i="3"/>
  <c r="AV606" i="3"/>
  <c r="AO608" i="3"/>
  <c r="AY606" i="3"/>
  <c r="Y608" i="3"/>
  <c r="Z608" i="3"/>
  <c r="BQ605" i="3"/>
  <c r="BF605" i="3"/>
  <c r="BJ604" i="3"/>
  <c r="BK604" i="3"/>
  <c r="BB605" i="3"/>
  <c r="AR609" i="3"/>
  <c r="A610" i="3"/>
  <c r="AQ609" i="3"/>
  <c r="B609" i="3"/>
  <c r="C609" i="3"/>
  <c r="D609" i="3"/>
  <c r="AK609" i="3"/>
  <c r="Q609" i="3"/>
  <c r="AM609" i="3"/>
  <c r="S609" i="3"/>
  <c r="R609" i="3"/>
  <c r="T609" i="3"/>
  <c r="AD609" i="3"/>
  <c r="P609" i="3"/>
  <c r="AE609" i="3"/>
  <c r="M609" i="3"/>
  <c r="O609" i="3"/>
  <c r="AF609" i="3"/>
  <c r="V609" i="3"/>
  <c r="U609" i="3"/>
  <c r="G609" i="3"/>
  <c r="H609" i="3"/>
  <c r="F609" i="3"/>
  <c r="AX607" i="3"/>
  <c r="X608" i="3"/>
  <c r="AU607" i="3"/>
  <c r="AT607" i="3"/>
  <c r="AW607" i="3"/>
  <c r="AG608" i="3"/>
  <c r="AH608" i="3"/>
  <c r="AN608" i="3"/>
  <c r="BC605" i="3"/>
  <c r="BA606" i="3"/>
  <c r="AN609" i="3"/>
  <c r="BC606" i="3"/>
  <c r="BG606" i="3"/>
  <c r="BH606" i="3"/>
  <c r="BI606" i="3"/>
  <c r="BN609" i="3"/>
  <c r="AG609" i="3"/>
  <c r="AU608" i="3"/>
  <c r="AO609" i="3"/>
  <c r="BD605" i="3"/>
  <c r="BG605" i="3"/>
  <c r="BH605" i="3"/>
  <c r="BI605" i="3"/>
  <c r="AV607" i="3"/>
  <c r="BA607" i="3"/>
  <c r="BB606" i="3"/>
  <c r="BF606" i="3"/>
  <c r="BJ605" i="3"/>
  <c r="BK605" i="3"/>
  <c r="BQ606" i="3"/>
  <c r="BD606" i="3"/>
  <c r="Y609" i="3"/>
  <c r="Z609" i="3"/>
  <c r="AR610" i="3"/>
  <c r="AQ610" i="3"/>
  <c r="B610" i="3"/>
  <c r="A611" i="3"/>
  <c r="D610" i="3"/>
  <c r="AK610" i="3"/>
  <c r="AM610" i="3"/>
  <c r="R610" i="3"/>
  <c r="Q610" i="3"/>
  <c r="C610" i="3"/>
  <c r="S610" i="3"/>
  <c r="P610" i="3"/>
  <c r="AD610" i="3"/>
  <c r="O610" i="3"/>
  <c r="M610" i="3"/>
  <c r="AE610" i="3"/>
  <c r="AF610" i="3"/>
  <c r="V610" i="3"/>
  <c r="U610" i="3"/>
  <c r="F610" i="3"/>
  <c r="G610" i="3"/>
  <c r="H610" i="3"/>
  <c r="T610" i="3"/>
  <c r="AW608" i="3"/>
  <c r="AT608" i="3"/>
  <c r="AX608" i="3"/>
  <c r="AY607" i="3"/>
  <c r="BM609" i="3"/>
  <c r="AH609" i="3"/>
  <c r="X609" i="3"/>
  <c r="BN610" i="3"/>
  <c r="BM610" i="3"/>
  <c r="AX609" i="3"/>
  <c r="BC607" i="3"/>
  <c r="BD607" i="3"/>
  <c r="AN610" i="3"/>
  <c r="AY608" i="3"/>
  <c r="A612" i="3"/>
  <c r="AQ611" i="3"/>
  <c r="AR611" i="3"/>
  <c r="B611" i="3"/>
  <c r="C611" i="3"/>
  <c r="AK611" i="3"/>
  <c r="T611" i="3"/>
  <c r="S611" i="3"/>
  <c r="AM611" i="3"/>
  <c r="D611" i="3"/>
  <c r="Q611" i="3"/>
  <c r="R611" i="3"/>
  <c r="AD611" i="3"/>
  <c r="P611" i="3"/>
  <c r="AE611" i="3"/>
  <c r="AF611" i="3"/>
  <c r="V611" i="3"/>
  <c r="O611" i="3"/>
  <c r="M611" i="3"/>
  <c r="U611" i="3"/>
  <c r="G611" i="3"/>
  <c r="H611" i="3"/>
  <c r="F611" i="3"/>
  <c r="AU609" i="3"/>
  <c r="Y610" i="3"/>
  <c r="Z610" i="3"/>
  <c r="AG610" i="3"/>
  <c r="X610" i="3"/>
  <c r="AO610" i="3"/>
  <c r="AT609" i="3"/>
  <c r="AV608" i="3"/>
  <c r="BA608" i="3"/>
  <c r="BF607" i="3"/>
  <c r="BJ606" i="3"/>
  <c r="BK606" i="3"/>
  <c r="BQ607" i="3"/>
  <c r="BB607" i="3"/>
  <c r="AH610" i="3"/>
  <c r="AW609" i="3"/>
  <c r="AY609" i="3"/>
  <c r="AN611" i="3"/>
  <c r="BN611" i="3"/>
  <c r="BM611" i="3"/>
  <c r="BG607" i="3"/>
  <c r="BH607" i="3"/>
  <c r="BI607" i="3"/>
  <c r="AT610" i="3"/>
  <c r="AO611" i="3"/>
  <c r="AX610" i="3"/>
  <c r="BC608" i="3"/>
  <c r="BG608" i="3"/>
  <c r="BH608" i="3"/>
  <c r="BI608" i="3"/>
  <c r="BB608" i="3"/>
  <c r="BF608" i="3"/>
  <c r="BJ607" i="3"/>
  <c r="BK607" i="3"/>
  <c r="BQ608" i="3"/>
  <c r="AV609" i="3"/>
  <c r="BA609" i="3"/>
  <c r="A613" i="3"/>
  <c r="AR612" i="3"/>
  <c r="B612" i="3"/>
  <c r="AQ612" i="3"/>
  <c r="C612" i="3"/>
  <c r="D612" i="3"/>
  <c r="AM612" i="3"/>
  <c r="T612" i="3"/>
  <c r="AK612" i="3"/>
  <c r="Q612" i="3"/>
  <c r="R612" i="3"/>
  <c r="S612" i="3"/>
  <c r="AD612" i="3"/>
  <c r="P612" i="3"/>
  <c r="O612" i="3"/>
  <c r="AE612" i="3"/>
  <c r="V612" i="3"/>
  <c r="M612" i="3"/>
  <c r="AF612" i="3"/>
  <c r="U612" i="3"/>
  <c r="G612" i="3"/>
  <c r="H612" i="3"/>
  <c r="F612" i="3"/>
  <c r="AW610" i="3"/>
  <c r="AG611" i="3"/>
  <c r="AH611" i="3"/>
  <c r="X611" i="3"/>
  <c r="BD608" i="3"/>
  <c r="Y611" i="3"/>
  <c r="Z611" i="3"/>
  <c r="AU610" i="3"/>
  <c r="BC609" i="3"/>
  <c r="BG609" i="3"/>
  <c r="BH609" i="3"/>
  <c r="BI609" i="3"/>
  <c r="AO612" i="3"/>
  <c r="BN612" i="3"/>
  <c r="AV610" i="3"/>
  <c r="AT611" i="3"/>
  <c r="AH612" i="3"/>
  <c r="AY610" i="3"/>
  <c r="AN612" i="3"/>
  <c r="Y612" i="3"/>
  <c r="Z612" i="3"/>
  <c r="BQ609" i="3"/>
  <c r="BB609" i="3"/>
  <c r="BF609" i="3"/>
  <c r="BJ608" i="3"/>
  <c r="BK608" i="3"/>
  <c r="AW611" i="3"/>
  <c r="BM612" i="3"/>
  <c r="AG612" i="3"/>
  <c r="BA610" i="3"/>
  <c r="AU611" i="3"/>
  <c r="AX611" i="3"/>
  <c r="AR613" i="3"/>
  <c r="A614" i="3"/>
  <c r="AQ613" i="3"/>
  <c r="B613" i="3"/>
  <c r="C613" i="3"/>
  <c r="D613" i="3"/>
  <c r="AK613" i="3"/>
  <c r="AM613" i="3"/>
  <c r="S613" i="3"/>
  <c r="R613" i="3"/>
  <c r="Q613" i="3"/>
  <c r="AD613" i="3"/>
  <c r="P613" i="3"/>
  <c r="M613" i="3"/>
  <c r="O613" i="3"/>
  <c r="AF613" i="3"/>
  <c r="U613" i="3"/>
  <c r="AE613" i="3"/>
  <c r="V613" i="3"/>
  <c r="F613" i="3"/>
  <c r="G613" i="3"/>
  <c r="H613" i="3"/>
  <c r="T613" i="3"/>
  <c r="X612" i="3"/>
  <c r="BD609" i="3"/>
  <c r="AG613" i="3"/>
  <c r="AO613" i="3"/>
  <c r="BN613" i="3"/>
  <c r="AT612" i="3"/>
  <c r="AX612" i="3"/>
  <c r="BC610" i="3"/>
  <c r="BD610" i="3"/>
  <c r="AW612" i="3"/>
  <c r="BA611" i="3"/>
  <c r="BB611" i="3"/>
  <c r="AY611" i="3"/>
  <c r="AR614" i="3"/>
  <c r="AQ614" i="3"/>
  <c r="B614" i="3"/>
  <c r="A615" i="3"/>
  <c r="C614" i="3"/>
  <c r="D614" i="3"/>
  <c r="AM614" i="3"/>
  <c r="S614" i="3"/>
  <c r="AK614" i="3"/>
  <c r="T614" i="3"/>
  <c r="Q614" i="3"/>
  <c r="AD614" i="3"/>
  <c r="R614" i="3"/>
  <c r="P614" i="3"/>
  <c r="M614" i="3"/>
  <c r="AE614" i="3"/>
  <c r="AF614" i="3"/>
  <c r="O614" i="3"/>
  <c r="U614" i="3"/>
  <c r="V614" i="3"/>
  <c r="G614" i="3"/>
  <c r="H614" i="3"/>
  <c r="F614" i="3"/>
  <c r="BB610" i="3"/>
  <c r="BQ610" i="3"/>
  <c r="BF610" i="3"/>
  <c r="BJ609" i="3"/>
  <c r="BK609" i="3"/>
  <c r="Y613" i="3"/>
  <c r="Z613" i="3"/>
  <c r="BM613" i="3"/>
  <c r="AH613" i="3"/>
  <c r="AT613" i="3"/>
  <c r="AN613" i="3"/>
  <c r="AU612" i="3"/>
  <c r="AV611" i="3"/>
  <c r="X613" i="3"/>
  <c r="AO614" i="3"/>
  <c r="AY612" i="3"/>
  <c r="BC611" i="3"/>
  <c r="BG611" i="3"/>
  <c r="BH611" i="3"/>
  <c r="BI611" i="3"/>
  <c r="BQ611" i="3"/>
  <c r="BN614" i="3"/>
  <c r="AV612" i="3"/>
  <c r="BG610" i="3"/>
  <c r="BH610" i="3"/>
  <c r="BI610" i="3"/>
  <c r="BA612" i="3"/>
  <c r="BQ612" i="3"/>
  <c r="AW613" i="3"/>
  <c r="BF611" i="3"/>
  <c r="BJ610" i="3"/>
  <c r="BK610" i="3"/>
  <c r="Y614" i="3"/>
  <c r="Z614" i="3"/>
  <c r="A616" i="3"/>
  <c r="AQ615" i="3"/>
  <c r="AR615" i="3"/>
  <c r="B615" i="3"/>
  <c r="D615" i="3"/>
  <c r="AM615" i="3"/>
  <c r="AK615" i="3"/>
  <c r="S615" i="3"/>
  <c r="Q615" i="3"/>
  <c r="C615" i="3"/>
  <c r="R615" i="3"/>
  <c r="AD615" i="3"/>
  <c r="P615" i="3"/>
  <c r="M615" i="3"/>
  <c r="AE615" i="3"/>
  <c r="V615" i="3"/>
  <c r="U615" i="3"/>
  <c r="O615" i="3"/>
  <c r="AF615" i="3"/>
  <c r="G615" i="3"/>
  <c r="H615" i="3"/>
  <c r="F615" i="3"/>
  <c r="T615" i="3"/>
  <c r="AX613" i="3"/>
  <c r="AU613" i="3"/>
  <c r="AV613" i="3"/>
  <c r="BM614" i="3"/>
  <c r="AG614" i="3"/>
  <c r="AH614" i="3"/>
  <c r="AN614" i="3"/>
  <c r="X614" i="3"/>
  <c r="BD611" i="3"/>
  <c r="BC612" i="3"/>
  <c r="BD612" i="3"/>
  <c r="BN615" i="3"/>
  <c r="BF612" i="3"/>
  <c r="BJ611" i="3"/>
  <c r="BK611" i="3"/>
  <c r="AY613" i="3"/>
  <c r="BC613" i="3"/>
  <c r="BD613" i="3"/>
  <c r="BB612" i="3"/>
  <c r="AN615" i="3"/>
  <c r="AX614" i="3"/>
  <c r="AH615" i="3"/>
  <c r="A617" i="3"/>
  <c r="AR616" i="3"/>
  <c r="B616" i="3"/>
  <c r="AQ616" i="3"/>
  <c r="C616" i="3"/>
  <c r="AK616" i="3"/>
  <c r="R616" i="3"/>
  <c r="D616" i="3"/>
  <c r="AM616" i="3"/>
  <c r="S616" i="3"/>
  <c r="Q616" i="3"/>
  <c r="AD616" i="3"/>
  <c r="P616" i="3"/>
  <c r="AE616" i="3"/>
  <c r="M616" i="3"/>
  <c r="U616" i="3"/>
  <c r="V616" i="3"/>
  <c r="O616" i="3"/>
  <c r="AF616" i="3"/>
  <c r="F616" i="3"/>
  <c r="G616" i="3"/>
  <c r="H616" i="3"/>
  <c r="T616" i="3"/>
  <c r="Y615" i="3"/>
  <c r="Z615" i="3"/>
  <c r="X615" i="3"/>
  <c r="AT614" i="3"/>
  <c r="AU614" i="3"/>
  <c r="AW614" i="3"/>
  <c r="BM615" i="3"/>
  <c r="AG615" i="3"/>
  <c r="AO615" i="3"/>
  <c r="BA613" i="3"/>
  <c r="BG612" i="3"/>
  <c r="BH612" i="3"/>
  <c r="BI612" i="3"/>
  <c r="BM616" i="3"/>
  <c r="AY614" i="3"/>
  <c r="AT615" i="3"/>
  <c r="AG616" i="3"/>
  <c r="AX615" i="3"/>
  <c r="AO616" i="3"/>
  <c r="AU615" i="3"/>
  <c r="BG613" i="3"/>
  <c r="BH613" i="3"/>
  <c r="BI613" i="3"/>
  <c r="Y616" i="3"/>
  <c r="Z616" i="3"/>
  <c r="BQ613" i="3"/>
  <c r="BF613" i="3"/>
  <c r="BJ612" i="3"/>
  <c r="BK612" i="3"/>
  <c r="BB613" i="3"/>
  <c r="AV614" i="3"/>
  <c r="BA614" i="3"/>
  <c r="AR617" i="3"/>
  <c r="A618" i="3"/>
  <c r="AQ617" i="3"/>
  <c r="B617" i="3"/>
  <c r="D617" i="3"/>
  <c r="C617" i="3"/>
  <c r="AK617" i="3"/>
  <c r="S617" i="3"/>
  <c r="R617" i="3"/>
  <c r="AM617" i="3"/>
  <c r="Q617" i="3"/>
  <c r="AD617" i="3"/>
  <c r="P617" i="3"/>
  <c r="O617" i="3"/>
  <c r="M617" i="3"/>
  <c r="AE617" i="3"/>
  <c r="AF617" i="3"/>
  <c r="U617" i="3"/>
  <c r="V617" i="3"/>
  <c r="F617" i="3"/>
  <c r="G617" i="3"/>
  <c r="H617" i="3"/>
  <c r="T617" i="3"/>
  <c r="AW615" i="3"/>
  <c r="BN616" i="3"/>
  <c r="AH616" i="3"/>
  <c r="AN616" i="3"/>
  <c r="X616" i="3"/>
  <c r="BN617" i="3"/>
  <c r="AV615" i="3"/>
  <c r="BM617" i="3"/>
  <c r="BC614" i="3"/>
  <c r="BG614" i="3"/>
  <c r="BH614" i="3"/>
  <c r="BI614" i="3"/>
  <c r="AX616" i="3"/>
  <c r="AY615" i="3"/>
  <c r="AO617" i="3"/>
  <c r="AR618" i="3"/>
  <c r="AQ618" i="3"/>
  <c r="B618" i="3"/>
  <c r="A619" i="3"/>
  <c r="C618" i="3"/>
  <c r="D618" i="3"/>
  <c r="AK618" i="3"/>
  <c r="AM618" i="3"/>
  <c r="S618" i="3"/>
  <c r="Q618" i="3"/>
  <c r="R618" i="3"/>
  <c r="AD618" i="3"/>
  <c r="P618" i="3"/>
  <c r="O618" i="3"/>
  <c r="AE618" i="3"/>
  <c r="AF618" i="3"/>
  <c r="V618" i="3"/>
  <c r="U618" i="3"/>
  <c r="M618" i="3"/>
  <c r="G618" i="3"/>
  <c r="H618" i="3"/>
  <c r="F618" i="3"/>
  <c r="T618" i="3"/>
  <c r="BF614" i="3"/>
  <c r="BJ613" i="3"/>
  <c r="BK613" i="3"/>
  <c r="BB614" i="3"/>
  <c r="BQ614" i="3"/>
  <c r="AT616" i="3"/>
  <c r="Y617" i="3"/>
  <c r="Z617" i="3"/>
  <c r="AG617" i="3"/>
  <c r="AH617" i="3"/>
  <c r="AN617" i="3"/>
  <c r="X617" i="3"/>
  <c r="AU616" i="3"/>
  <c r="AW616" i="3"/>
  <c r="BA615" i="3"/>
  <c r="BM618" i="3"/>
  <c r="BC615" i="3"/>
  <c r="BG615" i="3"/>
  <c r="BH615" i="3"/>
  <c r="BI615" i="3"/>
  <c r="BN618" i="3"/>
  <c r="BD614" i="3"/>
  <c r="AV616" i="3"/>
  <c r="AN618" i="3"/>
  <c r="AY616" i="3"/>
  <c r="AU617" i="3"/>
  <c r="AT617" i="3"/>
  <c r="Y618" i="3"/>
  <c r="Z618" i="3"/>
  <c r="AH618" i="3"/>
  <c r="BF615" i="3"/>
  <c r="BJ614" i="3"/>
  <c r="BK614" i="3"/>
  <c r="BB615" i="3"/>
  <c r="BQ615" i="3"/>
  <c r="AX617" i="3"/>
  <c r="AG618" i="3"/>
  <c r="AO618" i="3"/>
  <c r="X618" i="3"/>
  <c r="A620" i="3"/>
  <c r="AQ619" i="3"/>
  <c r="AR619" i="3"/>
  <c r="B619" i="3"/>
  <c r="C619" i="3"/>
  <c r="D619" i="3"/>
  <c r="R619" i="3"/>
  <c r="AK619" i="3"/>
  <c r="AM619" i="3"/>
  <c r="S619" i="3"/>
  <c r="T619" i="3"/>
  <c r="Q619" i="3"/>
  <c r="AD619" i="3"/>
  <c r="M619" i="3"/>
  <c r="P619" i="3"/>
  <c r="O619" i="3"/>
  <c r="V619" i="3"/>
  <c r="AE619" i="3"/>
  <c r="AF619" i="3"/>
  <c r="U619" i="3"/>
  <c r="G619" i="3"/>
  <c r="H619" i="3"/>
  <c r="F619" i="3"/>
  <c r="AW617" i="3"/>
  <c r="BA616" i="3"/>
  <c r="BD615" i="3"/>
  <c r="AY617" i="3"/>
  <c r="BC616" i="3"/>
  <c r="BG616" i="3"/>
  <c r="BH616" i="3"/>
  <c r="BI616" i="3"/>
  <c r="BM619" i="3"/>
  <c r="AT618" i="3"/>
  <c r="BN619" i="3"/>
  <c r="AV617" i="3"/>
  <c r="AX618" i="3"/>
  <c r="AO619" i="3"/>
  <c r="AU618" i="3"/>
  <c r="AG619" i="3"/>
  <c r="A621" i="3"/>
  <c r="AR620" i="3"/>
  <c r="B620" i="3"/>
  <c r="AQ620" i="3"/>
  <c r="C620" i="3"/>
  <c r="AK620" i="3"/>
  <c r="R620" i="3"/>
  <c r="Q620" i="3"/>
  <c r="AM620" i="3"/>
  <c r="D620" i="3"/>
  <c r="S620" i="3"/>
  <c r="AD620" i="3"/>
  <c r="P620" i="3"/>
  <c r="O620" i="3"/>
  <c r="AF620" i="3"/>
  <c r="U620" i="3"/>
  <c r="M620" i="3"/>
  <c r="AE620" i="3"/>
  <c r="V620" i="3"/>
  <c r="G620" i="3"/>
  <c r="H620" i="3"/>
  <c r="F620" i="3"/>
  <c r="T620" i="3"/>
  <c r="AH619" i="3"/>
  <c r="AN619" i="3"/>
  <c r="X619" i="3"/>
  <c r="AW618" i="3"/>
  <c r="BQ616" i="3"/>
  <c r="BF616" i="3"/>
  <c r="BJ615" i="3"/>
  <c r="BK615" i="3"/>
  <c r="BB616" i="3"/>
  <c r="Y619" i="3"/>
  <c r="Z619" i="3"/>
  <c r="BA617" i="3"/>
  <c r="BM620" i="3"/>
  <c r="BC617" i="3"/>
  <c r="BD617" i="3"/>
  <c r="BD616" i="3"/>
  <c r="BN620" i="3"/>
  <c r="AV618" i="3"/>
  <c r="AO620" i="3"/>
  <c r="AY618" i="3"/>
  <c r="AT619" i="3"/>
  <c r="AG620" i="3"/>
  <c r="BA618" i="3"/>
  <c r="BB618" i="3"/>
  <c r="AU619" i="3"/>
  <c r="AW619" i="3"/>
  <c r="Y620" i="3"/>
  <c r="Z620" i="3"/>
  <c r="BB617" i="3"/>
  <c r="BQ617" i="3"/>
  <c r="BF617" i="3"/>
  <c r="BJ616" i="3"/>
  <c r="BK616" i="3"/>
  <c r="AR621" i="3"/>
  <c r="A622" i="3"/>
  <c r="AQ621" i="3"/>
  <c r="B621" i="3"/>
  <c r="C621" i="3"/>
  <c r="AM621" i="3"/>
  <c r="AK621" i="3"/>
  <c r="T621" i="3"/>
  <c r="S621" i="3"/>
  <c r="Q621" i="3"/>
  <c r="D621" i="3"/>
  <c r="R621" i="3"/>
  <c r="AD621" i="3"/>
  <c r="P621" i="3"/>
  <c r="O621" i="3"/>
  <c r="V621" i="3"/>
  <c r="M621" i="3"/>
  <c r="AF621" i="3"/>
  <c r="AE621" i="3"/>
  <c r="U621" i="3"/>
  <c r="F621" i="3"/>
  <c r="G621" i="3"/>
  <c r="H621" i="3"/>
  <c r="AX619" i="3"/>
  <c r="AN620" i="3"/>
  <c r="X620" i="3"/>
  <c r="AH620" i="3"/>
  <c r="BM621" i="3"/>
  <c r="BG617" i="3"/>
  <c r="BH617" i="3"/>
  <c r="BI617" i="3"/>
  <c r="BC618" i="3"/>
  <c r="BD618" i="3"/>
  <c r="BQ618" i="3"/>
  <c r="AG621" i="3"/>
  <c r="AO621" i="3"/>
  <c r="AV619" i="3"/>
  <c r="BF618" i="3"/>
  <c r="BJ617" i="3"/>
  <c r="BK617" i="3"/>
  <c r="AW620" i="3"/>
  <c r="BA619" i="3"/>
  <c r="BF619" i="3"/>
  <c r="AT620" i="3"/>
  <c r="AY619" i="3"/>
  <c r="AU620" i="3"/>
  <c r="AR622" i="3"/>
  <c r="AQ622" i="3"/>
  <c r="B622" i="3"/>
  <c r="A623" i="3"/>
  <c r="D622" i="3"/>
  <c r="T622" i="3"/>
  <c r="C622" i="3"/>
  <c r="AM622" i="3"/>
  <c r="AK622" i="3"/>
  <c r="R622" i="3"/>
  <c r="AD622" i="3"/>
  <c r="S622" i="3"/>
  <c r="Q622" i="3"/>
  <c r="P622" i="3"/>
  <c r="O622" i="3"/>
  <c r="AF622" i="3"/>
  <c r="V622" i="3"/>
  <c r="AE622" i="3"/>
  <c r="M622" i="3"/>
  <c r="U622" i="3"/>
  <c r="G622" i="3"/>
  <c r="H622" i="3"/>
  <c r="F622" i="3"/>
  <c r="AX620" i="3"/>
  <c r="BN621" i="3"/>
  <c r="AN621" i="3"/>
  <c r="Y621" i="3"/>
  <c r="Z621" i="3"/>
  <c r="AH621" i="3"/>
  <c r="X621" i="3"/>
  <c r="BG618" i="3"/>
  <c r="BH618" i="3"/>
  <c r="BI618" i="3"/>
  <c r="BJ618" i="3"/>
  <c r="BK618" i="3"/>
  <c r="BN622" i="3"/>
  <c r="AV620" i="3"/>
  <c r="BB619" i="3"/>
  <c r="BQ619" i="3"/>
  <c r="BC619" i="3"/>
  <c r="BD619" i="3"/>
  <c r="BA620" i="3"/>
  <c r="BB620" i="3"/>
  <c r="AX621" i="3"/>
  <c r="AO622" i="3"/>
  <c r="A624" i="3"/>
  <c r="AQ623" i="3"/>
  <c r="AR623" i="3"/>
  <c r="B623" i="3"/>
  <c r="C623" i="3"/>
  <c r="D623" i="3"/>
  <c r="AK623" i="3"/>
  <c r="AM623" i="3"/>
  <c r="S623" i="3"/>
  <c r="R623" i="3"/>
  <c r="Q623" i="3"/>
  <c r="T623" i="3"/>
  <c r="AD623" i="3"/>
  <c r="AE623" i="3"/>
  <c r="M623" i="3"/>
  <c r="V623" i="3"/>
  <c r="U623" i="3"/>
  <c r="P623" i="3"/>
  <c r="O623" i="3"/>
  <c r="AF623" i="3"/>
  <c r="F623" i="3"/>
  <c r="G623" i="3"/>
  <c r="H623" i="3"/>
  <c r="AY620" i="3"/>
  <c r="AU621" i="3"/>
  <c r="BM622" i="3"/>
  <c r="AG622" i="3"/>
  <c r="AH622" i="3"/>
  <c r="AN622" i="3"/>
  <c r="Y622" i="3"/>
  <c r="Z622" i="3"/>
  <c r="AT621" i="3"/>
  <c r="AW621" i="3"/>
  <c r="X622" i="3"/>
  <c r="BM623" i="3"/>
  <c r="BN623" i="3"/>
  <c r="AV621" i="3"/>
  <c r="BC620" i="3"/>
  <c r="BD620" i="3"/>
  <c r="BQ620" i="3"/>
  <c r="BG619" i="3"/>
  <c r="BH619" i="3"/>
  <c r="BI619" i="3"/>
  <c r="BF620" i="3"/>
  <c r="BJ619" i="3"/>
  <c r="BK619" i="3"/>
  <c r="AY621" i="3"/>
  <c r="AX622" i="3"/>
  <c r="AO623" i="3"/>
  <c r="Y623" i="3"/>
  <c r="Z623" i="3"/>
  <c r="BA621" i="3"/>
  <c r="AW622" i="3"/>
  <c r="AT622" i="3"/>
  <c r="AH623" i="3"/>
  <c r="AG623" i="3"/>
  <c r="AN623" i="3"/>
  <c r="A625" i="3"/>
  <c r="AR624" i="3"/>
  <c r="B624" i="3"/>
  <c r="AQ624" i="3"/>
  <c r="D624" i="3"/>
  <c r="C624" i="3"/>
  <c r="AM624" i="3"/>
  <c r="AK624" i="3"/>
  <c r="S624" i="3"/>
  <c r="Q624" i="3"/>
  <c r="AD624" i="3"/>
  <c r="T624" i="3"/>
  <c r="R624" i="3"/>
  <c r="AE624" i="3"/>
  <c r="P624" i="3"/>
  <c r="O624" i="3"/>
  <c r="M624" i="3"/>
  <c r="AF624" i="3"/>
  <c r="V624" i="3"/>
  <c r="U624" i="3"/>
  <c r="G624" i="3"/>
  <c r="H624" i="3"/>
  <c r="F624" i="3"/>
  <c r="AU622" i="3"/>
  <c r="X623" i="3"/>
  <c r="BM624" i="3"/>
  <c r="BN624" i="3"/>
  <c r="BC621" i="3"/>
  <c r="BG621" i="3"/>
  <c r="BH621" i="3"/>
  <c r="BI621" i="3"/>
  <c r="BG620" i="3"/>
  <c r="BH620" i="3"/>
  <c r="BI620" i="3"/>
  <c r="AY622" i="3"/>
  <c r="AV622" i="3"/>
  <c r="AT623" i="3"/>
  <c r="AN624" i="3"/>
  <c r="AH624" i="3"/>
  <c r="AU623" i="3"/>
  <c r="BB621" i="3"/>
  <c r="BQ621" i="3"/>
  <c r="BF621" i="3"/>
  <c r="BJ620" i="3"/>
  <c r="BK620" i="3"/>
  <c r="AG624" i="3"/>
  <c r="AO624" i="3"/>
  <c r="X624" i="3"/>
  <c r="AW623" i="3"/>
  <c r="BA622" i="3"/>
  <c r="Y624" i="3"/>
  <c r="Z624" i="3"/>
  <c r="AR625" i="3"/>
  <c r="A626" i="3"/>
  <c r="AQ625" i="3"/>
  <c r="B625" i="3"/>
  <c r="D625" i="3"/>
  <c r="AM625" i="3"/>
  <c r="R625" i="3"/>
  <c r="C625" i="3"/>
  <c r="AK625" i="3"/>
  <c r="S625" i="3"/>
  <c r="Q625" i="3"/>
  <c r="AD625" i="3"/>
  <c r="P625" i="3"/>
  <c r="O625" i="3"/>
  <c r="M625" i="3"/>
  <c r="AE625" i="3"/>
  <c r="AF625" i="3"/>
  <c r="V625" i="3"/>
  <c r="U625" i="3"/>
  <c r="G625" i="3"/>
  <c r="H625" i="3"/>
  <c r="F625" i="3"/>
  <c r="T625" i="3"/>
  <c r="AX623" i="3"/>
  <c r="BD621" i="3"/>
  <c r="BC622" i="3"/>
  <c r="BG622" i="3"/>
  <c r="BH622" i="3"/>
  <c r="BI622" i="3"/>
  <c r="BN625" i="3"/>
  <c r="AV623" i="3"/>
  <c r="AN625" i="3"/>
  <c r="BA623" i="3"/>
  <c r="BB623" i="3"/>
  <c r="AG625" i="3"/>
  <c r="Y625" i="3"/>
  <c r="Z625" i="3"/>
  <c r="AW624" i="3"/>
  <c r="AX624" i="3"/>
  <c r="AT624" i="3"/>
  <c r="X625" i="3"/>
  <c r="BM625" i="3"/>
  <c r="AO625" i="3"/>
  <c r="AY623" i="3"/>
  <c r="AU624" i="3"/>
  <c r="AR626" i="3"/>
  <c r="AQ626" i="3"/>
  <c r="B626" i="3"/>
  <c r="A627" i="3"/>
  <c r="D626" i="3"/>
  <c r="AK626" i="3"/>
  <c r="T626" i="3"/>
  <c r="Q626" i="3"/>
  <c r="C626" i="3"/>
  <c r="AM626" i="3"/>
  <c r="S626" i="3"/>
  <c r="AD626" i="3"/>
  <c r="P626" i="3"/>
  <c r="M626" i="3"/>
  <c r="AF626" i="3"/>
  <c r="AE626" i="3"/>
  <c r="U626" i="3"/>
  <c r="V626" i="3"/>
  <c r="O626" i="3"/>
  <c r="F626" i="3"/>
  <c r="R626" i="3"/>
  <c r="G626" i="3"/>
  <c r="H626" i="3"/>
  <c r="BB622" i="3"/>
  <c r="BQ622" i="3"/>
  <c r="BF622" i="3"/>
  <c r="BJ621" i="3"/>
  <c r="BK621" i="3"/>
  <c r="AH625" i="3"/>
  <c r="BD622" i="3"/>
  <c r="AN626" i="3"/>
  <c r="AX625" i="3"/>
  <c r="BC623" i="3"/>
  <c r="BD623" i="3"/>
  <c r="BQ623" i="3"/>
  <c r="BN626" i="3"/>
  <c r="BF623" i="3"/>
  <c r="BJ622" i="3"/>
  <c r="BK622" i="3"/>
  <c r="AY624" i="3"/>
  <c r="BA624" i="3"/>
  <c r="BF624" i="3"/>
  <c r="AV624" i="3"/>
  <c r="A628" i="3"/>
  <c r="AQ627" i="3"/>
  <c r="AR627" i="3"/>
  <c r="B627" i="3"/>
  <c r="D627" i="3"/>
  <c r="AK627" i="3"/>
  <c r="AM627" i="3"/>
  <c r="C627" i="3"/>
  <c r="Q627" i="3"/>
  <c r="S627" i="3"/>
  <c r="AD627" i="3"/>
  <c r="P627" i="3"/>
  <c r="R627" i="3"/>
  <c r="O627" i="3"/>
  <c r="M627" i="3"/>
  <c r="U627" i="3"/>
  <c r="AF627" i="3"/>
  <c r="AE627" i="3"/>
  <c r="V627" i="3"/>
  <c r="F627" i="3"/>
  <c r="G627" i="3"/>
  <c r="H627" i="3"/>
  <c r="T627" i="3"/>
  <c r="BM626" i="3"/>
  <c r="AG626" i="3"/>
  <c r="AH626" i="3"/>
  <c r="AO626" i="3"/>
  <c r="AU625" i="3"/>
  <c r="Y626" i="3"/>
  <c r="Z626" i="3"/>
  <c r="X626" i="3"/>
  <c r="AT625" i="3"/>
  <c r="AW625" i="3"/>
  <c r="BM627" i="3"/>
  <c r="BN627" i="3"/>
  <c r="AY625" i="3"/>
  <c r="BJ623" i="3"/>
  <c r="BK623" i="3"/>
  <c r="BG623" i="3"/>
  <c r="BH623" i="3"/>
  <c r="BI623" i="3"/>
  <c r="BC624" i="3"/>
  <c r="BD624" i="3"/>
  <c r="BQ624" i="3"/>
  <c r="BB624" i="3"/>
  <c r="AU626" i="3"/>
  <c r="AN627" i="3"/>
  <c r="AT626" i="3"/>
  <c r="AX626" i="3"/>
  <c r="AV625" i="3"/>
  <c r="BA625" i="3"/>
  <c r="AH627" i="3"/>
  <c r="AW626" i="3"/>
  <c r="Y627" i="3"/>
  <c r="Z627" i="3"/>
  <c r="AG627" i="3"/>
  <c r="X627" i="3"/>
  <c r="AO627" i="3"/>
  <c r="A629" i="3"/>
  <c r="AR628" i="3"/>
  <c r="B628" i="3"/>
  <c r="AQ628" i="3"/>
  <c r="C628" i="3"/>
  <c r="D628" i="3"/>
  <c r="AK628" i="3"/>
  <c r="S628" i="3"/>
  <c r="AM628" i="3"/>
  <c r="Q628" i="3"/>
  <c r="R628" i="3"/>
  <c r="AD628" i="3"/>
  <c r="P628" i="3"/>
  <c r="O628" i="3"/>
  <c r="M628" i="3"/>
  <c r="AE628" i="3"/>
  <c r="AF628" i="3"/>
  <c r="U628" i="3"/>
  <c r="V628" i="3"/>
  <c r="G628" i="3"/>
  <c r="H628" i="3"/>
  <c r="F628" i="3"/>
  <c r="BM628" i="3"/>
  <c r="T628" i="3"/>
  <c r="BN628" i="3"/>
  <c r="BC625" i="3"/>
  <c r="BG625" i="3"/>
  <c r="BH625" i="3"/>
  <c r="BI625" i="3"/>
  <c r="BG624" i="3"/>
  <c r="BH624" i="3"/>
  <c r="BI624" i="3"/>
  <c r="AV626" i="3"/>
  <c r="AN628" i="3"/>
  <c r="AY626" i="3"/>
  <c r="AU627" i="3"/>
  <c r="BA626" i="3"/>
  <c r="BQ626" i="3"/>
  <c r="AR629" i="3"/>
  <c r="A630" i="3"/>
  <c r="AQ629" i="3"/>
  <c r="B629" i="3"/>
  <c r="D629" i="3"/>
  <c r="C629" i="3"/>
  <c r="AK629" i="3"/>
  <c r="AM629" i="3"/>
  <c r="T629" i="3"/>
  <c r="S629" i="3"/>
  <c r="Q629" i="3"/>
  <c r="R629" i="3"/>
  <c r="AD629" i="3"/>
  <c r="O629" i="3"/>
  <c r="M629" i="3"/>
  <c r="AE629" i="3"/>
  <c r="P629" i="3"/>
  <c r="V629" i="3"/>
  <c r="AF629" i="3"/>
  <c r="U629" i="3"/>
  <c r="G629" i="3"/>
  <c r="H629" i="3"/>
  <c r="F629" i="3"/>
  <c r="AO628" i="3"/>
  <c r="Y628" i="3"/>
  <c r="Z628" i="3"/>
  <c r="AG628" i="3"/>
  <c r="AH628" i="3"/>
  <c r="AX627" i="3"/>
  <c r="AT627" i="3"/>
  <c r="AW627" i="3"/>
  <c r="BB625" i="3"/>
  <c r="BF625" i="3"/>
  <c r="BJ624" i="3"/>
  <c r="BK624" i="3"/>
  <c r="BQ625" i="3"/>
  <c r="X628" i="3"/>
  <c r="BN629" i="3"/>
  <c r="BM629" i="3"/>
  <c r="BD625" i="3"/>
  <c r="BC626" i="3"/>
  <c r="BG626" i="3"/>
  <c r="BH626" i="3"/>
  <c r="BI626" i="3"/>
  <c r="AN629" i="3"/>
  <c r="BB626" i="3"/>
  <c r="AT628" i="3"/>
  <c r="AG629" i="3"/>
  <c r="BF626" i="3"/>
  <c r="BJ625" i="3"/>
  <c r="BK625" i="3"/>
  <c r="BA627" i="3"/>
  <c r="AV627" i="3"/>
  <c r="Y629" i="3"/>
  <c r="Z629" i="3"/>
  <c r="AY627" i="3"/>
  <c r="AW628" i="3"/>
  <c r="AH629" i="3"/>
  <c r="AO629" i="3"/>
  <c r="AU628" i="3"/>
  <c r="AX628" i="3"/>
  <c r="AR630" i="3"/>
  <c r="AQ630" i="3"/>
  <c r="B630" i="3"/>
  <c r="A631" i="3"/>
  <c r="C630" i="3"/>
  <c r="AM630" i="3"/>
  <c r="S630" i="3"/>
  <c r="AK630" i="3"/>
  <c r="D630" i="3"/>
  <c r="R630" i="3"/>
  <c r="Q630" i="3"/>
  <c r="P630" i="3"/>
  <c r="AD630" i="3"/>
  <c r="AE630" i="3"/>
  <c r="O630" i="3"/>
  <c r="AF630" i="3"/>
  <c r="V630" i="3"/>
  <c r="M630" i="3"/>
  <c r="U630" i="3"/>
  <c r="G630" i="3"/>
  <c r="H630" i="3"/>
  <c r="F630" i="3"/>
  <c r="T630" i="3"/>
  <c r="X629" i="3"/>
  <c r="BM630" i="3"/>
  <c r="BD626" i="3"/>
  <c r="AO630" i="3"/>
  <c r="BN630" i="3"/>
  <c r="AU629" i="3"/>
  <c r="AV628" i="3"/>
  <c r="AW629" i="3"/>
  <c r="BA628" i="3"/>
  <c r="BQ628" i="3"/>
  <c r="BB627" i="3"/>
  <c r="BF627" i="3"/>
  <c r="BQ627" i="3"/>
  <c r="AH630" i="3"/>
  <c r="X630" i="3"/>
  <c r="AY628" i="3"/>
  <c r="A632" i="3"/>
  <c r="AQ631" i="3"/>
  <c r="AR631" i="3"/>
  <c r="B631" i="3"/>
  <c r="C631" i="3"/>
  <c r="T631" i="3"/>
  <c r="S631" i="3"/>
  <c r="D631" i="3"/>
  <c r="AM631" i="3"/>
  <c r="AK631" i="3"/>
  <c r="R631" i="3"/>
  <c r="AD631" i="3"/>
  <c r="Q631" i="3"/>
  <c r="P631" i="3"/>
  <c r="AF631" i="3"/>
  <c r="U631" i="3"/>
  <c r="O631" i="3"/>
  <c r="AE631" i="3"/>
  <c r="M631" i="3"/>
  <c r="V631" i="3"/>
  <c r="G631" i="3"/>
  <c r="H631" i="3"/>
  <c r="F631" i="3"/>
  <c r="AT629" i="3"/>
  <c r="AX629" i="3"/>
  <c r="Y630" i="3"/>
  <c r="Z630" i="3"/>
  <c r="AG630" i="3"/>
  <c r="AN630" i="3"/>
  <c r="BC627" i="3"/>
  <c r="BC628" i="3"/>
  <c r="BG628" i="3"/>
  <c r="BH628" i="3"/>
  <c r="BI628" i="3"/>
  <c r="BM631" i="3"/>
  <c r="AW630" i="3"/>
  <c r="AO631" i="3"/>
  <c r="BN631" i="3"/>
  <c r="AG631" i="3"/>
  <c r="AY629" i="3"/>
  <c r="AT630" i="3"/>
  <c r="BB628" i="3"/>
  <c r="BF628" i="3"/>
  <c r="BJ627" i="3"/>
  <c r="BK627" i="3"/>
  <c r="BD627" i="3"/>
  <c r="BG627" i="3"/>
  <c r="BH627" i="3"/>
  <c r="BI627" i="3"/>
  <c r="AV629" i="3"/>
  <c r="BA629" i="3"/>
  <c r="A633" i="3"/>
  <c r="AR632" i="3"/>
  <c r="B632" i="3"/>
  <c r="AQ632" i="3"/>
  <c r="D632" i="3"/>
  <c r="C632" i="3"/>
  <c r="AM632" i="3"/>
  <c r="AK632" i="3"/>
  <c r="T632" i="3"/>
  <c r="R632" i="3"/>
  <c r="Q632" i="3"/>
  <c r="P632" i="3"/>
  <c r="S632" i="3"/>
  <c r="AD632" i="3"/>
  <c r="O632" i="3"/>
  <c r="M632" i="3"/>
  <c r="AE632" i="3"/>
  <c r="AF632" i="3"/>
  <c r="V632" i="3"/>
  <c r="U632" i="3"/>
  <c r="G632" i="3"/>
  <c r="H632" i="3"/>
  <c r="F632" i="3"/>
  <c r="BJ626" i="3"/>
  <c r="AN631" i="3"/>
  <c r="X631" i="3"/>
  <c r="Y631" i="3"/>
  <c r="Z631" i="3"/>
  <c r="AU630" i="3"/>
  <c r="AH631" i="3"/>
  <c r="AX630" i="3"/>
  <c r="BM632" i="3"/>
  <c r="BN632" i="3"/>
  <c r="BD628" i="3"/>
  <c r="AY630" i="3"/>
  <c r="AX631" i="3"/>
  <c r="BC629" i="3"/>
  <c r="BG629" i="3"/>
  <c r="BH629" i="3"/>
  <c r="BI629" i="3"/>
  <c r="AG632" i="3"/>
  <c r="AN632" i="3"/>
  <c r="BA630" i="3"/>
  <c r="BB630" i="3"/>
  <c r="BK626" i="3"/>
  <c r="BK6" i="3"/>
  <c r="A261" i="2"/>
  <c r="BK5" i="3"/>
  <c r="A692" i="3"/>
  <c r="B692" i="3"/>
  <c r="BF629" i="3"/>
  <c r="BJ628" i="3"/>
  <c r="BK628" i="3"/>
  <c r="BB629" i="3"/>
  <c r="BQ629" i="3"/>
  <c r="AU631" i="3"/>
  <c r="AW631" i="3"/>
  <c r="AT631" i="3"/>
  <c r="AH632" i="3"/>
  <c r="AO632" i="3"/>
  <c r="X632" i="3"/>
  <c r="AV630" i="3"/>
  <c r="Y632" i="3"/>
  <c r="Z632" i="3"/>
  <c r="AR633" i="3"/>
  <c r="A634" i="3"/>
  <c r="AQ633" i="3"/>
  <c r="B633" i="3"/>
  <c r="C633" i="3"/>
  <c r="D633" i="3"/>
  <c r="AK633" i="3"/>
  <c r="S633" i="3"/>
  <c r="Q633" i="3"/>
  <c r="AM633" i="3"/>
  <c r="T633" i="3"/>
  <c r="P633" i="3"/>
  <c r="AD633" i="3"/>
  <c r="O633" i="3"/>
  <c r="AE633" i="3"/>
  <c r="M633" i="3"/>
  <c r="AF633" i="3"/>
  <c r="V633" i="3"/>
  <c r="U633" i="3"/>
  <c r="F633" i="3"/>
  <c r="R633" i="3"/>
  <c r="G633" i="3"/>
  <c r="H633" i="3"/>
  <c r="BN633" i="3"/>
  <c r="AY631" i="3"/>
  <c r="BD629" i="3"/>
  <c r="BC630" i="3"/>
  <c r="BG630" i="3"/>
  <c r="BH630" i="3"/>
  <c r="BI630" i="3"/>
  <c r="AH633" i="3"/>
  <c r="A688" i="3"/>
  <c r="A690" i="3"/>
  <c r="B690" i="3"/>
  <c r="A691" i="3"/>
  <c r="B691" i="3"/>
  <c r="A260" i="2"/>
  <c r="C260" i="2"/>
  <c r="B260" i="2"/>
  <c r="B261" i="2"/>
  <c r="BM633" i="3"/>
  <c r="AU632" i="3"/>
  <c r="AT632" i="3"/>
  <c r="AW632" i="3"/>
  <c r="AN633" i="3"/>
  <c r="BF630" i="3"/>
  <c r="BJ629" i="3"/>
  <c r="BK629" i="3"/>
  <c r="BQ630" i="3"/>
  <c r="Y633" i="3"/>
  <c r="Z633" i="3"/>
  <c r="AR634" i="3"/>
  <c r="AQ634" i="3"/>
  <c r="B634" i="3"/>
  <c r="A635" i="3"/>
  <c r="C634" i="3"/>
  <c r="D634" i="3"/>
  <c r="S634" i="3"/>
  <c r="AK634" i="3"/>
  <c r="AM634" i="3"/>
  <c r="T634" i="3"/>
  <c r="R634" i="3"/>
  <c r="AD634" i="3"/>
  <c r="O634" i="3"/>
  <c r="AE634" i="3"/>
  <c r="P634" i="3"/>
  <c r="M634" i="3"/>
  <c r="AF634" i="3"/>
  <c r="V634" i="3"/>
  <c r="U634" i="3"/>
  <c r="F634" i="3"/>
  <c r="Q634" i="3"/>
  <c r="G634" i="3"/>
  <c r="H634" i="3"/>
  <c r="BN634" i="3"/>
  <c r="AG633" i="3"/>
  <c r="AO633" i="3"/>
  <c r="X633" i="3"/>
  <c r="AX632" i="3"/>
  <c r="AV631" i="3"/>
  <c r="BA631" i="3"/>
  <c r="BD630" i="3"/>
  <c r="BC631" i="3"/>
  <c r="BG631" i="3"/>
  <c r="BH631" i="3"/>
  <c r="BI631" i="3"/>
  <c r="AT633" i="3"/>
  <c r="B688" i="3"/>
  <c r="C688" i="3"/>
  <c r="F688" i="3"/>
  <c r="M688" i="3"/>
  <c r="O688" i="3"/>
  <c r="Q688" i="3"/>
  <c r="S688" i="3"/>
  <c r="U688" i="3"/>
  <c r="AE688" i="3"/>
  <c r="AK688" i="3"/>
  <c r="AR688" i="3"/>
  <c r="D688" i="3"/>
  <c r="G688" i="3"/>
  <c r="H688" i="3"/>
  <c r="P688" i="3"/>
  <c r="R688" i="3"/>
  <c r="T688" i="3"/>
  <c r="V688" i="3"/>
  <c r="AD688" i="3"/>
  <c r="AF688" i="3"/>
  <c r="AM688" i="3"/>
  <c r="AQ688" i="3"/>
  <c r="BM634" i="3"/>
  <c r="AV632" i="3"/>
  <c r="BA632" i="3"/>
  <c r="BQ632" i="3"/>
  <c r="AG634" i="3"/>
  <c r="AY632" i="3"/>
  <c r="AW633" i="3"/>
  <c r="AO634" i="3"/>
  <c r="BF631" i="3"/>
  <c r="BJ630" i="3"/>
  <c r="BK630" i="3"/>
  <c r="BQ631" i="3"/>
  <c r="BB631" i="3"/>
  <c r="Y634" i="3"/>
  <c r="Z634" i="3"/>
  <c r="A636" i="3"/>
  <c r="AQ635" i="3"/>
  <c r="AR635" i="3"/>
  <c r="B635" i="3"/>
  <c r="C635" i="3"/>
  <c r="AM635" i="3"/>
  <c r="AK635" i="3"/>
  <c r="D635" i="3"/>
  <c r="S635" i="3"/>
  <c r="R635" i="3"/>
  <c r="Q635" i="3"/>
  <c r="AD635" i="3"/>
  <c r="P635" i="3"/>
  <c r="O635" i="3"/>
  <c r="M635" i="3"/>
  <c r="AF635" i="3"/>
  <c r="AE635" i="3"/>
  <c r="V635" i="3"/>
  <c r="U635" i="3"/>
  <c r="G635" i="3"/>
  <c r="H635" i="3"/>
  <c r="F635" i="3"/>
  <c r="T635" i="3"/>
  <c r="AU633" i="3"/>
  <c r="AX633" i="3"/>
  <c r="AH634" i="3"/>
  <c r="AN634" i="3"/>
  <c r="X634" i="3"/>
  <c r="BN635" i="3"/>
  <c r="BM635" i="3"/>
  <c r="BD631" i="3"/>
  <c r="AN688" i="3"/>
  <c r="AV633" i="3"/>
  <c r="BF632" i="3"/>
  <c r="BJ631" i="3"/>
  <c r="BK631" i="3"/>
  <c r="AH688" i="3"/>
  <c r="AG688" i="3"/>
  <c r="Y688" i="3"/>
  <c r="Z688" i="3"/>
  <c r="AO688" i="3"/>
  <c r="X688" i="3"/>
  <c r="BC632" i="3"/>
  <c r="BG632" i="3"/>
  <c r="BH632" i="3"/>
  <c r="BI632" i="3"/>
  <c r="BB632" i="3"/>
  <c r="AT634" i="3"/>
  <c r="AY633" i="3"/>
  <c r="AU634" i="3"/>
  <c r="AW634" i="3"/>
  <c r="AG635" i="3"/>
  <c r="AO635" i="3"/>
  <c r="Y635" i="3"/>
  <c r="Z635" i="3"/>
  <c r="A637" i="3"/>
  <c r="AR636" i="3"/>
  <c r="B636" i="3"/>
  <c r="AQ636" i="3"/>
  <c r="D636" i="3"/>
  <c r="C636" i="3"/>
  <c r="AM636" i="3"/>
  <c r="T636" i="3"/>
  <c r="S636" i="3"/>
  <c r="AK636" i="3"/>
  <c r="Q636" i="3"/>
  <c r="AD636" i="3"/>
  <c r="P636" i="3"/>
  <c r="O636" i="3"/>
  <c r="AE636" i="3"/>
  <c r="M636" i="3"/>
  <c r="AF636" i="3"/>
  <c r="V636" i="3"/>
  <c r="U636" i="3"/>
  <c r="R636" i="3"/>
  <c r="G636" i="3"/>
  <c r="H636" i="3"/>
  <c r="BN636" i="3"/>
  <c r="F636" i="3"/>
  <c r="BM636" i="3"/>
  <c r="X635" i="3"/>
  <c r="BA633" i="3"/>
  <c r="AX634" i="3"/>
  <c r="AH635" i="3"/>
  <c r="AN635" i="3"/>
  <c r="BC633" i="3"/>
  <c r="BD633" i="3"/>
  <c r="BD632" i="3"/>
  <c r="AV634" i="3"/>
  <c r="AW688" i="3"/>
  <c r="AT688" i="3"/>
  <c r="AU688" i="3"/>
  <c r="AX688" i="3"/>
  <c r="AY634" i="3"/>
  <c r="AN636" i="3"/>
  <c r="AG636" i="3"/>
  <c r="BA634" i="3"/>
  <c r="BQ634" i="3"/>
  <c r="BQ633" i="3"/>
  <c r="BB633" i="3"/>
  <c r="BF633" i="3"/>
  <c r="BJ632" i="3"/>
  <c r="BK632" i="3"/>
  <c r="AX635" i="3"/>
  <c r="AT635" i="3"/>
  <c r="AW635" i="3"/>
  <c r="AU635" i="3"/>
  <c r="AH636" i="3"/>
  <c r="AO636" i="3"/>
  <c r="X636" i="3"/>
  <c r="Y636" i="3"/>
  <c r="Z636" i="3"/>
  <c r="AR637" i="3"/>
  <c r="A638" i="3"/>
  <c r="AQ637" i="3"/>
  <c r="B637" i="3"/>
  <c r="D637" i="3"/>
  <c r="S637" i="3"/>
  <c r="C637" i="3"/>
  <c r="AK637" i="3"/>
  <c r="AM637" i="3"/>
  <c r="Q637" i="3"/>
  <c r="R637" i="3"/>
  <c r="P637" i="3"/>
  <c r="AD637" i="3"/>
  <c r="AE637" i="3"/>
  <c r="M637" i="3"/>
  <c r="U637" i="3"/>
  <c r="O637" i="3"/>
  <c r="AF637" i="3"/>
  <c r="V637" i="3"/>
  <c r="G637" i="3"/>
  <c r="H637" i="3"/>
  <c r="F637" i="3"/>
  <c r="T637" i="3"/>
  <c r="BG633" i="3"/>
  <c r="BH633" i="3"/>
  <c r="BI633" i="3"/>
  <c r="BM637" i="3"/>
  <c r="BC634" i="3"/>
  <c r="BD634" i="3"/>
  <c r="AY688" i="3"/>
  <c r="AV688" i="3"/>
  <c r="BA688" i="3"/>
  <c r="BB688" i="3"/>
  <c r="AY635" i="3"/>
  <c r="BN637" i="3"/>
  <c r="AN637" i="3"/>
  <c r="AX636" i="3"/>
  <c r="AH637" i="3"/>
  <c r="AT636" i="3"/>
  <c r="AU636" i="3"/>
  <c r="BF634" i="3"/>
  <c r="BJ633" i="3"/>
  <c r="BK633" i="3"/>
  <c r="BB634" i="3"/>
  <c r="X637" i="3"/>
  <c r="AR638" i="3"/>
  <c r="AQ638" i="3"/>
  <c r="B638" i="3"/>
  <c r="A639" i="3"/>
  <c r="D638" i="3"/>
  <c r="AM638" i="3"/>
  <c r="AK638" i="3"/>
  <c r="R638" i="3"/>
  <c r="C638" i="3"/>
  <c r="S638" i="3"/>
  <c r="Q638" i="3"/>
  <c r="AD638" i="3"/>
  <c r="P638" i="3"/>
  <c r="O638" i="3"/>
  <c r="M638" i="3"/>
  <c r="AE638" i="3"/>
  <c r="AF638" i="3"/>
  <c r="V638" i="3"/>
  <c r="U638" i="3"/>
  <c r="G638" i="3"/>
  <c r="H638" i="3"/>
  <c r="F638" i="3"/>
  <c r="BM638" i="3"/>
  <c r="T638" i="3"/>
  <c r="BA635" i="3"/>
  <c r="AV635" i="3"/>
  <c r="Y637" i="3"/>
  <c r="Z637" i="3"/>
  <c r="AG637" i="3"/>
  <c r="AO637" i="3"/>
  <c r="AW636" i="3"/>
  <c r="BC635" i="3"/>
  <c r="BG635" i="3"/>
  <c r="BH635" i="3"/>
  <c r="BI635" i="3"/>
  <c r="BG634" i="3"/>
  <c r="BH634" i="3"/>
  <c r="BI634" i="3"/>
  <c r="AY636" i="3"/>
  <c r="BC688" i="3"/>
  <c r="BD688" i="3"/>
  <c r="BN638" i="3"/>
  <c r="AV636" i="3"/>
  <c r="AX637" i="3"/>
  <c r="AO638" i="3"/>
  <c r="Y638" i="3"/>
  <c r="Z638" i="3"/>
  <c r="BQ635" i="3"/>
  <c r="BB635" i="3"/>
  <c r="BF635" i="3"/>
  <c r="BJ634" i="3"/>
  <c r="BK634" i="3"/>
  <c r="X638" i="3"/>
  <c r="AT637" i="3"/>
  <c r="A640" i="3"/>
  <c r="AQ639" i="3"/>
  <c r="AR639" i="3"/>
  <c r="B639" i="3"/>
  <c r="C639" i="3"/>
  <c r="D639" i="3"/>
  <c r="S639" i="3"/>
  <c r="AM639" i="3"/>
  <c r="AK639" i="3"/>
  <c r="Q639" i="3"/>
  <c r="AD639" i="3"/>
  <c r="P639" i="3"/>
  <c r="O639" i="3"/>
  <c r="AE639" i="3"/>
  <c r="U639" i="3"/>
  <c r="M639" i="3"/>
  <c r="AF639" i="3"/>
  <c r="V639" i="3"/>
  <c r="F639" i="3"/>
  <c r="R639" i="3"/>
  <c r="G639" i="3"/>
  <c r="H639" i="3"/>
  <c r="T639" i="3"/>
  <c r="BA636" i="3"/>
  <c r="AW637" i="3"/>
  <c r="AG638" i="3"/>
  <c r="AH638" i="3"/>
  <c r="AN638" i="3"/>
  <c r="AU637" i="3"/>
  <c r="BM639" i="3"/>
  <c r="BD635" i="3"/>
  <c r="BC636" i="3"/>
  <c r="BG636" i="3"/>
  <c r="BH636" i="3"/>
  <c r="BI636" i="3"/>
  <c r="BG688" i="3"/>
  <c r="BH688" i="3"/>
  <c r="BI688" i="3"/>
  <c r="BN639" i="3"/>
  <c r="AY637" i="3"/>
  <c r="AO639" i="3"/>
  <c r="AU638" i="3"/>
  <c r="BQ636" i="3"/>
  <c r="BF636" i="3"/>
  <c r="BJ635" i="3"/>
  <c r="BK635" i="3"/>
  <c r="BB636" i="3"/>
  <c r="AV637" i="3"/>
  <c r="BA637" i="3"/>
  <c r="AH639" i="3"/>
  <c r="X639" i="3"/>
  <c r="AX638" i="3"/>
  <c r="Y639" i="3"/>
  <c r="Z639" i="3"/>
  <c r="AG639" i="3"/>
  <c r="AN639" i="3"/>
  <c r="A641" i="3"/>
  <c r="AR640" i="3"/>
  <c r="B640" i="3"/>
  <c r="AQ640" i="3"/>
  <c r="C640" i="3"/>
  <c r="AK640" i="3"/>
  <c r="S640" i="3"/>
  <c r="Q640" i="3"/>
  <c r="D640" i="3"/>
  <c r="AM640" i="3"/>
  <c r="R640" i="3"/>
  <c r="AD640" i="3"/>
  <c r="P640" i="3"/>
  <c r="M640" i="3"/>
  <c r="AE640" i="3"/>
  <c r="V640" i="3"/>
  <c r="O640" i="3"/>
  <c r="AF640" i="3"/>
  <c r="U640" i="3"/>
  <c r="F640" i="3"/>
  <c r="G640" i="3"/>
  <c r="H640" i="3"/>
  <c r="BN640" i="3"/>
  <c r="T640" i="3"/>
  <c r="AW638" i="3"/>
  <c r="AT638" i="3"/>
  <c r="AU639" i="3"/>
  <c r="BD636" i="3"/>
  <c r="BG690" i="3"/>
  <c r="BH690" i="3"/>
  <c r="BI690" i="3"/>
  <c r="BG689" i="3"/>
  <c r="BH689" i="3"/>
  <c r="BI689" i="3"/>
  <c r="AT639" i="3"/>
  <c r="BC637" i="3"/>
  <c r="BG637" i="3"/>
  <c r="BH637" i="3"/>
  <c r="BI637" i="3"/>
  <c r="AN640" i="3"/>
  <c r="BM640" i="3"/>
  <c r="Y640" i="3"/>
  <c r="Z640" i="3"/>
  <c r="BA638" i="3"/>
  <c r="AV638" i="3"/>
  <c r="AR641" i="3"/>
  <c r="A642" i="3"/>
  <c r="AQ641" i="3"/>
  <c r="B641" i="3"/>
  <c r="C641" i="3"/>
  <c r="D641" i="3"/>
  <c r="AM641" i="3"/>
  <c r="AK641" i="3"/>
  <c r="T641" i="3"/>
  <c r="S641" i="3"/>
  <c r="AD641" i="3"/>
  <c r="R641" i="3"/>
  <c r="Q641" i="3"/>
  <c r="P641" i="3"/>
  <c r="O641" i="3"/>
  <c r="AE641" i="3"/>
  <c r="M641" i="3"/>
  <c r="AF641" i="3"/>
  <c r="V641" i="3"/>
  <c r="U641" i="3"/>
  <c r="G641" i="3"/>
  <c r="H641" i="3"/>
  <c r="F641" i="3"/>
  <c r="BB637" i="3"/>
  <c r="BF637" i="3"/>
  <c r="BJ636" i="3"/>
  <c r="BK636" i="3"/>
  <c r="BQ637" i="3"/>
  <c r="AY638" i="3"/>
  <c r="AG640" i="3"/>
  <c r="X640" i="3"/>
  <c r="AW639" i="3"/>
  <c r="AH640" i="3"/>
  <c r="AO640" i="3"/>
  <c r="AX639" i="3"/>
  <c r="AV639" i="3"/>
  <c r="BD637" i="3"/>
  <c r="BA639" i="3"/>
  <c r="BF639" i="3"/>
  <c r="AX640" i="3"/>
  <c r="BM641" i="3"/>
  <c r="AO641" i="3"/>
  <c r="AG641" i="3"/>
  <c r="BB638" i="3"/>
  <c r="BF638" i="3"/>
  <c r="BJ637" i="3"/>
  <c r="BK637" i="3"/>
  <c r="BQ638" i="3"/>
  <c r="AT640" i="3"/>
  <c r="AW640" i="3"/>
  <c r="AU640" i="3"/>
  <c r="AY639" i="3"/>
  <c r="BN641" i="3"/>
  <c r="AH641" i="3"/>
  <c r="AN641" i="3"/>
  <c r="X641" i="3"/>
  <c r="Y641" i="3"/>
  <c r="Z641" i="3"/>
  <c r="AR642" i="3"/>
  <c r="AQ642" i="3"/>
  <c r="B642" i="3"/>
  <c r="A643" i="3"/>
  <c r="C642" i="3"/>
  <c r="D642" i="3"/>
  <c r="AK642" i="3"/>
  <c r="S642" i="3"/>
  <c r="R642" i="3"/>
  <c r="Q642" i="3"/>
  <c r="AD642" i="3"/>
  <c r="P642" i="3"/>
  <c r="AM642" i="3"/>
  <c r="AE642" i="3"/>
  <c r="M642" i="3"/>
  <c r="AF642" i="3"/>
  <c r="O642" i="3"/>
  <c r="V642" i="3"/>
  <c r="U642" i="3"/>
  <c r="F642" i="3"/>
  <c r="G642" i="3"/>
  <c r="H642" i="3"/>
  <c r="T642" i="3"/>
  <c r="BC638" i="3"/>
  <c r="BC639" i="3"/>
  <c r="BG639" i="3"/>
  <c r="BH639" i="3"/>
  <c r="BI639" i="3"/>
  <c r="AN642" i="3"/>
  <c r="BQ639" i="3"/>
  <c r="BB639" i="3"/>
  <c r="AY640" i="3"/>
  <c r="BM642" i="3"/>
  <c r="AX641" i="3"/>
  <c r="AT641" i="3"/>
  <c r="AG642" i="3"/>
  <c r="Y642" i="3"/>
  <c r="Z642" i="3"/>
  <c r="A644" i="3"/>
  <c r="AQ643" i="3"/>
  <c r="AR643" i="3"/>
  <c r="B643" i="3"/>
  <c r="D643" i="3"/>
  <c r="AK643" i="3"/>
  <c r="C643" i="3"/>
  <c r="AM643" i="3"/>
  <c r="T643" i="3"/>
  <c r="R643" i="3"/>
  <c r="Q643" i="3"/>
  <c r="AD643" i="3"/>
  <c r="S643" i="3"/>
  <c r="P643" i="3"/>
  <c r="O643" i="3"/>
  <c r="AF643" i="3"/>
  <c r="V643" i="3"/>
  <c r="U643" i="3"/>
  <c r="AE643" i="3"/>
  <c r="M643" i="3"/>
  <c r="G643" i="3"/>
  <c r="H643" i="3"/>
  <c r="F643" i="3"/>
  <c r="BD638" i="3"/>
  <c r="BG638" i="3"/>
  <c r="BH638" i="3"/>
  <c r="BI638" i="3"/>
  <c r="AV640" i="3"/>
  <c r="BA640" i="3"/>
  <c r="AH642" i="3"/>
  <c r="BN642" i="3"/>
  <c r="AO642" i="3"/>
  <c r="X642" i="3"/>
  <c r="AU641" i="3"/>
  <c r="BJ638" i="3"/>
  <c r="BK638" i="3"/>
  <c r="AW641" i="3"/>
  <c r="BN643" i="3"/>
  <c r="BD639" i="3"/>
  <c r="AU642" i="3"/>
  <c r="AN643" i="3"/>
  <c r="BC640" i="3"/>
  <c r="BD640" i="3"/>
  <c r="AY641" i="3"/>
  <c r="BM643" i="3"/>
  <c r="AV641" i="3"/>
  <c r="AT642" i="3"/>
  <c r="AW642" i="3"/>
  <c r="BB640" i="3"/>
  <c r="BQ640" i="3"/>
  <c r="BF640" i="3"/>
  <c r="BJ639" i="3"/>
  <c r="BK639" i="3"/>
  <c r="Y643" i="3"/>
  <c r="Z643" i="3"/>
  <c r="A645" i="3"/>
  <c r="AR644" i="3"/>
  <c r="B644" i="3"/>
  <c r="AQ644" i="3"/>
  <c r="D644" i="3"/>
  <c r="C644" i="3"/>
  <c r="AK644" i="3"/>
  <c r="AM644" i="3"/>
  <c r="T644" i="3"/>
  <c r="R644" i="3"/>
  <c r="S644" i="3"/>
  <c r="AD644" i="3"/>
  <c r="Q644" i="3"/>
  <c r="P644" i="3"/>
  <c r="O644" i="3"/>
  <c r="U644" i="3"/>
  <c r="V644" i="3"/>
  <c r="M644" i="3"/>
  <c r="AE644" i="3"/>
  <c r="AF644" i="3"/>
  <c r="G644" i="3"/>
  <c r="H644" i="3"/>
  <c r="F644" i="3"/>
  <c r="AH643" i="3"/>
  <c r="BA641" i="3"/>
  <c r="AX642" i="3"/>
  <c r="AG643" i="3"/>
  <c r="X643" i="3"/>
  <c r="AO643" i="3"/>
  <c r="BN644" i="3"/>
  <c r="BM644" i="3"/>
  <c r="AV642" i="3"/>
  <c r="BG640" i="3"/>
  <c r="BH640" i="3"/>
  <c r="BI640" i="3"/>
  <c r="BC641" i="3"/>
  <c r="BD641" i="3"/>
  <c r="AN644" i="3"/>
  <c r="AY642" i="3"/>
  <c r="AT643" i="3"/>
  <c r="BA642" i="3"/>
  <c r="BQ642" i="3"/>
  <c r="AU643" i="3"/>
  <c r="Y644" i="3"/>
  <c r="Z644" i="3"/>
  <c r="AR645" i="3"/>
  <c r="A646" i="3"/>
  <c r="AQ645" i="3"/>
  <c r="B645" i="3"/>
  <c r="C645" i="3"/>
  <c r="AM645" i="3"/>
  <c r="S645" i="3"/>
  <c r="R645" i="3"/>
  <c r="Q645" i="3"/>
  <c r="D645" i="3"/>
  <c r="AK645" i="3"/>
  <c r="AD645" i="3"/>
  <c r="P645" i="3"/>
  <c r="O645" i="3"/>
  <c r="M645" i="3"/>
  <c r="AF645" i="3"/>
  <c r="AE645" i="3"/>
  <c r="U645" i="3"/>
  <c r="V645" i="3"/>
  <c r="G645" i="3"/>
  <c r="H645" i="3"/>
  <c r="F645" i="3"/>
  <c r="T645" i="3"/>
  <c r="AX643" i="3"/>
  <c r="AG644" i="3"/>
  <c r="AO644" i="3"/>
  <c r="BQ641" i="3"/>
  <c r="BF641" i="3"/>
  <c r="BJ640" i="3"/>
  <c r="BK640" i="3"/>
  <c r="BB641" i="3"/>
  <c r="AW643" i="3"/>
  <c r="AH644" i="3"/>
  <c r="X644" i="3"/>
  <c r="BM645" i="3"/>
  <c r="BC642" i="3"/>
  <c r="BD642" i="3"/>
  <c r="BN645" i="3"/>
  <c r="BG641" i="3"/>
  <c r="BH641" i="3"/>
  <c r="BI641" i="3"/>
  <c r="AO645" i="3"/>
  <c r="AV643" i="3"/>
  <c r="BB642" i="3"/>
  <c r="BF642" i="3"/>
  <c r="BJ641" i="3"/>
  <c r="BK641" i="3"/>
  <c r="AX644" i="3"/>
  <c r="AG645" i="3"/>
  <c r="AY643" i="3"/>
  <c r="BA643" i="3"/>
  <c r="BB643" i="3"/>
  <c r="AR646" i="3"/>
  <c r="AQ646" i="3"/>
  <c r="B646" i="3"/>
  <c r="A647" i="3"/>
  <c r="C646" i="3"/>
  <c r="AM646" i="3"/>
  <c r="T646" i="3"/>
  <c r="D646" i="3"/>
  <c r="AK646" i="3"/>
  <c r="S646" i="3"/>
  <c r="Q646" i="3"/>
  <c r="R646" i="3"/>
  <c r="AD646" i="3"/>
  <c r="P646" i="3"/>
  <c r="O646" i="3"/>
  <c r="AE646" i="3"/>
  <c r="M646" i="3"/>
  <c r="AF646" i="3"/>
  <c r="V646" i="3"/>
  <c r="U646" i="3"/>
  <c r="F646" i="3"/>
  <c r="G646" i="3"/>
  <c r="H646" i="3"/>
  <c r="AW644" i="3"/>
  <c r="AU644" i="3"/>
  <c r="Y645" i="3"/>
  <c r="Z645" i="3"/>
  <c r="AH645" i="3"/>
  <c r="AN645" i="3"/>
  <c r="AT644" i="3"/>
  <c r="X645" i="3"/>
  <c r="BM646" i="3"/>
  <c r="BG642" i="3"/>
  <c r="BH642" i="3"/>
  <c r="BI642" i="3"/>
  <c r="BN646" i="3"/>
  <c r="AY644" i="3"/>
  <c r="BC643" i="3"/>
  <c r="BD643" i="3"/>
  <c r="BF643" i="3"/>
  <c r="BJ642" i="3"/>
  <c r="BK642" i="3"/>
  <c r="AW645" i="3"/>
  <c r="AU645" i="3"/>
  <c r="AG646" i="3"/>
  <c r="AN646" i="3"/>
  <c r="BQ643" i="3"/>
  <c r="AV644" i="3"/>
  <c r="BA644" i="3"/>
  <c r="AT645" i="3"/>
  <c r="AX645" i="3"/>
  <c r="AH646" i="3"/>
  <c r="AO646" i="3"/>
  <c r="X646" i="3"/>
  <c r="Y646" i="3"/>
  <c r="Z646" i="3"/>
  <c r="A648" i="3"/>
  <c r="AQ647" i="3"/>
  <c r="AR647" i="3"/>
  <c r="B647" i="3"/>
  <c r="C647" i="3"/>
  <c r="AK647" i="3"/>
  <c r="AM647" i="3"/>
  <c r="D647" i="3"/>
  <c r="R647" i="3"/>
  <c r="Q647" i="3"/>
  <c r="S647" i="3"/>
  <c r="AD647" i="3"/>
  <c r="P647" i="3"/>
  <c r="O647" i="3"/>
  <c r="AE647" i="3"/>
  <c r="V647" i="3"/>
  <c r="M647" i="3"/>
  <c r="AF647" i="3"/>
  <c r="U647" i="3"/>
  <c r="G647" i="3"/>
  <c r="H647" i="3"/>
  <c r="BN647" i="3"/>
  <c r="F647" i="3"/>
  <c r="T647" i="3"/>
  <c r="BM647" i="3"/>
  <c r="BC644" i="3"/>
  <c r="BD644" i="3"/>
  <c r="BG643" i="3"/>
  <c r="BH643" i="3"/>
  <c r="BI643" i="3"/>
  <c r="AT646" i="3"/>
  <c r="AU646" i="3"/>
  <c r="AY645" i="3"/>
  <c r="AO647" i="3"/>
  <c r="AW646" i="3"/>
  <c r="AH647" i="3"/>
  <c r="Y647" i="3"/>
  <c r="Z647" i="3"/>
  <c r="A649" i="3"/>
  <c r="AR648" i="3"/>
  <c r="B648" i="3"/>
  <c r="AQ648" i="3"/>
  <c r="D648" i="3"/>
  <c r="C648" i="3"/>
  <c r="AK648" i="3"/>
  <c r="R648" i="3"/>
  <c r="AM648" i="3"/>
  <c r="S648" i="3"/>
  <c r="Q648" i="3"/>
  <c r="AD648" i="3"/>
  <c r="P648" i="3"/>
  <c r="O648" i="3"/>
  <c r="M648" i="3"/>
  <c r="U648" i="3"/>
  <c r="V648" i="3"/>
  <c r="AF648" i="3"/>
  <c r="AE648" i="3"/>
  <c r="F648" i="3"/>
  <c r="G648" i="3"/>
  <c r="H648" i="3"/>
  <c r="T648" i="3"/>
  <c r="AV645" i="3"/>
  <c r="BA645" i="3"/>
  <c r="AG647" i="3"/>
  <c r="AN647" i="3"/>
  <c r="X647" i="3"/>
  <c r="AX646" i="3"/>
  <c r="BQ644" i="3"/>
  <c r="BF644" i="3"/>
  <c r="BJ643" i="3"/>
  <c r="BK643" i="3"/>
  <c r="BB644" i="3"/>
  <c r="BN648" i="3"/>
  <c r="BG644" i="3"/>
  <c r="BH644" i="3"/>
  <c r="BI644" i="3"/>
  <c r="BM648" i="3"/>
  <c r="AV646" i="3"/>
  <c r="AN648" i="3"/>
  <c r="BC645" i="3"/>
  <c r="BD645" i="3"/>
  <c r="BA646" i="3"/>
  <c r="BB646" i="3"/>
  <c r="AT647" i="3"/>
  <c r="AU647" i="3"/>
  <c r="AX647" i="3"/>
  <c r="BB645" i="3"/>
  <c r="BF645" i="3"/>
  <c r="BJ644" i="3"/>
  <c r="BK644" i="3"/>
  <c r="BQ645" i="3"/>
  <c r="AW647" i="3"/>
  <c r="Y648" i="3"/>
  <c r="Z648" i="3"/>
  <c r="X648" i="3"/>
  <c r="AY646" i="3"/>
  <c r="AH648" i="3"/>
  <c r="AG648" i="3"/>
  <c r="AR649" i="3"/>
  <c r="A650" i="3"/>
  <c r="AQ649" i="3"/>
  <c r="B649" i="3"/>
  <c r="C649" i="3"/>
  <c r="D649" i="3"/>
  <c r="AM649" i="3"/>
  <c r="AK649" i="3"/>
  <c r="R649" i="3"/>
  <c r="Q649" i="3"/>
  <c r="S649" i="3"/>
  <c r="AD649" i="3"/>
  <c r="P649" i="3"/>
  <c r="O649" i="3"/>
  <c r="M649" i="3"/>
  <c r="AE649" i="3"/>
  <c r="AF649" i="3"/>
  <c r="V649" i="3"/>
  <c r="U649" i="3"/>
  <c r="F649" i="3"/>
  <c r="G649" i="3"/>
  <c r="H649" i="3"/>
  <c r="T649" i="3"/>
  <c r="AO648" i="3"/>
  <c r="BC646" i="3"/>
  <c r="BG646" i="3"/>
  <c r="BH646" i="3"/>
  <c r="BI646" i="3"/>
  <c r="BG645" i="3"/>
  <c r="BH645" i="3"/>
  <c r="BI645" i="3"/>
  <c r="BQ646" i="3"/>
  <c r="BN649" i="3"/>
  <c r="BF646" i="3"/>
  <c r="BJ645" i="3"/>
  <c r="BK645" i="3"/>
  <c r="AY647" i="3"/>
  <c r="AV647" i="3"/>
  <c r="AW648" i="3"/>
  <c r="AN649" i="3"/>
  <c r="BA647" i="3"/>
  <c r="BF647" i="3"/>
  <c r="AR650" i="3"/>
  <c r="AQ650" i="3"/>
  <c r="B650" i="3"/>
  <c r="A651" i="3"/>
  <c r="C650" i="3"/>
  <c r="D650" i="3"/>
  <c r="S650" i="3"/>
  <c r="Q650" i="3"/>
  <c r="R650" i="3"/>
  <c r="AM650" i="3"/>
  <c r="AK650" i="3"/>
  <c r="AD650" i="3"/>
  <c r="P650" i="3"/>
  <c r="O650" i="3"/>
  <c r="M650" i="3"/>
  <c r="AF650" i="3"/>
  <c r="U650" i="3"/>
  <c r="V650" i="3"/>
  <c r="AE650" i="3"/>
  <c r="G650" i="3"/>
  <c r="H650" i="3"/>
  <c r="F650" i="3"/>
  <c r="T650" i="3"/>
  <c r="X649" i="3"/>
  <c r="Y649" i="3"/>
  <c r="Z649" i="3"/>
  <c r="BM649" i="3"/>
  <c r="AG649" i="3"/>
  <c r="AH649" i="3"/>
  <c r="AO649" i="3"/>
  <c r="AU648" i="3"/>
  <c r="AX648" i="3"/>
  <c r="AT648" i="3"/>
  <c r="BM650" i="3"/>
  <c r="BD646" i="3"/>
  <c r="BN650" i="3"/>
  <c r="BJ646" i="3"/>
  <c r="BK646" i="3"/>
  <c r="AY648" i="3"/>
  <c r="BC647" i="3"/>
  <c r="BG647" i="3"/>
  <c r="BH647" i="3"/>
  <c r="BI647" i="3"/>
  <c r="AT649" i="3"/>
  <c r="BQ647" i="3"/>
  <c r="BB647" i="3"/>
  <c r="AU649" i="3"/>
  <c r="AW649" i="3"/>
  <c r="AV648" i="3"/>
  <c r="BA648" i="3"/>
  <c r="AN650" i="3"/>
  <c r="AO650" i="3"/>
  <c r="Y650" i="3"/>
  <c r="Z650" i="3"/>
  <c r="AX649" i="3"/>
  <c r="AG650" i="3"/>
  <c r="X650" i="3"/>
  <c r="A652" i="3"/>
  <c r="AQ651" i="3"/>
  <c r="AR651" i="3"/>
  <c r="B651" i="3"/>
  <c r="C651" i="3"/>
  <c r="AM651" i="3"/>
  <c r="AK651" i="3"/>
  <c r="T651" i="3"/>
  <c r="S651" i="3"/>
  <c r="R651" i="3"/>
  <c r="Q651" i="3"/>
  <c r="D651" i="3"/>
  <c r="AD651" i="3"/>
  <c r="O651" i="3"/>
  <c r="M651" i="3"/>
  <c r="U651" i="3"/>
  <c r="V651" i="3"/>
  <c r="P651" i="3"/>
  <c r="AE651" i="3"/>
  <c r="AF651" i="3"/>
  <c r="G651" i="3"/>
  <c r="H651" i="3"/>
  <c r="F651" i="3"/>
  <c r="AH650" i="3"/>
  <c r="BD647" i="3"/>
  <c r="BC648" i="3"/>
  <c r="BD648" i="3"/>
  <c r="BM651" i="3"/>
  <c r="AN651" i="3"/>
  <c r="AV649" i="3"/>
  <c r="AH651" i="3"/>
  <c r="AW650" i="3"/>
  <c r="AY649" i="3"/>
  <c r="BB648" i="3"/>
  <c r="BF648" i="3"/>
  <c r="BJ647" i="3"/>
  <c r="BK647" i="3"/>
  <c r="BQ648" i="3"/>
  <c r="A653" i="3"/>
  <c r="AR652" i="3"/>
  <c r="B652" i="3"/>
  <c r="AQ652" i="3"/>
  <c r="D652" i="3"/>
  <c r="C652" i="3"/>
  <c r="AK652" i="3"/>
  <c r="AM652" i="3"/>
  <c r="Q652" i="3"/>
  <c r="S652" i="3"/>
  <c r="R652" i="3"/>
  <c r="AD652" i="3"/>
  <c r="P652" i="3"/>
  <c r="O652" i="3"/>
  <c r="AF652" i="3"/>
  <c r="AE652" i="3"/>
  <c r="U652" i="3"/>
  <c r="M652" i="3"/>
  <c r="V652" i="3"/>
  <c r="G652" i="3"/>
  <c r="H652" i="3"/>
  <c r="F652" i="3"/>
  <c r="T652" i="3"/>
  <c r="AU650" i="3"/>
  <c r="AX650" i="3"/>
  <c r="BN651" i="3"/>
  <c r="AG651" i="3"/>
  <c r="AO651" i="3"/>
  <c r="X651" i="3"/>
  <c r="BA649" i="3"/>
  <c r="Y651" i="3"/>
  <c r="Z651" i="3"/>
  <c r="AT650" i="3"/>
  <c r="AY650" i="3"/>
  <c r="BG648" i="3"/>
  <c r="BH648" i="3"/>
  <c r="BI648" i="3"/>
  <c r="BM652" i="3"/>
  <c r="AO652" i="3"/>
  <c r="BC649" i="3"/>
  <c r="BG649" i="3"/>
  <c r="BH649" i="3"/>
  <c r="BI649" i="3"/>
  <c r="AW651" i="3"/>
  <c r="AU651" i="3"/>
  <c r="AV650" i="3"/>
  <c r="BA650" i="3"/>
  <c r="AX651" i="3"/>
  <c r="AT651" i="3"/>
  <c r="Y652" i="3"/>
  <c r="Z652" i="3"/>
  <c r="BN652" i="3"/>
  <c r="AG652" i="3"/>
  <c r="AH652" i="3"/>
  <c r="AN652" i="3"/>
  <c r="X652" i="3"/>
  <c r="BF649" i="3"/>
  <c r="BJ648" i="3"/>
  <c r="BK648" i="3"/>
  <c r="BB649" i="3"/>
  <c r="BQ649" i="3"/>
  <c r="AQ653" i="3"/>
  <c r="B653" i="3"/>
  <c r="A654" i="3"/>
  <c r="AR653" i="3"/>
  <c r="C653" i="3"/>
  <c r="S653" i="3"/>
  <c r="Q653" i="3"/>
  <c r="D653" i="3"/>
  <c r="AK653" i="3"/>
  <c r="AM653" i="3"/>
  <c r="T653" i="3"/>
  <c r="R653" i="3"/>
  <c r="AD653" i="3"/>
  <c r="P653" i="3"/>
  <c r="O653" i="3"/>
  <c r="AE653" i="3"/>
  <c r="AF653" i="3"/>
  <c r="V653" i="3"/>
  <c r="U653" i="3"/>
  <c r="M653" i="3"/>
  <c r="G653" i="3"/>
  <c r="H653" i="3"/>
  <c r="F653" i="3"/>
  <c r="BC650" i="3"/>
  <c r="BD650" i="3"/>
  <c r="BN653" i="3"/>
  <c r="BD649" i="3"/>
  <c r="AY651" i="3"/>
  <c r="AT652" i="3"/>
  <c r="AO653" i="3"/>
  <c r="AX652" i="3"/>
  <c r="AR654" i="3"/>
  <c r="AQ654" i="3"/>
  <c r="B654" i="3"/>
  <c r="A655" i="3"/>
  <c r="C654" i="3"/>
  <c r="S654" i="3"/>
  <c r="AM654" i="3"/>
  <c r="AK654" i="3"/>
  <c r="D654" i="3"/>
  <c r="T654" i="3"/>
  <c r="R654" i="3"/>
  <c r="Q654" i="3"/>
  <c r="AD654" i="3"/>
  <c r="P654" i="3"/>
  <c r="AE654" i="3"/>
  <c r="V654" i="3"/>
  <c r="O654" i="3"/>
  <c r="M654" i="3"/>
  <c r="AF654" i="3"/>
  <c r="U654" i="3"/>
  <c r="G654" i="3"/>
  <c r="H654" i="3"/>
  <c r="F654" i="3"/>
  <c r="Y653" i="3"/>
  <c r="Z653" i="3"/>
  <c r="BB650" i="3"/>
  <c r="BQ650" i="3"/>
  <c r="BF650" i="3"/>
  <c r="BJ649" i="3"/>
  <c r="BK649" i="3"/>
  <c r="BM653" i="3"/>
  <c r="AG653" i="3"/>
  <c r="AN653" i="3"/>
  <c r="AU652" i="3"/>
  <c r="AW652" i="3"/>
  <c r="AV651" i="3"/>
  <c r="BA651" i="3"/>
  <c r="AH653" i="3"/>
  <c r="X653" i="3"/>
  <c r="BN654" i="3"/>
  <c r="BG650" i="3"/>
  <c r="BH650" i="3"/>
  <c r="BI650" i="3"/>
  <c r="AV652" i="3"/>
  <c r="BC651" i="3"/>
  <c r="BG651" i="3"/>
  <c r="BH651" i="3"/>
  <c r="BI651" i="3"/>
  <c r="BM654" i="3"/>
  <c r="AO654" i="3"/>
  <c r="AH654" i="3"/>
  <c r="AX653" i="3"/>
  <c r="AY652" i="3"/>
  <c r="BA652" i="3"/>
  <c r="BQ652" i="3"/>
  <c r="AU653" i="3"/>
  <c r="BF651" i="3"/>
  <c r="BJ650" i="3"/>
  <c r="BK650" i="3"/>
  <c r="BQ651" i="3"/>
  <c r="BB651" i="3"/>
  <c r="AT653" i="3"/>
  <c r="AW653" i="3"/>
  <c r="AG654" i="3"/>
  <c r="Y654" i="3"/>
  <c r="Z654" i="3"/>
  <c r="AN654" i="3"/>
  <c r="X654" i="3"/>
  <c r="A656" i="3"/>
  <c r="AQ655" i="3"/>
  <c r="AR655" i="3"/>
  <c r="B655" i="3"/>
  <c r="C655" i="3"/>
  <c r="D655" i="3"/>
  <c r="AM655" i="3"/>
  <c r="T655" i="3"/>
  <c r="Q655" i="3"/>
  <c r="S655" i="3"/>
  <c r="R655" i="3"/>
  <c r="AD655" i="3"/>
  <c r="AK655" i="3"/>
  <c r="O655" i="3"/>
  <c r="M655" i="3"/>
  <c r="P655" i="3"/>
  <c r="AE655" i="3"/>
  <c r="AF655" i="3"/>
  <c r="U655" i="3"/>
  <c r="V655" i="3"/>
  <c r="G655" i="3"/>
  <c r="H655" i="3"/>
  <c r="F655" i="3"/>
  <c r="BC652" i="3"/>
  <c r="BD652" i="3"/>
  <c r="AO655" i="3"/>
  <c r="BD651" i="3"/>
  <c r="BM655" i="3"/>
  <c r="BN655" i="3"/>
  <c r="AT654" i="3"/>
  <c r="AX654" i="3"/>
  <c r="AU654" i="3"/>
  <c r="AV653" i="3"/>
  <c r="AY653" i="3"/>
  <c r="BF652" i="3"/>
  <c r="BJ651" i="3"/>
  <c r="BK651" i="3"/>
  <c r="BB652" i="3"/>
  <c r="BA653" i="3"/>
  <c r="BF653" i="3"/>
  <c r="AG655" i="3"/>
  <c r="Y655" i="3"/>
  <c r="Z655" i="3"/>
  <c r="AH655" i="3"/>
  <c r="AW654" i="3"/>
  <c r="A657" i="3"/>
  <c r="AR656" i="3"/>
  <c r="B656" i="3"/>
  <c r="AQ656" i="3"/>
  <c r="C656" i="3"/>
  <c r="D656" i="3"/>
  <c r="AK656" i="3"/>
  <c r="T656" i="3"/>
  <c r="S656" i="3"/>
  <c r="AM656" i="3"/>
  <c r="R656" i="3"/>
  <c r="Q656" i="3"/>
  <c r="AD656" i="3"/>
  <c r="O656" i="3"/>
  <c r="AF656" i="3"/>
  <c r="AE656" i="3"/>
  <c r="M656" i="3"/>
  <c r="U656" i="3"/>
  <c r="P656" i="3"/>
  <c r="V656" i="3"/>
  <c r="F656" i="3"/>
  <c r="G656" i="3"/>
  <c r="H656" i="3"/>
  <c r="AN655" i="3"/>
  <c r="X655" i="3"/>
  <c r="BM656" i="3"/>
  <c r="BN656" i="3"/>
  <c r="BG652" i="3"/>
  <c r="BH652" i="3"/>
  <c r="BI652" i="3"/>
  <c r="AV654" i="3"/>
  <c r="BJ652" i="3"/>
  <c r="BK652" i="3"/>
  <c r="AT655" i="3"/>
  <c r="BC653" i="3"/>
  <c r="BD653" i="3"/>
  <c r="AY654" i="3"/>
  <c r="BB653" i="3"/>
  <c r="BQ653" i="3"/>
  <c r="AN656" i="3"/>
  <c r="AG656" i="3"/>
  <c r="AR657" i="3"/>
  <c r="A658" i="3"/>
  <c r="AQ657" i="3"/>
  <c r="B657" i="3"/>
  <c r="C657" i="3"/>
  <c r="Q657" i="3"/>
  <c r="R657" i="3"/>
  <c r="D657" i="3"/>
  <c r="AM657" i="3"/>
  <c r="AK657" i="3"/>
  <c r="S657" i="3"/>
  <c r="AD657" i="3"/>
  <c r="P657" i="3"/>
  <c r="O657" i="3"/>
  <c r="AE657" i="3"/>
  <c r="M657" i="3"/>
  <c r="V657" i="3"/>
  <c r="U657" i="3"/>
  <c r="AF657" i="3"/>
  <c r="F657" i="3"/>
  <c r="G657" i="3"/>
  <c r="H657" i="3"/>
  <c r="T657" i="3"/>
  <c r="Y656" i="3"/>
  <c r="Z656" i="3"/>
  <c r="AX655" i="3"/>
  <c r="AW655" i="3"/>
  <c r="AH656" i="3"/>
  <c r="AO656" i="3"/>
  <c r="X656" i="3"/>
  <c r="AU655" i="3"/>
  <c r="BA654" i="3"/>
  <c r="BC654" i="3"/>
  <c r="BD654" i="3"/>
  <c r="BG653" i="3"/>
  <c r="BH653" i="3"/>
  <c r="BI653" i="3"/>
  <c r="AY655" i="3"/>
  <c r="BM657" i="3"/>
  <c r="BA655" i="3"/>
  <c r="BF655" i="3"/>
  <c r="AO657" i="3"/>
  <c r="AX656" i="3"/>
  <c r="AV655" i="3"/>
  <c r="Y657" i="3"/>
  <c r="Z657" i="3"/>
  <c r="BB654" i="3"/>
  <c r="BQ654" i="3"/>
  <c r="BF654" i="3"/>
  <c r="AR658" i="3"/>
  <c r="B658" i="3"/>
  <c r="AQ658" i="3"/>
  <c r="A659" i="3"/>
  <c r="C658" i="3"/>
  <c r="AK658" i="3"/>
  <c r="D658" i="3"/>
  <c r="AM658" i="3"/>
  <c r="T658" i="3"/>
  <c r="S658" i="3"/>
  <c r="Q658" i="3"/>
  <c r="AD658" i="3"/>
  <c r="P658" i="3"/>
  <c r="AE658" i="3"/>
  <c r="O658" i="3"/>
  <c r="U658" i="3"/>
  <c r="V658" i="3"/>
  <c r="M658" i="3"/>
  <c r="AF658" i="3"/>
  <c r="R658" i="3"/>
  <c r="G658" i="3"/>
  <c r="H658" i="3"/>
  <c r="F658" i="3"/>
  <c r="AT656" i="3"/>
  <c r="AU656" i="3"/>
  <c r="AW656" i="3"/>
  <c r="BN657" i="3"/>
  <c r="AH657" i="3"/>
  <c r="AG657" i="3"/>
  <c r="AN657" i="3"/>
  <c r="X657" i="3"/>
  <c r="BG654" i="3"/>
  <c r="BH654" i="3"/>
  <c r="BI654" i="3"/>
  <c r="BN658" i="3"/>
  <c r="AY656" i="3"/>
  <c r="AN658" i="3"/>
  <c r="BQ655" i="3"/>
  <c r="BC655" i="3"/>
  <c r="BD655" i="3"/>
  <c r="BM658" i="3"/>
  <c r="AG658" i="3"/>
  <c r="BB655" i="3"/>
  <c r="AU657" i="3"/>
  <c r="AV656" i="3"/>
  <c r="AR659" i="3"/>
  <c r="B659" i="3"/>
  <c r="AQ659" i="3"/>
  <c r="A660" i="3"/>
  <c r="C659" i="3"/>
  <c r="D659" i="3"/>
  <c r="AM659" i="3"/>
  <c r="AK659" i="3"/>
  <c r="S659" i="3"/>
  <c r="Q659" i="3"/>
  <c r="R659" i="3"/>
  <c r="P659" i="3"/>
  <c r="AD659" i="3"/>
  <c r="AE659" i="3"/>
  <c r="U659" i="3"/>
  <c r="O659" i="3"/>
  <c r="M659" i="3"/>
  <c r="AF659" i="3"/>
  <c r="V659" i="3"/>
  <c r="G659" i="3"/>
  <c r="H659" i="3"/>
  <c r="F659" i="3"/>
  <c r="T659" i="3"/>
  <c r="BJ654" i="3"/>
  <c r="BK654" i="3"/>
  <c r="BJ653" i="3"/>
  <c r="BK653" i="3"/>
  <c r="Y658" i="3"/>
  <c r="Z658" i="3"/>
  <c r="AX657" i="3"/>
  <c r="AH658" i="3"/>
  <c r="AO658" i="3"/>
  <c r="AT657" i="3"/>
  <c r="AW657" i="3"/>
  <c r="BA656" i="3"/>
  <c r="X658" i="3"/>
  <c r="BM659" i="3"/>
  <c r="BN659" i="3"/>
  <c r="BG655" i="3"/>
  <c r="BH655" i="3"/>
  <c r="BI655" i="3"/>
  <c r="BC656" i="3"/>
  <c r="BG656" i="3"/>
  <c r="BH656" i="3"/>
  <c r="BI656" i="3"/>
  <c r="AT658" i="3"/>
  <c r="AY657" i="3"/>
  <c r="AU658" i="3"/>
  <c r="AW658" i="3"/>
  <c r="Y659" i="3"/>
  <c r="Z659" i="3"/>
  <c r="AO659" i="3"/>
  <c r="A661" i="3"/>
  <c r="AR660" i="3"/>
  <c r="B660" i="3"/>
  <c r="AQ660" i="3"/>
  <c r="D660" i="3"/>
  <c r="AM660" i="3"/>
  <c r="C660" i="3"/>
  <c r="S660" i="3"/>
  <c r="AD660" i="3"/>
  <c r="P660" i="3"/>
  <c r="AK660" i="3"/>
  <c r="R660" i="3"/>
  <c r="Q660" i="3"/>
  <c r="O660" i="3"/>
  <c r="AF660" i="3"/>
  <c r="AE660" i="3"/>
  <c r="M660" i="3"/>
  <c r="V660" i="3"/>
  <c r="F660" i="3"/>
  <c r="U660" i="3"/>
  <c r="G660" i="3"/>
  <c r="H660" i="3"/>
  <c r="T660" i="3"/>
  <c r="BF656" i="3"/>
  <c r="BJ655" i="3"/>
  <c r="BK655" i="3"/>
  <c r="BQ656" i="3"/>
  <c r="BB656" i="3"/>
  <c r="AV657" i="3"/>
  <c r="BA657" i="3"/>
  <c r="AG659" i="3"/>
  <c r="AX658" i="3"/>
  <c r="AH659" i="3"/>
  <c r="AN659" i="3"/>
  <c r="X659" i="3"/>
  <c r="BN660" i="3"/>
  <c r="BM660" i="3"/>
  <c r="AY658" i="3"/>
  <c r="BD656" i="3"/>
  <c r="AV658" i="3"/>
  <c r="BC657" i="3"/>
  <c r="BD657" i="3"/>
  <c r="AO660" i="3"/>
  <c r="AX659" i="3"/>
  <c r="AT659" i="3"/>
  <c r="BQ657" i="3"/>
  <c r="BB657" i="3"/>
  <c r="BF657" i="3"/>
  <c r="AQ661" i="3"/>
  <c r="B661" i="3"/>
  <c r="A662" i="3"/>
  <c r="AR661" i="3"/>
  <c r="C661" i="3"/>
  <c r="D661" i="3"/>
  <c r="AM661" i="3"/>
  <c r="T661" i="3"/>
  <c r="AK661" i="3"/>
  <c r="R661" i="3"/>
  <c r="Q661" i="3"/>
  <c r="AD661" i="3"/>
  <c r="S661" i="3"/>
  <c r="M661" i="3"/>
  <c r="AF661" i="3"/>
  <c r="V661" i="3"/>
  <c r="P661" i="3"/>
  <c r="O661" i="3"/>
  <c r="AE661" i="3"/>
  <c r="U661" i="3"/>
  <c r="G661" i="3"/>
  <c r="H661" i="3"/>
  <c r="F661" i="3"/>
  <c r="AH660" i="3"/>
  <c r="X660" i="3"/>
  <c r="AU659" i="3"/>
  <c r="AW659" i="3"/>
  <c r="Y660" i="3"/>
  <c r="Z660" i="3"/>
  <c r="AG660" i="3"/>
  <c r="AN660" i="3"/>
  <c r="BA658" i="3"/>
  <c r="AO661" i="3"/>
  <c r="BC658" i="3"/>
  <c r="BG658" i="3"/>
  <c r="BH658" i="3"/>
  <c r="BI658" i="3"/>
  <c r="BG657" i="3"/>
  <c r="BH657" i="3"/>
  <c r="BI657" i="3"/>
  <c r="BN661" i="3"/>
  <c r="AY659" i="3"/>
  <c r="AV659" i="3"/>
  <c r="AU660" i="3"/>
  <c r="AG661" i="3"/>
  <c r="AW660" i="3"/>
  <c r="BA659" i="3"/>
  <c r="BQ659" i="3"/>
  <c r="AT660" i="3"/>
  <c r="AX660" i="3"/>
  <c r="AR662" i="3"/>
  <c r="AQ662" i="3"/>
  <c r="B662" i="3"/>
  <c r="A663" i="3"/>
  <c r="C662" i="3"/>
  <c r="D662" i="3"/>
  <c r="S662" i="3"/>
  <c r="AK662" i="3"/>
  <c r="AM662" i="3"/>
  <c r="R662" i="3"/>
  <c r="Q662" i="3"/>
  <c r="AD662" i="3"/>
  <c r="P662" i="3"/>
  <c r="AE662" i="3"/>
  <c r="AF662" i="3"/>
  <c r="V662" i="3"/>
  <c r="O662" i="3"/>
  <c r="M662" i="3"/>
  <c r="U662" i="3"/>
  <c r="G662" i="3"/>
  <c r="H662" i="3"/>
  <c r="F662" i="3"/>
  <c r="T662" i="3"/>
  <c r="BQ658" i="3"/>
  <c r="BF658" i="3"/>
  <c r="BJ657" i="3"/>
  <c r="BK657" i="3"/>
  <c r="BB658" i="3"/>
  <c r="Y661" i="3"/>
  <c r="Z661" i="3"/>
  <c r="BJ656" i="3"/>
  <c r="BK656" i="3"/>
  <c r="AH661" i="3"/>
  <c r="AN661" i="3"/>
  <c r="X661" i="3"/>
  <c r="BM661" i="3"/>
  <c r="BM662" i="3"/>
  <c r="AU661" i="3"/>
  <c r="BN662" i="3"/>
  <c r="BD658" i="3"/>
  <c r="BC659" i="3"/>
  <c r="BG659" i="3"/>
  <c r="BH659" i="3"/>
  <c r="BI659" i="3"/>
  <c r="AY660" i="3"/>
  <c r="AN662" i="3"/>
  <c r="AT661" i="3"/>
  <c r="AW661" i="3"/>
  <c r="AH662" i="3"/>
  <c r="BF659" i="3"/>
  <c r="BJ658" i="3"/>
  <c r="BK658" i="3"/>
  <c r="BB659" i="3"/>
  <c r="AV660" i="3"/>
  <c r="BA660" i="3"/>
  <c r="AR663" i="3"/>
  <c r="A664" i="3"/>
  <c r="AQ663" i="3"/>
  <c r="B663" i="3"/>
  <c r="C663" i="3"/>
  <c r="AM663" i="3"/>
  <c r="Q663" i="3"/>
  <c r="D663" i="3"/>
  <c r="AK663" i="3"/>
  <c r="T663" i="3"/>
  <c r="S663" i="3"/>
  <c r="R663" i="3"/>
  <c r="AD663" i="3"/>
  <c r="P663" i="3"/>
  <c r="O663" i="3"/>
  <c r="AE663" i="3"/>
  <c r="M663" i="3"/>
  <c r="AF663" i="3"/>
  <c r="V663" i="3"/>
  <c r="U663" i="3"/>
  <c r="F663" i="3"/>
  <c r="G663" i="3"/>
  <c r="H663" i="3"/>
  <c r="X662" i="3"/>
  <c r="AX661" i="3"/>
  <c r="Y662" i="3"/>
  <c r="Z662" i="3"/>
  <c r="AG662" i="3"/>
  <c r="AO662" i="3"/>
  <c r="BM663" i="3"/>
  <c r="AV661" i="3"/>
  <c r="BN663" i="3"/>
  <c r="BD659" i="3"/>
  <c r="AU662" i="3"/>
  <c r="BC660" i="3"/>
  <c r="BD660" i="3"/>
  <c r="AN663" i="3"/>
  <c r="AY661" i="3"/>
  <c r="Y663" i="3"/>
  <c r="Z663" i="3"/>
  <c r="A665" i="3"/>
  <c r="AR664" i="3"/>
  <c r="B664" i="3"/>
  <c r="AQ664" i="3"/>
  <c r="C664" i="3"/>
  <c r="D664" i="3"/>
  <c r="AK664" i="3"/>
  <c r="S664" i="3"/>
  <c r="Q664" i="3"/>
  <c r="AM664" i="3"/>
  <c r="AD664" i="3"/>
  <c r="P664" i="3"/>
  <c r="T664" i="3"/>
  <c r="R664" i="3"/>
  <c r="AF664" i="3"/>
  <c r="U664" i="3"/>
  <c r="O664" i="3"/>
  <c r="AE664" i="3"/>
  <c r="M664" i="3"/>
  <c r="V664" i="3"/>
  <c r="G664" i="3"/>
  <c r="H664" i="3"/>
  <c r="F664" i="3"/>
  <c r="BB660" i="3"/>
  <c r="BQ660" i="3"/>
  <c r="BF660" i="3"/>
  <c r="BJ659" i="3"/>
  <c r="BK659" i="3"/>
  <c r="AG663" i="3"/>
  <c r="AW662" i="3"/>
  <c r="AT662" i="3"/>
  <c r="AX662" i="3"/>
  <c r="AH663" i="3"/>
  <c r="AO663" i="3"/>
  <c r="X663" i="3"/>
  <c r="BA661" i="3"/>
  <c r="BC661" i="3"/>
  <c r="BM664" i="3"/>
  <c r="AN664" i="3"/>
  <c r="BG660" i="3"/>
  <c r="BH660" i="3"/>
  <c r="BI660" i="3"/>
  <c r="AU663" i="3"/>
  <c r="AG664" i="3"/>
  <c r="BQ661" i="3"/>
  <c r="BB661" i="3"/>
  <c r="BF661" i="3"/>
  <c r="Y664" i="3"/>
  <c r="Z664" i="3"/>
  <c r="BA662" i="3"/>
  <c r="AV662" i="3"/>
  <c r="BD661" i="3"/>
  <c r="BG661" i="3"/>
  <c r="BH661" i="3"/>
  <c r="BI661" i="3"/>
  <c r="AR665" i="3"/>
  <c r="A666" i="3"/>
  <c r="AQ665" i="3"/>
  <c r="B665" i="3"/>
  <c r="C665" i="3"/>
  <c r="D665" i="3"/>
  <c r="T665" i="3"/>
  <c r="AM665" i="3"/>
  <c r="AK665" i="3"/>
  <c r="S665" i="3"/>
  <c r="Q665" i="3"/>
  <c r="P665" i="3"/>
  <c r="AD665" i="3"/>
  <c r="AE665" i="3"/>
  <c r="M665" i="3"/>
  <c r="V665" i="3"/>
  <c r="U665" i="3"/>
  <c r="O665" i="3"/>
  <c r="AF665" i="3"/>
  <c r="R665" i="3"/>
  <c r="G665" i="3"/>
  <c r="H665" i="3"/>
  <c r="F665" i="3"/>
  <c r="AY662" i="3"/>
  <c r="AW663" i="3"/>
  <c r="AT663" i="3"/>
  <c r="AX663" i="3"/>
  <c r="BN664" i="3"/>
  <c r="AH664" i="3"/>
  <c r="AO664" i="3"/>
  <c r="X664" i="3"/>
  <c r="AX664" i="3"/>
  <c r="BN665" i="3"/>
  <c r="AY663" i="3"/>
  <c r="AH665" i="3"/>
  <c r="AO665" i="3"/>
  <c r="BQ662" i="3"/>
  <c r="BB662" i="3"/>
  <c r="BF662" i="3"/>
  <c r="BJ661" i="3"/>
  <c r="BK661" i="3"/>
  <c r="AV663" i="3"/>
  <c r="BA663" i="3"/>
  <c r="Y665" i="3"/>
  <c r="Z665" i="3"/>
  <c r="AR666" i="3"/>
  <c r="AQ666" i="3"/>
  <c r="B666" i="3"/>
  <c r="A667" i="3"/>
  <c r="AM666" i="3"/>
  <c r="T666" i="3"/>
  <c r="S666" i="3"/>
  <c r="C666" i="3"/>
  <c r="D666" i="3"/>
  <c r="R666" i="3"/>
  <c r="Q666" i="3"/>
  <c r="AK666" i="3"/>
  <c r="AD666" i="3"/>
  <c r="AE666" i="3"/>
  <c r="M666" i="3"/>
  <c r="P666" i="3"/>
  <c r="O666" i="3"/>
  <c r="AF666" i="3"/>
  <c r="V666" i="3"/>
  <c r="U666" i="3"/>
  <c r="F666" i="3"/>
  <c r="G666" i="3"/>
  <c r="H666" i="3"/>
  <c r="BJ660" i="3"/>
  <c r="BK660" i="3"/>
  <c r="AT664" i="3"/>
  <c r="AW664" i="3"/>
  <c r="X665" i="3"/>
  <c r="AU664" i="3"/>
  <c r="BM665" i="3"/>
  <c r="AG665" i="3"/>
  <c r="AN665" i="3"/>
  <c r="BC662" i="3"/>
  <c r="AY664" i="3"/>
  <c r="BC663" i="3"/>
  <c r="BD663" i="3"/>
  <c r="BM666" i="3"/>
  <c r="AT665" i="3"/>
  <c r="AV664" i="3"/>
  <c r="AN666" i="3"/>
  <c r="AX665" i="3"/>
  <c r="Y666" i="3"/>
  <c r="Z666" i="3"/>
  <c r="BG662" i="3"/>
  <c r="BH662" i="3"/>
  <c r="BI662" i="3"/>
  <c r="BD662" i="3"/>
  <c r="A668" i="3"/>
  <c r="AQ667" i="3"/>
  <c r="AR667" i="3"/>
  <c r="B667" i="3"/>
  <c r="C667" i="3"/>
  <c r="D667" i="3"/>
  <c r="AM667" i="3"/>
  <c r="AK667" i="3"/>
  <c r="S667" i="3"/>
  <c r="AD667" i="3"/>
  <c r="R667" i="3"/>
  <c r="Q667" i="3"/>
  <c r="P667" i="3"/>
  <c r="O667" i="3"/>
  <c r="AE667" i="3"/>
  <c r="M667" i="3"/>
  <c r="AF667" i="3"/>
  <c r="U667" i="3"/>
  <c r="V667" i="3"/>
  <c r="F667" i="3"/>
  <c r="G667" i="3"/>
  <c r="H667" i="3"/>
  <c r="T667" i="3"/>
  <c r="BB663" i="3"/>
  <c r="BQ663" i="3"/>
  <c r="BF663" i="3"/>
  <c r="BJ662" i="3"/>
  <c r="BK662" i="3"/>
  <c r="AW665" i="3"/>
  <c r="AU665" i="3"/>
  <c r="BA664" i="3"/>
  <c r="BN666" i="3"/>
  <c r="AH666" i="3"/>
  <c r="AG666" i="3"/>
  <c r="AO666" i="3"/>
  <c r="X666" i="3"/>
  <c r="BC664" i="3"/>
  <c r="BD664" i="3"/>
  <c r="BG663" i="3"/>
  <c r="BH663" i="3"/>
  <c r="BI663" i="3"/>
  <c r="BM667" i="3"/>
  <c r="AV665" i="3"/>
  <c r="AY665" i="3"/>
  <c r="AO667" i="3"/>
  <c r="AW666" i="3"/>
  <c r="AH667" i="3"/>
  <c r="Y667" i="3"/>
  <c r="Z667" i="3"/>
  <c r="BB664" i="3"/>
  <c r="BQ664" i="3"/>
  <c r="BF664" i="3"/>
  <c r="BJ663" i="3"/>
  <c r="BK663" i="3"/>
  <c r="A669" i="3"/>
  <c r="AR668" i="3"/>
  <c r="B668" i="3"/>
  <c r="AQ668" i="3"/>
  <c r="C668" i="3"/>
  <c r="S668" i="3"/>
  <c r="D668" i="3"/>
  <c r="AM668" i="3"/>
  <c r="AK668" i="3"/>
  <c r="T668" i="3"/>
  <c r="Q668" i="3"/>
  <c r="AD668" i="3"/>
  <c r="P668" i="3"/>
  <c r="O668" i="3"/>
  <c r="M668" i="3"/>
  <c r="AE668" i="3"/>
  <c r="AF668" i="3"/>
  <c r="V668" i="3"/>
  <c r="U668" i="3"/>
  <c r="R668" i="3"/>
  <c r="F668" i="3"/>
  <c r="G668" i="3"/>
  <c r="H668" i="3"/>
  <c r="AT666" i="3"/>
  <c r="BA665" i="3"/>
  <c r="AU666" i="3"/>
  <c r="AX666" i="3"/>
  <c r="BN667" i="3"/>
  <c r="AG667" i="3"/>
  <c r="AN667" i="3"/>
  <c r="X667" i="3"/>
  <c r="BM668" i="3"/>
  <c r="AY666" i="3"/>
  <c r="BG664" i="3"/>
  <c r="BH664" i="3"/>
  <c r="BI664" i="3"/>
  <c r="BC665" i="3"/>
  <c r="BD665" i="3"/>
  <c r="AW667" i="3"/>
  <c r="AO668" i="3"/>
  <c r="Y668" i="3"/>
  <c r="Z668" i="3"/>
  <c r="AQ669" i="3"/>
  <c r="B669" i="3"/>
  <c r="A670" i="3"/>
  <c r="AR669" i="3"/>
  <c r="D669" i="3"/>
  <c r="S669" i="3"/>
  <c r="AM669" i="3"/>
  <c r="C669" i="3"/>
  <c r="AK669" i="3"/>
  <c r="R669" i="3"/>
  <c r="P669" i="3"/>
  <c r="Q669" i="3"/>
  <c r="AD669" i="3"/>
  <c r="O669" i="3"/>
  <c r="M669" i="3"/>
  <c r="AE669" i="3"/>
  <c r="AF669" i="3"/>
  <c r="U669" i="3"/>
  <c r="V669" i="3"/>
  <c r="G669" i="3"/>
  <c r="H669" i="3"/>
  <c r="F669" i="3"/>
  <c r="T669" i="3"/>
  <c r="BF665" i="3"/>
  <c r="BJ664" i="3"/>
  <c r="BK664" i="3"/>
  <c r="BB665" i="3"/>
  <c r="BQ665" i="3"/>
  <c r="AV666" i="3"/>
  <c r="BA666" i="3"/>
  <c r="AU667" i="3"/>
  <c r="AX667" i="3"/>
  <c r="X668" i="3"/>
  <c r="AT667" i="3"/>
  <c r="BN668" i="3"/>
  <c r="AG668" i="3"/>
  <c r="AH668" i="3"/>
  <c r="AN668" i="3"/>
  <c r="BC666" i="3"/>
  <c r="BD666" i="3"/>
  <c r="AO669" i="3"/>
  <c r="BG665" i="3"/>
  <c r="BH665" i="3"/>
  <c r="BI665" i="3"/>
  <c r="BN669" i="3"/>
  <c r="AU668" i="3"/>
  <c r="AY667" i="3"/>
  <c r="AX668" i="3"/>
  <c r="Y669" i="3"/>
  <c r="Z669" i="3"/>
  <c r="AG669" i="3"/>
  <c r="AV667" i="3"/>
  <c r="BA667" i="3"/>
  <c r="BB666" i="3"/>
  <c r="BF666" i="3"/>
  <c r="BJ665" i="3"/>
  <c r="BK665" i="3"/>
  <c r="BQ666" i="3"/>
  <c r="AR670" i="3"/>
  <c r="AQ670" i="3"/>
  <c r="B670" i="3"/>
  <c r="A671" i="3"/>
  <c r="D670" i="3"/>
  <c r="C670" i="3"/>
  <c r="AM670" i="3"/>
  <c r="R670" i="3"/>
  <c r="S670" i="3"/>
  <c r="AK670" i="3"/>
  <c r="Q670" i="3"/>
  <c r="P670" i="3"/>
  <c r="AD670" i="3"/>
  <c r="M670" i="3"/>
  <c r="O670" i="3"/>
  <c r="AF670" i="3"/>
  <c r="AE670" i="3"/>
  <c r="V670" i="3"/>
  <c r="U670" i="3"/>
  <c r="G670" i="3"/>
  <c r="H670" i="3"/>
  <c r="F670" i="3"/>
  <c r="T670" i="3"/>
  <c r="X669" i="3"/>
  <c r="AT668" i="3"/>
  <c r="AW668" i="3"/>
  <c r="BM669" i="3"/>
  <c r="AH669" i="3"/>
  <c r="AN669" i="3"/>
  <c r="BG666" i="3"/>
  <c r="BH666" i="3"/>
  <c r="BI666" i="3"/>
  <c r="AY668" i="3"/>
  <c r="AU669" i="3"/>
  <c r="BC667" i="3"/>
  <c r="BG667" i="3"/>
  <c r="BH667" i="3"/>
  <c r="BI667" i="3"/>
  <c r="BN670" i="3"/>
  <c r="AO670" i="3"/>
  <c r="Y670" i="3"/>
  <c r="Z670" i="3"/>
  <c r="AV668" i="3"/>
  <c r="BA668" i="3"/>
  <c r="AR671" i="3"/>
  <c r="B671" i="3"/>
  <c r="AQ671" i="3"/>
  <c r="A672" i="3"/>
  <c r="C671" i="3"/>
  <c r="D671" i="3"/>
  <c r="AK671" i="3"/>
  <c r="AM671" i="3"/>
  <c r="S671" i="3"/>
  <c r="AD671" i="3"/>
  <c r="Q671" i="3"/>
  <c r="P671" i="3"/>
  <c r="O671" i="3"/>
  <c r="AE671" i="3"/>
  <c r="AF671" i="3"/>
  <c r="M671" i="3"/>
  <c r="U671" i="3"/>
  <c r="V671" i="3"/>
  <c r="R671" i="3"/>
  <c r="G671" i="3"/>
  <c r="H671" i="3"/>
  <c r="F671" i="3"/>
  <c r="T671" i="3"/>
  <c r="BQ667" i="3"/>
  <c r="BF667" i="3"/>
  <c r="BJ666" i="3"/>
  <c r="BK666" i="3"/>
  <c r="BB667" i="3"/>
  <c r="X670" i="3"/>
  <c r="AX669" i="3"/>
  <c r="AT669" i="3"/>
  <c r="AW669" i="3"/>
  <c r="BM670" i="3"/>
  <c r="AG670" i="3"/>
  <c r="AH670" i="3"/>
  <c r="AN670" i="3"/>
  <c r="BN671" i="3"/>
  <c r="BC668" i="3"/>
  <c r="BG668" i="3"/>
  <c r="BH668" i="3"/>
  <c r="BI668" i="3"/>
  <c r="BD667" i="3"/>
  <c r="BM671" i="3"/>
  <c r="AN671" i="3"/>
  <c r="AG671" i="3"/>
  <c r="Y671" i="3"/>
  <c r="Z671" i="3"/>
  <c r="AX670" i="3"/>
  <c r="BA669" i="3"/>
  <c r="AV669" i="3"/>
  <c r="A673" i="3"/>
  <c r="AR672" i="3"/>
  <c r="B672" i="3"/>
  <c r="AQ672" i="3"/>
  <c r="C672" i="3"/>
  <c r="D672" i="3"/>
  <c r="AK672" i="3"/>
  <c r="S672" i="3"/>
  <c r="R672" i="3"/>
  <c r="Q672" i="3"/>
  <c r="AD672" i="3"/>
  <c r="AM672" i="3"/>
  <c r="P672" i="3"/>
  <c r="O672" i="3"/>
  <c r="M672" i="3"/>
  <c r="AF672" i="3"/>
  <c r="V672" i="3"/>
  <c r="AE672" i="3"/>
  <c r="U672" i="3"/>
  <c r="F672" i="3"/>
  <c r="G672" i="3"/>
  <c r="H672" i="3"/>
  <c r="T672" i="3"/>
  <c r="BQ668" i="3"/>
  <c r="BB668" i="3"/>
  <c r="BF668" i="3"/>
  <c r="BJ667" i="3"/>
  <c r="BK667" i="3"/>
  <c r="AH671" i="3"/>
  <c r="AT670" i="3"/>
  <c r="AW670" i="3"/>
  <c r="AY669" i="3"/>
  <c r="AU670" i="3"/>
  <c r="AO671" i="3"/>
  <c r="X671" i="3"/>
  <c r="BD668" i="3"/>
  <c r="AT671" i="3"/>
  <c r="AY670" i="3"/>
  <c r="BM672" i="3"/>
  <c r="AW671" i="3"/>
  <c r="AN672" i="3"/>
  <c r="AU671" i="3"/>
  <c r="AG672" i="3"/>
  <c r="Y672" i="3"/>
  <c r="Z672" i="3"/>
  <c r="BC669" i="3"/>
  <c r="BD669" i="3"/>
  <c r="AV670" i="3"/>
  <c r="BA670" i="3"/>
  <c r="AR673" i="3"/>
  <c r="A674" i="3"/>
  <c r="AQ673" i="3"/>
  <c r="B673" i="3"/>
  <c r="C673" i="3"/>
  <c r="D673" i="3"/>
  <c r="AK673" i="3"/>
  <c r="AM673" i="3"/>
  <c r="S673" i="3"/>
  <c r="T673" i="3"/>
  <c r="Q673" i="3"/>
  <c r="R673" i="3"/>
  <c r="AD673" i="3"/>
  <c r="P673" i="3"/>
  <c r="O673" i="3"/>
  <c r="M673" i="3"/>
  <c r="AE673" i="3"/>
  <c r="U673" i="3"/>
  <c r="AF673" i="3"/>
  <c r="V673" i="3"/>
  <c r="G673" i="3"/>
  <c r="H673" i="3"/>
  <c r="F673" i="3"/>
  <c r="BB669" i="3"/>
  <c r="BF669" i="3"/>
  <c r="BJ668" i="3"/>
  <c r="BK668" i="3"/>
  <c r="BQ669" i="3"/>
  <c r="AH672" i="3"/>
  <c r="AX671" i="3"/>
  <c r="BN672" i="3"/>
  <c r="AO672" i="3"/>
  <c r="X672" i="3"/>
  <c r="BC670" i="3"/>
  <c r="BD670" i="3"/>
  <c r="AV671" i="3"/>
  <c r="BA671" i="3"/>
  <c r="BB671" i="3"/>
  <c r="BM673" i="3"/>
  <c r="AN673" i="3"/>
  <c r="AX672" i="3"/>
  <c r="AU672" i="3"/>
  <c r="BG669" i="3"/>
  <c r="BH669" i="3"/>
  <c r="BI669" i="3"/>
  <c r="AY671" i="3"/>
  <c r="Y673" i="3"/>
  <c r="Z673" i="3"/>
  <c r="AR674" i="3"/>
  <c r="B674" i="3"/>
  <c r="AQ674" i="3"/>
  <c r="A675" i="3"/>
  <c r="C674" i="3"/>
  <c r="R674" i="3"/>
  <c r="AM674" i="3"/>
  <c r="D674" i="3"/>
  <c r="AK674" i="3"/>
  <c r="S674" i="3"/>
  <c r="P674" i="3"/>
  <c r="AD674" i="3"/>
  <c r="O674" i="3"/>
  <c r="M674" i="3"/>
  <c r="AE674" i="3"/>
  <c r="AF674" i="3"/>
  <c r="V674" i="3"/>
  <c r="U674" i="3"/>
  <c r="Q674" i="3"/>
  <c r="G674" i="3"/>
  <c r="H674" i="3"/>
  <c r="F674" i="3"/>
  <c r="T674" i="3"/>
  <c r="BQ670" i="3"/>
  <c r="BB670" i="3"/>
  <c r="BF670" i="3"/>
  <c r="BJ669" i="3"/>
  <c r="BK669" i="3"/>
  <c r="AT672" i="3"/>
  <c r="AW672" i="3"/>
  <c r="BN673" i="3"/>
  <c r="AG673" i="3"/>
  <c r="AH673" i="3"/>
  <c r="AO673" i="3"/>
  <c r="X673" i="3"/>
  <c r="BN674" i="3"/>
  <c r="BG670" i="3"/>
  <c r="BH670" i="3"/>
  <c r="BI670" i="3"/>
  <c r="BC671" i="3"/>
  <c r="BD671" i="3"/>
  <c r="AO674" i="3"/>
  <c r="AY672" i="3"/>
  <c r="BQ671" i="3"/>
  <c r="BF671" i="3"/>
  <c r="BJ670" i="3"/>
  <c r="BK670" i="3"/>
  <c r="AU673" i="3"/>
  <c r="AG674" i="3"/>
  <c r="X674" i="3"/>
  <c r="BM674" i="3"/>
  <c r="BA672" i="3"/>
  <c r="AV672" i="3"/>
  <c r="A676" i="3"/>
  <c r="AQ675" i="3"/>
  <c r="AR675" i="3"/>
  <c r="B675" i="3"/>
  <c r="D675" i="3"/>
  <c r="T675" i="3"/>
  <c r="S675" i="3"/>
  <c r="C675" i="3"/>
  <c r="AM675" i="3"/>
  <c r="Q675" i="3"/>
  <c r="R675" i="3"/>
  <c r="AK675" i="3"/>
  <c r="AD675" i="3"/>
  <c r="P675" i="3"/>
  <c r="O675" i="3"/>
  <c r="M675" i="3"/>
  <c r="AF675" i="3"/>
  <c r="AE675" i="3"/>
  <c r="V675" i="3"/>
  <c r="U675" i="3"/>
  <c r="G675" i="3"/>
  <c r="H675" i="3"/>
  <c r="F675" i="3"/>
  <c r="AW673" i="3"/>
  <c r="AN674" i="3"/>
  <c r="AT673" i="3"/>
  <c r="AX673" i="3"/>
  <c r="Y674" i="3"/>
  <c r="Z674" i="3"/>
  <c r="AH674" i="3"/>
  <c r="BN675" i="3"/>
  <c r="BG671" i="3"/>
  <c r="BH671" i="3"/>
  <c r="BI671" i="3"/>
  <c r="BM675" i="3"/>
  <c r="BC672" i="3"/>
  <c r="BG672" i="3"/>
  <c r="BH672" i="3"/>
  <c r="BI672" i="3"/>
  <c r="AO675" i="3"/>
  <c r="AW674" i="3"/>
  <c r="AG675" i="3"/>
  <c r="AV673" i="3"/>
  <c r="BA673" i="3"/>
  <c r="Y675" i="3"/>
  <c r="Z675" i="3"/>
  <c r="AQ676" i="3"/>
  <c r="AR676" i="3"/>
  <c r="B676" i="3"/>
  <c r="D676" i="3"/>
  <c r="C676" i="3"/>
  <c r="AK676" i="3"/>
  <c r="T676" i="3"/>
  <c r="S676" i="3"/>
  <c r="AM676" i="3"/>
  <c r="R676" i="3"/>
  <c r="Q676" i="3"/>
  <c r="AD676" i="3"/>
  <c r="P676" i="3"/>
  <c r="O676" i="3"/>
  <c r="AE676" i="3"/>
  <c r="M676" i="3"/>
  <c r="AF676" i="3"/>
  <c r="U676" i="3"/>
  <c r="V676" i="3"/>
  <c r="F676" i="3"/>
  <c r="G676" i="3"/>
  <c r="H676" i="3"/>
  <c r="BF672" i="3"/>
  <c r="BJ671" i="3"/>
  <c r="BK671" i="3"/>
  <c r="BB672" i="3"/>
  <c r="BQ672" i="3"/>
  <c r="X675" i="3"/>
  <c r="AX674" i="3"/>
  <c r="AU674" i="3"/>
  <c r="AY673" i="3"/>
  <c r="AH675" i="3"/>
  <c r="AN675" i="3"/>
  <c r="AT674" i="3"/>
  <c r="BD672" i="3"/>
  <c r="AY674" i="3"/>
  <c r="BN676" i="3"/>
  <c r="AN676" i="3"/>
  <c r="AV674" i="3"/>
  <c r="BA674" i="3"/>
  <c r="AT675" i="3"/>
  <c r="AX675" i="3"/>
  <c r="Y676" i="3"/>
  <c r="Z676" i="3"/>
  <c r="BB673" i="3"/>
  <c r="BF673" i="3"/>
  <c r="BJ672" i="3"/>
  <c r="BK672" i="3"/>
  <c r="BQ673" i="3"/>
  <c r="AU675" i="3"/>
  <c r="AW675" i="3"/>
  <c r="AG676" i="3"/>
  <c r="X676" i="3"/>
  <c r="BC673" i="3"/>
  <c r="BM676" i="3"/>
  <c r="AH676" i="3"/>
  <c r="AO676" i="3"/>
  <c r="BC674" i="3"/>
  <c r="BG674" i="3"/>
  <c r="BH674" i="3"/>
  <c r="BI674" i="3"/>
  <c r="AY675" i="3"/>
  <c r="AX676" i="3"/>
  <c r="AT676" i="3"/>
  <c r="BD673" i="3"/>
  <c r="BG673" i="3"/>
  <c r="BH673" i="3"/>
  <c r="BI673" i="3"/>
  <c r="BB674" i="3"/>
  <c r="BQ674" i="3"/>
  <c r="BF674" i="3"/>
  <c r="BJ673" i="3"/>
  <c r="BK673" i="3"/>
  <c r="BA675" i="3"/>
  <c r="AU676" i="3"/>
  <c r="AW676" i="3"/>
  <c r="AV675" i="3"/>
  <c r="BD674" i="3"/>
  <c r="BC675" i="3"/>
  <c r="BD675" i="3"/>
  <c r="AY676" i="3"/>
  <c r="AV676" i="3"/>
  <c r="BQ675" i="3"/>
  <c r="BB675" i="3"/>
  <c r="BF675" i="3"/>
  <c r="BJ674" i="3"/>
  <c r="BK674" i="3"/>
  <c r="BA676" i="3"/>
  <c r="BG675" i="3"/>
  <c r="BH675" i="3"/>
  <c r="BI675" i="3"/>
  <c r="BC676" i="3"/>
  <c r="BG676" i="3"/>
  <c r="BH676" i="3"/>
  <c r="BI676" i="3"/>
  <c r="BQ676" i="3"/>
  <c r="BB676" i="3"/>
  <c r="BF676" i="3"/>
  <c r="BD676" i="3"/>
  <c r="BJ676" i="3"/>
  <c r="BK676" i="3"/>
  <c r="BJ675" i="3"/>
  <c r="BK675" i="3"/>
  <c r="H159" i="8"/>
  <c r="H158" i="8"/>
  <c r="H157" i="8"/>
  <c r="H156" i="8"/>
  <c r="H155" i="8"/>
  <c r="H154" i="8"/>
  <c r="H153" i="8"/>
  <c r="H152" i="8"/>
  <c r="H151" i="8"/>
  <c r="H150" i="8"/>
  <c r="H149" i="8"/>
  <c r="H148" i="8"/>
  <c r="H147" i="8"/>
  <c r="H146" i="8"/>
  <c r="H145" i="8"/>
  <c r="H144" i="8"/>
  <c r="H143" i="8"/>
  <c r="H142" i="8"/>
  <c r="H141" i="8"/>
  <c r="H140" i="8"/>
  <c r="H139" i="8"/>
  <c r="H138" i="8"/>
  <c r="H137" i="8"/>
  <c r="H136" i="8"/>
  <c r="H135" i="8"/>
  <c r="H134" i="8"/>
  <c r="H133" i="8"/>
  <c r="H132" i="8"/>
  <c r="H131" i="8"/>
  <c r="H130" i="8"/>
  <c r="H129" i="8"/>
  <c r="H128" i="8"/>
  <c r="H127" i="8"/>
  <c r="H126" i="8"/>
  <c r="H125" i="8"/>
  <c r="H124" i="8"/>
  <c r="H123" i="8"/>
  <c r="H122" i="8"/>
  <c r="H121" i="8"/>
  <c r="H120" i="8"/>
  <c r="H119" i="8"/>
  <c r="H118" i="8"/>
  <c r="H117" i="8"/>
  <c r="H116" i="8"/>
  <c r="H115" i="8"/>
  <c r="H114" i="8"/>
  <c r="H113" i="8"/>
  <c r="H112" i="8"/>
  <c r="H111" i="8"/>
  <c r="H110" i="8"/>
  <c r="H109" i="8"/>
  <c r="H108" i="8"/>
  <c r="H107" i="8"/>
  <c r="H106" i="8"/>
  <c r="H105" i="8"/>
  <c r="H104" i="8"/>
  <c r="H103" i="8"/>
  <c r="H102" i="8"/>
  <c r="H101" i="8"/>
  <c r="H100" i="8"/>
  <c r="H99" i="8"/>
  <c r="H98" i="8"/>
  <c r="H97" i="8"/>
  <c r="H96" i="8"/>
  <c r="H95" i="8"/>
  <c r="H94" i="8"/>
  <c r="H93" i="8"/>
  <c r="H92" i="8"/>
  <c r="H91" i="8"/>
  <c r="H90" i="8"/>
  <c r="H89" i="8"/>
  <c r="H88" i="8"/>
  <c r="H87" i="8"/>
  <c r="H86" i="8"/>
  <c r="H85" i="8"/>
  <c r="H84" i="8"/>
  <c r="H83" i="8"/>
  <c r="H82" i="8"/>
  <c r="H81" i="8"/>
  <c r="H80" i="8"/>
  <c r="H79" i="8"/>
  <c r="H78" i="8"/>
  <c r="H77" i="8"/>
  <c r="H76" i="8"/>
  <c r="H75" i="8"/>
  <c r="H74" i="8"/>
  <c r="H73" i="8"/>
  <c r="H72" i="8"/>
  <c r="H71" i="8"/>
  <c r="H70" i="8"/>
  <c r="H69" i="8"/>
  <c r="H68" i="8"/>
  <c r="H67" i="8"/>
  <c r="H66" i="8"/>
  <c r="H65" i="8"/>
  <c r="H64" i="8"/>
  <c r="H63" i="8"/>
  <c r="H62" i="8"/>
  <c r="H61" i="8"/>
  <c r="H60" i="8"/>
  <c r="H59" i="8"/>
  <c r="H58" i="8"/>
  <c r="H57" i="8"/>
  <c r="H56" i="8"/>
  <c r="H55" i="8"/>
  <c r="H54" i="8"/>
  <c r="H53" i="8"/>
  <c r="H52" i="8"/>
  <c r="H51" i="8"/>
  <c r="H50" i="8"/>
  <c r="H49" i="8"/>
  <c r="H48" i="8"/>
  <c r="H47" i="8"/>
  <c r="H46" i="8"/>
  <c r="H45" i="8"/>
  <c r="H44" i="8"/>
  <c r="H43" i="8"/>
  <c r="H42" i="8"/>
  <c r="H41" i="8"/>
  <c r="H40" i="8"/>
  <c r="H39" i="8"/>
  <c r="H38" i="8"/>
  <c r="H37" i="8"/>
  <c r="H36" i="8"/>
  <c r="H35" i="8"/>
  <c r="H34" i="8"/>
  <c r="H33" i="8"/>
  <c r="H32" i="8"/>
  <c r="H31" i="8"/>
  <c r="H30" i="8"/>
  <c r="H29" i="8"/>
  <c r="H28" i="8"/>
  <c r="H27" i="8"/>
  <c r="H26" i="8"/>
  <c r="H25" i="8"/>
  <c r="H24" i="8"/>
  <c r="H23" i="8"/>
  <c r="H22" i="8"/>
  <c r="H21" i="8"/>
  <c r="H20" i="8"/>
  <c r="H19" i="8"/>
  <c r="H18" i="8"/>
  <c r="H17" i="8"/>
  <c r="H16" i="8"/>
  <c r="H15" i="8"/>
  <c r="H14" i="8"/>
  <c r="H13" i="8"/>
  <c r="H12" i="8"/>
  <c r="H11" i="8"/>
  <c r="H10" i="8"/>
  <c r="H9" i="8"/>
  <c r="H8" i="8"/>
  <c r="H7" i="8"/>
  <c r="H6" i="8"/>
  <c r="H4" i="8"/>
  <c r="S23" i="8"/>
  <c r="B65" i="2"/>
  <c r="B270" i="2"/>
  <c r="D42" i="16"/>
  <c r="C270" i="2"/>
  <c r="B266" i="2"/>
  <c r="C266" i="2"/>
  <c r="R12" i="8"/>
  <c r="S6" i="8"/>
  <c r="B56" i="2"/>
  <c r="C42" i="16"/>
  <c r="B264" i="2"/>
  <c r="B268" i="2"/>
  <c r="A264" i="2"/>
  <c r="C264" i="2"/>
  <c r="E25" i="1"/>
  <c r="C54" i="16"/>
  <c r="D54" i="16"/>
  <c r="C268" i="2"/>
  <c r="D59"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BDATSC</author>
  </authors>
  <commentList>
    <comment ref="A3" authorId="0" shapeId="0" xr:uid="{00000000-0006-0000-0000-000001000000}">
      <text>
        <r>
          <rPr>
            <b/>
            <sz val="11"/>
            <color indexed="10"/>
            <rFont val="Tahoma"/>
            <family val="2"/>
          </rPr>
          <t>Welcome to the LM(2)5145/6/-Q1 Design Tool!</t>
        </r>
        <r>
          <rPr>
            <sz val="9"/>
            <color indexed="81"/>
            <rFont val="Tahoma"/>
            <family val="2"/>
          </rPr>
          <t xml:space="preserve">
This stand-alone tool facilitates and assists the power supply engineer with design of a DC-DC buck regulator based on the </t>
        </r>
        <r>
          <rPr>
            <b/>
            <sz val="9"/>
            <color indexed="81"/>
            <rFont val="Tahoma"/>
            <family val="2"/>
          </rPr>
          <t>LM(2)5145/6/-Q1 synchronous buck controller</t>
        </r>
        <r>
          <rPr>
            <sz val="9"/>
            <color indexed="81"/>
            <rFont val="Tahoma"/>
            <family val="2"/>
          </rPr>
          <t xml:space="preserve">. As such, the user can expeditiously arrive at an optimized design by virtue of the following:
- Determine buck inductance, input and output capacitances
- Select components for switching frequency, soft-start, UVLO, and OCP
- Optimize compensation values and pole/zero placement in terms of control loop stability using crossover frquency as a performance metric
- Inspect regulator efficiency and component power dissipation
- Analyze efficiency based on selected MOSFET parameters
- Review auto-generated schematic and BOM list
</t>
        </r>
        <r>
          <rPr>
            <b/>
            <sz val="9"/>
            <color indexed="81"/>
            <rFont val="Tahoma"/>
            <family val="2"/>
          </rPr>
          <t>IMPORTANT:</t>
        </r>
        <r>
          <rPr>
            <sz val="9"/>
            <color indexed="81"/>
            <rFont val="Tahoma"/>
            <family val="2"/>
          </rPr>
          <t xml:space="preserve"> You must enable macros if Microsoft Excel asks as the file is being opened. U.S. English notation is used throughout.</t>
        </r>
        <r>
          <rPr>
            <b/>
            <sz val="9"/>
            <color indexed="81"/>
            <rFont val="Tahoma"/>
            <family val="2"/>
          </rPr>
          <t xml:space="preserve"> </t>
        </r>
        <r>
          <rPr>
            <b/>
            <u/>
            <sz val="9"/>
            <color indexed="81"/>
            <rFont val="Tahoma"/>
            <family val="2"/>
          </rPr>
          <t>Also, set Windows zoom factor to 100% for correct schematic viewing.</t>
        </r>
        <r>
          <rPr>
            <sz val="9"/>
            <color indexed="81"/>
            <rFont val="Tahoma"/>
            <family val="2"/>
          </rPr>
          <t xml:space="preserve">
</t>
        </r>
        <r>
          <rPr>
            <u/>
            <sz val="9"/>
            <color indexed="12"/>
            <rFont val="Tahoma"/>
            <family val="2"/>
          </rPr>
          <t>www.ti.com/widevin</t>
        </r>
        <r>
          <rPr>
            <sz val="9"/>
            <color indexed="81"/>
            <rFont val="Tahoma"/>
            <family val="2"/>
          </rPr>
          <t xml:space="preserve">
</t>
        </r>
        <r>
          <rPr>
            <b/>
            <sz val="9"/>
            <color indexed="81"/>
            <rFont val="Tahoma"/>
            <family val="2"/>
          </rPr>
          <t xml:space="preserve">
Rev. A1 2021, Timothy J. Hegarty, Texas Instruments, Inc.</t>
        </r>
      </text>
    </comment>
    <comment ref="O3" authorId="0" shapeId="0" xr:uid="{00000000-0006-0000-0000-000002000000}">
      <text>
        <r>
          <rPr>
            <b/>
            <u/>
            <sz val="11"/>
            <color indexed="10"/>
            <rFont val="Tahoma"/>
            <family val="2"/>
          </rPr>
          <t>Texas Instruments</t>
        </r>
        <r>
          <rPr>
            <sz val="11"/>
            <color indexed="10"/>
            <rFont val="Tahoma"/>
            <family val="2"/>
          </rPr>
          <t>:</t>
        </r>
        <r>
          <rPr>
            <sz val="9"/>
            <color indexed="81"/>
            <rFont val="Tahoma"/>
            <family val="2"/>
          </rPr>
          <t xml:space="preserve">
</t>
        </r>
        <r>
          <rPr>
            <b/>
            <sz val="9"/>
            <color indexed="81"/>
            <rFont val="Tahoma"/>
            <family val="2"/>
          </rPr>
          <t>Limited Use Policy</t>
        </r>
        <r>
          <rPr>
            <sz val="9"/>
            <color indexed="81"/>
            <rFont val="Tahoma"/>
            <family val="2"/>
          </rPr>
          <t xml:space="preserve">
You must treat this software and documentation like any other copyrighted material.
</t>
        </r>
        <r>
          <rPr>
            <b/>
            <sz val="9"/>
            <color indexed="81"/>
            <rFont val="Tahoma"/>
            <family val="2"/>
          </rPr>
          <t>You may not:</t>
        </r>
        <r>
          <rPr>
            <sz val="9"/>
            <color indexed="81"/>
            <rFont val="Tahoma"/>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LM(2)5145/6/-Q1 product datasheets and EVM user's guides for more details.
</t>
        </r>
        <r>
          <rPr>
            <b/>
            <sz val="9"/>
            <color indexed="81"/>
            <rFont val="Tahoma"/>
            <family val="2"/>
          </rPr>
          <t>Rev. A1, Timothy J. Hegarty, Texas Instruments, Inc.</t>
        </r>
      </text>
    </comment>
    <comment ref="E6" authorId="0" shapeId="0" xr:uid="{00000000-0006-0000-0000-000003000000}">
      <text>
        <r>
          <rPr>
            <b/>
            <u/>
            <sz val="9"/>
            <color indexed="81"/>
            <rFont val="Tahoma"/>
            <family val="2"/>
          </rPr>
          <t>Minimum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(LM25145), 75V (LM5145) or 100V (LM5146)</t>
        </r>
        <r>
          <rPr>
            <sz val="9"/>
            <color indexed="81"/>
            <rFont val="Tahoma"/>
            <family val="2"/>
          </rPr>
          <t xml:space="preserve">
-The input voltage is below </t>
        </r>
        <r>
          <rPr>
            <b/>
            <sz val="9"/>
            <color indexed="10"/>
            <rFont val="Tahoma"/>
            <family val="2"/>
          </rPr>
          <t>5.5V (LM5146) or 6V (LM25145, LM5145)
-</t>
        </r>
        <r>
          <rPr>
            <sz val="9"/>
            <color indexed="81"/>
            <rFont val="Tahoma"/>
            <family val="2"/>
          </rPr>
          <t xml:space="preserve">The minimum PWM off-time of </t>
        </r>
        <r>
          <rPr>
            <b/>
            <sz val="9"/>
            <color indexed="10"/>
            <rFont val="Tahoma"/>
            <family val="2"/>
          </rPr>
          <t>140ns</t>
        </r>
        <r>
          <rPr>
            <sz val="9"/>
            <color indexed="81"/>
            <rFont val="Tahoma"/>
            <family val="2"/>
          </rPr>
          <t xml:space="preserve"> is reached</t>
        </r>
      </text>
    </comment>
    <comment ref="E7" authorId="0" shapeId="0" xr:uid="{00000000-0006-0000-0000-000004000000}">
      <text>
        <r>
          <rPr>
            <b/>
            <u/>
            <sz val="9"/>
            <color indexed="81"/>
            <rFont val="Tahoma"/>
            <family val="2"/>
          </rPr>
          <t>Nominal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(LM25145), 75V (LM5145) or 100V (LM5146)</t>
        </r>
        <r>
          <rPr>
            <sz val="9"/>
            <color indexed="81"/>
            <rFont val="Tahoma"/>
            <family val="2"/>
          </rPr>
          <t xml:space="preserve">
-The input voltage is below </t>
        </r>
        <r>
          <rPr>
            <b/>
            <sz val="9"/>
            <color indexed="10"/>
            <rFont val="Tahoma"/>
            <family val="2"/>
          </rPr>
          <t>5.5V (LM5146) or 6V (LM25145, LM5145)</t>
        </r>
      </text>
    </comment>
    <comment ref="E8" authorId="0" shapeId="0" xr:uid="{00000000-0006-0000-0000-000005000000}">
      <text>
        <r>
          <rPr>
            <b/>
            <u/>
            <sz val="9"/>
            <color indexed="81"/>
            <rFont val="Tahoma"/>
            <family val="2"/>
          </rPr>
          <t>Maximum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(LM@5145), 75V (LM5145) or 100V (LM5146)</t>
        </r>
        <r>
          <rPr>
            <sz val="9"/>
            <color indexed="81"/>
            <rFont val="Tahoma"/>
            <family val="2"/>
          </rPr>
          <t xml:space="preserve">
-The input voltage is below </t>
        </r>
        <r>
          <rPr>
            <b/>
            <sz val="9"/>
            <color indexed="10"/>
            <rFont val="Tahoma"/>
            <family val="2"/>
          </rPr>
          <t xml:space="preserve">5.5V (LM5146) or 6V (LM25145, LM5145)
</t>
        </r>
        <r>
          <rPr>
            <sz val="9"/>
            <color indexed="81"/>
            <rFont val="Tahoma"/>
            <family val="2"/>
          </rPr>
          <t xml:space="preserve">-The minimum PWM on-time of </t>
        </r>
        <r>
          <rPr>
            <b/>
            <sz val="9"/>
            <color indexed="10"/>
            <rFont val="Tahoma"/>
            <family val="2"/>
          </rPr>
          <t>40ns</t>
        </r>
        <r>
          <rPr>
            <sz val="9"/>
            <color indexed="81"/>
            <rFont val="Tahoma"/>
            <family val="2"/>
          </rPr>
          <t xml:space="preserve"> is reached</t>
        </r>
      </text>
    </comment>
    <comment ref="E9" authorId="0" shapeId="0" xr:uid="{00000000-0006-0000-0000-000006000000}">
      <text>
        <r>
          <rPr>
            <b/>
            <u/>
            <sz val="9"/>
            <color indexed="81"/>
            <rFont val="Tahoma"/>
            <family val="2"/>
          </rPr>
          <t>Output Voltage</t>
        </r>
        <r>
          <rPr>
            <b/>
            <sz val="9"/>
            <color indexed="81"/>
            <rFont val="Tahoma"/>
            <family val="2"/>
          </rPr>
          <t xml:space="preserve">:
</t>
        </r>
        <r>
          <rPr>
            <sz val="9"/>
            <color indexed="81"/>
            <rFont val="Tahoma"/>
            <family val="2"/>
          </rPr>
          <t>Enter the desired output voltage.</t>
        </r>
        <r>
          <rPr>
            <b/>
            <sz val="9"/>
            <color indexed="81"/>
            <rFont val="Tahoma"/>
            <family val="2"/>
          </rPr>
          <t xml:space="preserve">
</t>
        </r>
        <r>
          <rPr>
            <sz val="9"/>
            <color indexed="81"/>
            <rFont val="Tahoma"/>
            <family val="2"/>
          </rPr>
          <t>The text in this cell is red if:</t>
        </r>
        <r>
          <rPr>
            <b/>
            <sz val="9"/>
            <color indexed="81"/>
            <rFont val="Tahoma"/>
            <family val="2"/>
          </rPr>
          <t xml:space="preserve">
</t>
        </r>
        <r>
          <rPr>
            <b/>
            <sz val="9"/>
            <color indexed="10"/>
            <rFont val="Tahoma"/>
            <family val="2"/>
          </rPr>
          <t>-The output voltage is above the nominal input voltage 
-The output voltage is below 0.8V
-The output voltage is above 42V (LM25145) and 60V (LM5145, LM5146)</t>
        </r>
      </text>
    </comment>
    <comment ref="E11" authorId="0" shapeId="0" xr:uid="{00000000-0006-0000-0000-000007000000}">
      <text>
        <r>
          <rPr>
            <b/>
            <u/>
            <sz val="9"/>
            <color indexed="81"/>
            <rFont val="Tahoma"/>
            <family val="2"/>
          </rPr>
          <t>Operating Frequency</t>
        </r>
        <r>
          <rPr>
            <b/>
            <sz val="9"/>
            <color indexed="81"/>
            <rFont val="Tahoma"/>
            <family val="2"/>
          </rPr>
          <t xml:space="preserve"> (set by R</t>
        </r>
        <r>
          <rPr>
            <b/>
            <vertAlign val="subscript"/>
            <sz val="9"/>
            <color indexed="81"/>
            <rFont val="Tahoma"/>
            <family val="2"/>
          </rPr>
          <t>FADJ</t>
        </r>
        <r>
          <rPr>
            <b/>
            <sz val="9"/>
            <color indexed="81"/>
            <rFont val="Tahoma"/>
            <family val="2"/>
          </rPr>
          <t>):</t>
        </r>
        <r>
          <rPr>
            <sz val="9"/>
            <color indexed="81"/>
            <rFont val="Tahoma"/>
            <family val="2"/>
          </rPr>
          <t xml:space="preserve">
This cell defines the free running frequency set by the R</t>
        </r>
        <r>
          <rPr>
            <vertAlign val="subscript"/>
            <sz val="9"/>
            <color indexed="81"/>
            <rFont val="Tahoma"/>
            <family val="2"/>
          </rPr>
          <t>RT</t>
        </r>
        <r>
          <rPr>
            <sz val="9"/>
            <color indexed="81"/>
            <rFont val="Tahoma"/>
            <family val="2"/>
          </rPr>
          <t xml:space="preserve"> resistor. 
</t>
        </r>
        <r>
          <rPr>
            <b/>
            <sz val="9"/>
            <color indexed="81"/>
            <rFont val="Tahoma"/>
            <family val="2"/>
          </rPr>
          <t xml:space="preserve">The text in this cell is blue if:
</t>
        </r>
        <r>
          <rPr>
            <b/>
            <sz val="9"/>
            <color indexed="39"/>
            <rFont val="Tahoma"/>
            <family val="2"/>
          </rPr>
          <t>-The SYNC frequency is not with -20% to +50% of the free-running frequency set by R</t>
        </r>
        <r>
          <rPr>
            <b/>
            <vertAlign val="subscript"/>
            <sz val="9"/>
            <color indexed="39"/>
            <rFont val="Tahoma"/>
            <family val="2"/>
          </rPr>
          <t>RT</t>
        </r>
        <r>
          <rPr>
            <b/>
            <sz val="9"/>
            <color indexed="39"/>
            <rFont val="Tahoma"/>
            <family val="2"/>
          </rPr>
          <t>.</t>
        </r>
        <r>
          <rPr>
            <sz val="9"/>
            <color indexed="81"/>
            <rFont val="Tahoma"/>
            <family val="2"/>
          </rPr>
          <t xml:space="preserve">
</t>
        </r>
        <r>
          <rPr>
            <b/>
            <sz val="9"/>
            <color indexed="81"/>
            <rFont val="Tahoma"/>
            <family val="2"/>
          </rPr>
          <t xml:space="preserve">The text in this cell is red if:
</t>
        </r>
        <r>
          <rPr>
            <b/>
            <sz val="9"/>
            <color indexed="10"/>
            <rFont val="Tahoma"/>
            <family val="2"/>
          </rPr>
          <t>-The frequency is below 100 kHz
-The frequency is above 1 MHz</t>
        </r>
        <r>
          <rPr>
            <sz val="11"/>
            <color indexed="81"/>
            <rFont val="Tahoma"/>
            <family val="2"/>
          </rPr>
          <t xml:space="preserve">
</t>
        </r>
      </text>
    </comment>
    <comment ref="E12" authorId="0" shapeId="0" xr:uid="{00000000-0006-0000-0000-000008000000}">
      <text>
        <r>
          <rPr>
            <b/>
            <u/>
            <sz val="9"/>
            <color indexed="81"/>
            <rFont val="Tahoma"/>
            <family val="2"/>
          </rPr>
          <t>Operating SYNC Frequency</t>
        </r>
        <r>
          <rPr>
            <b/>
            <sz val="9"/>
            <color indexed="81"/>
            <rFont val="Tahoma"/>
            <family val="2"/>
          </rPr>
          <t xml:space="preserve">:
</t>
        </r>
        <r>
          <rPr>
            <sz val="9"/>
            <color indexed="81"/>
            <rFont val="Tahoma"/>
            <family val="2"/>
          </rPr>
          <t>This frequency sets the switching frequency the LM5146 should synchronize to. If SYNC is not used, the SYNCIN pin should be grounded for DCM or tied high (to VCC) for CCM, and the free-running frequency should be inserted here.</t>
        </r>
        <r>
          <rPr>
            <b/>
            <sz val="9"/>
            <color indexed="81"/>
            <rFont val="Tahoma"/>
            <family val="2"/>
          </rPr>
          <t xml:space="preserve">
The text in this cell is blue if 
</t>
        </r>
        <r>
          <rPr>
            <b/>
            <sz val="9"/>
            <color indexed="39"/>
            <rFont val="Tahoma"/>
            <family val="2"/>
          </rPr>
          <t>-The SYNC frequency is greater than 150% or less than 80% of the frequency set by R</t>
        </r>
        <r>
          <rPr>
            <b/>
            <vertAlign val="subscript"/>
            <sz val="9"/>
            <color indexed="39"/>
            <rFont val="Tahoma"/>
            <family val="2"/>
          </rPr>
          <t>RT</t>
        </r>
        <r>
          <rPr>
            <b/>
            <sz val="9"/>
            <color indexed="39"/>
            <rFont val="Tahoma"/>
            <family val="2"/>
          </rPr>
          <t>.
If the SYNC frequency is outside the applicable range, Fsw defaults in this tool to the free-running frequency value.</t>
        </r>
        <r>
          <rPr>
            <b/>
            <sz val="9"/>
            <color indexed="81"/>
            <rFont val="Tahoma"/>
            <family val="2"/>
          </rPr>
          <t xml:space="preserve">
The text in this cell is red if:
</t>
        </r>
        <r>
          <rPr>
            <b/>
            <sz val="9"/>
            <color indexed="10"/>
            <rFont val="Tahoma"/>
            <family val="2"/>
          </rPr>
          <t>- The frequency is below 100 kHz;
- The frequency is above 1 MHz;
- The frequency is not within -20% to +50% of the programmed frequency (set by the R</t>
        </r>
        <r>
          <rPr>
            <b/>
            <vertAlign val="subscript"/>
            <sz val="9"/>
            <color indexed="10"/>
            <rFont val="Tahoma"/>
            <family val="2"/>
          </rPr>
          <t>RT</t>
        </r>
        <r>
          <rPr>
            <b/>
            <sz val="9"/>
            <color indexed="10"/>
            <rFont val="Tahoma"/>
            <family val="2"/>
          </rPr>
          <t xml:space="preserve"> resistor).</t>
        </r>
      </text>
    </comment>
    <comment ref="E17" authorId="0" shapeId="0" xr:uid="{00000000-0006-0000-0000-000009000000}">
      <text>
        <r>
          <rPr>
            <b/>
            <sz val="9"/>
            <color indexed="81"/>
            <rFont val="Tahoma"/>
            <family val="2"/>
          </rPr>
          <t>L</t>
        </r>
        <r>
          <rPr>
            <b/>
            <vertAlign val="subscript"/>
            <sz val="9"/>
            <color indexed="81"/>
            <rFont val="Tahoma"/>
            <family val="2"/>
          </rPr>
          <t>F</t>
        </r>
        <r>
          <rPr>
            <b/>
            <sz val="9"/>
            <color indexed="81"/>
            <rFont val="Tahoma"/>
            <family val="2"/>
          </rPr>
          <t xml:space="preserve">:
</t>
        </r>
        <r>
          <rPr>
            <sz val="9"/>
            <color indexed="81"/>
            <rFont val="Tahoma"/>
            <family val="2"/>
          </rPr>
          <t>Enter the output filter inductance here. Target inductor (peak-to-peak) ripple currrent is 30-50% of the DC full load current.</t>
        </r>
      </text>
    </comment>
    <comment ref="E18" authorId="0" shapeId="0" xr:uid="{00000000-0006-0000-0000-00000A000000}">
      <text>
        <r>
          <rPr>
            <b/>
            <u/>
            <sz val="9"/>
            <color indexed="81"/>
            <rFont val="Tahoma"/>
            <family val="2"/>
          </rPr>
          <t>Inductor DCR</t>
        </r>
        <r>
          <rPr>
            <b/>
            <sz val="9"/>
            <color indexed="81"/>
            <rFont val="Tahoma"/>
            <family val="2"/>
          </rPr>
          <t xml:space="preserve">:
</t>
        </r>
        <r>
          <rPr>
            <sz val="9"/>
            <color indexed="81"/>
            <rFont val="Tahoma"/>
            <family val="2"/>
          </rPr>
          <t>Enter the inductor DC resistance here. This is typically specified in the inductor datasheet at 25°C copper temperature.</t>
        </r>
      </text>
    </comment>
    <comment ref="E25" authorId="0" shapeId="0" xr:uid="{00000000-0006-0000-0000-00000B000000}">
      <text>
        <r>
          <rPr>
            <b/>
            <sz val="9"/>
            <color indexed="81"/>
            <rFont val="Tahoma"/>
            <family val="2"/>
          </rPr>
          <t>R</t>
        </r>
        <r>
          <rPr>
            <b/>
            <vertAlign val="subscript"/>
            <sz val="9"/>
            <color indexed="81"/>
            <rFont val="Tahoma"/>
            <family val="2"/>
          </rPr>
          <t>ILIM</t>
        </r>
        <r>
          <rPr>
            <b/>
            <sz val="9"/>
            <color indexed="81"/>
            <rFont val="Tahoma"/>
            <family val="2"/>
          </rPr>
          <t>:</t>
        </r>
        <r>
          <rPr>
            <sz val="9"/>
            <color indexed="81"/>
            <rFont val="Tahoma"/>
            <family val="2"/>
          </rPr>
          <t xml:space="preserve">
This resistor is used to set the overcurrent protection. As such, the calculation takes the required current limit setpoint, the inductor ripple current amplitude and the MOSFET RDS(on) or shunt resistance to calculate </t>
        </r>
        <r>
          <rPr>
            <b/>
            <sz val="9"/>
            <color indexed="81"/>
            <rFont val="Tahoma"/>
            <family val="2"/>
          </rPr>
          <t>R</t>
        </r>
        <r>
          <rPr>
            <b/>
            <vertAlign val="subscript"/>
            <sz val="9"/>
            <color indexed="81"/>
            <rFont val="Tahoma"/>
            <family val="2"/>
          </rPr>
          <t>ILIM</t>
        </r>
        <r>
          <rPr>
            <sz val="9"/>
            <color indexed="81"/>
            <rFont val="Tahoma"/>
            <family val="2"/>
          </rPr>
          <t>.</t>
        </r>
      </text>
    </comment>
    <comment ref="E30" authorId="0" shapeId="0" xr:uid="{00000000-0006-0000-0000-00000C000000}">
      <text>
        <r>
          <rPr>
            <b/>
            <u/>
            <sz val="9"/>
            <color indexed="81"/>
            <rFont val="Tahoma"/>
            <family val="2"/>
          </rPr>
          <t>Output Voltage Ripple</t>
        </r>
        <r>
          <rPr>
            <b/>
            <sz val="9"/>
            <color indexed="81"/>
            <rFont val="Tahoma"/>
            <family val="2"/>
          </rPr>
          <t xml:space="preserve">:
</t>
        </r>
        <r>
          <rPr>
            <sz val="9"/>
            <color indexed="81"/>
            <rFont val="Tahoma"/>
            <family val="2"/>
          </rPr>
          <t>Enter the desired maximum peak-to-peak output voltage ripple here. This will set the ideal output capacitance value.</t>
        </r>
        <r>
          <rPr>
            <b/>
            <sz val="9"/>
            <color indexed="81"/>
            <rFont val="Tahoma"/>
            <family val="2"/>
          </rPr>
          <t xml:space="preserve">
The text in this cell is red if:
</t>
        </r>
        <r>
          <rPr>
            <b/>
            <sz val="9"/>
            <color indexed="10"/>
            <rFont val="Tahoma"/>
            <family val="2"/>
          </rPr>
          <t>-The output voltage ripple is zero.</t>
        </r>
      </text>
    </comment>
    <comment ref="E32" authorId="0" shapeId="0" xr:uid="{00000000-0006-0000-0000-00000D000000}">
      <text>
        <r>
          <rPr>
            <b/>
            <u/>
            <sz val="9"/>
            <color indexed="81"/>
            <rFont val="Tahoma"/>
            <family val="2"/>
          </rPr>
          <t>Output Capacitance</t>
        </r>
        <r>
          <rPr>
            <b/>
            <sz val="9"/>
            <color indexed="81"/>
            <rFont val="Tahoma"/>
            <family val="2"/>
          </rPr>
          <t>:</t>
        </r>
        <r>
          <rPr>
            <sz val="9"/>
            <color indexed="81"/>
            <rFont val="Tahoma"/>
            <family val="2"/>
          </rPr>
          <t xml:space="preserve">
Enter the output capacitance here based on the minimum calculated result. Make sure that the nominal capacitance is appropriately </t>
        </r>
        <r>
          <rPr>
            <b/>
            <sz val="11"/>
            <color indexed="81"/>
            <rFont val="Tahoma"/>
            <family val="2"/>
          </rPr>
          <t>derated</t>
        </r>
        <r>
          <rPr>
            <sz val="9"/>
            <color indexed="81"/>
            <rFont val="Tahoma"/>
            <family val="2"/>
          </rPr>
          <t xml:space="preserve"> for applied voltage, particularly with </t>
        </r>
        <r>
          <rPr>
            <sz val="9"/>
            <color indexed="39"/>
            <rFont val="Tahoma"/>
            <family val="2"/>
          </rPr>
          <t>ceramics</t>
        </r>
        <r>
          <rPr>
            <sz val="9"/>
            <color indexed="81"/>
            <rFont val="Tahoma"/>
            <family val="2"/>
          </rPr>
          <t xml:space="preserve">.
</t>
        </r>
        <r>
          <rPr>
            <b/>
            <sz val="9"/>
            <color indexed="81"/>
            <rFont val="Tahoma"/>
            <family val="2"/>
          </rPr>
          <t>The text in this cell is flagged red if:</t>
        </r>
        <r>
          <rPr>
            <sz val="9"/>
            <color indexed="81"/>
            <rFont val="Tahoma"/>
            <family val="2"/>
          </rPr>
          <t xml:space="preserve">
</t>
        </r>
        <r>
          <rPr>
            <b/>
            <sz val="9"/>
            <color indexed="10"/>
            <rFont val="Tahoma"/>
            <family val="2"/>
          </rPr>
          <t>-The chosen output capacitor is smaller than the minimum ideal capacitance.</t>
        </r>
      </text>
    </comment>
    <comment ref="E34" authorId="0" shapeId="0" xr:uid="{00000000-0006-0000-0000-00000E000000}">
      <text>
        <r>
          <rPr>
            <b/>
            <u/>
            <sz val="9"/>
            <color indexed="81"/>
            <rFont val="Tahoma"/>
            <family val="2"/>
          </rPr>
          <t>Output Capacitor ESR</t>
        </r>
        <r>
          <rPr>
            <b/>
            <sz val="9"/>
            <color indexed="81"/>
            <rFont val="Tahoma"/>
            <family val="2"/>
          </rPr>
          <t xml:space="preserve">:
</t>
        </r>
        <r>
          <rPr>
            <sz val="9"/>
            <color indexed="81"/>
            <rFont val="Tahoma"/>
            <family val="2"/>
          </rPr>
          <t>Enter the output capacitor ESR here based on the maximum allowed output capacitor ESR to meet the voltage ripple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text>
    </comment>
    <comment ref="E39" authorId="0" shapeId="0" xr:uid="{00000000-0006-0000-0000-00000F000000}">
      <text>
        <r>
          <rPr>
            <b/>
            <u/>
            <sz val="9"/>
            <color indexed="81"/>
            <rFont val="Tahoma"/>
            <family val="2"/>
          </rPr>
          <t>Input Voltage Ripple</t>
        </r>
        <r>
          <rPr>
            <b/>
            <sz val="9"/>
            <color indexed="81"/>
            <rFont val="Tahoma"/>
            <family val="2"/>
          </rPr>
          <t xml:space="preserve">:
</t>
        </r>
        <r>
          <rPr>
            <sz val="9"/>
            <color indexed="81"/>
            <rFont val="Tahoma"/>
            <family val="2"/>
          </rPr>
          <t>Enter the desired maximum peak-to-peak input voltage ripple here. This will set the ideal input capacitance requirement.</t>
        </r>
        <r>
          <rPr>
            <b/>
            <sz val="9"/>
            <color indexed="81"/>
            <rFont val="Tahoma"/>
            <family val="2"/>
          </rPr>
          <t xml:space="preserve">
The text in this cell is </t>
        </r>
        <r>
          <rPr>
            <b/>
            <sz val="9"/>
            <color indexed="10"/>
            <rFont val="Tahoma"/>
            <family val="2"/>
          </rPr>
          <t>red</t>
        </r>
        <r>
          <rPr>
            <b/>
            <sz val="9"/>
            <color indexed="81"/>
            <rFont val="Tahoma"/>
            <family val="2"/>
          </rPr>
          <t xml:space="preserve"> if:
</t>
        </r>
        <r>
          <rPr>
            <b/>
            <sz val="9"/>
            <color indexed="10"/>
            <rFont val="Tahoma"/>
            <family val="2"/>
          </rPr>
          <t>-The input voltage ripple is zero.</t>
        </r>
      </text>
    </comment>
    <comment ref="E41" authorId="0" shapeId="0" xr:uid="{00000000-0006-0000-0000-000010000000}">
      <text>
        <r>
          <rPr>
            <b/>
            <u/>
            <sz val="9"/>
            <color indexed="81"/>
            <rFont val="Tahoma"/>
            <family val="2"/>
          </rPr>
          <t>Input Capacitance</t>
        </r>
        <r>
          <rPr>
            <b/>
            <sz val="9"/>
            <color indexed="81"/>
            <rFont val="Tahoma"/>
            <family val="2"/>
          </rPr>
          <t xml:space="preserve">:
</t>
        </r>
        <r>
          <rPr>
            <sz val="9"/>
            <color indexed="81"/>
            <rFont val="Tahoma"/>
            <family val="2"/>
          </rPr>
          <t xml:space="preserve">Enter the input capacitance here based on the minimum calculated result. Make sure that the nominal capacitance is appropriately derated for applied voltage.
</t>
        </r>
        <r>
          <rPr>
            <b/>
            <sz val="9"/>
            <color indexed="81"/>
            <rFont val="Tahoma"/>
            <family val="2"/>
          </rPr>
          <t xml:space="preserve">The text in this cell is flagged </t>
        </r>
        <r>
          <rPr>
            <b/>
            <sz val="9"/>
            <color indexed="10"/>
            <rFont val="Tahoma"/>
            <family val="2"/>
          </rPr>
          <t>red</t>
        </r>
        <r>
          <rPr>
            <b/>
            <sz val="9"/>
            <color indexed="81"/>
            <rFont val="Tahoma"/>
            <family val="2"/>
          </rPr>
          <t xml:space="preserve"> if:
</t>
        </r>
        <r>
          <rPr>
            <b/>
            <sz val="9"/>
            <color indexed="10"/>
            <rFont val="Tahoma"/>
            <family val="2"/>
          </rPr>
          <t>-The chosen input capacitor is smaller than the minimum ideal capacitance.</t>
        </r>
      </text>
    </comment>
    <comment ref="E43" authorId="0" shapeId="0" xr:uid="{00000000-0006-0000-0000-000011000000}">
      <text>
        <r>
          <rPr>
            <b/>
            <u/>
            <sz val="9"/>
            <color indexed="81"/>
            <rFont val="Tahoma"/>
            <family val="2"/>
          </rPr>
          <t>Input Capacitor ESR</t>
        </r>
        <r>
          <rPr>
            <b/>
            <sz val="9"/>
            <color indexed="81"/>
            <rFont val="Tahoma"/>
            <family val="2"/>
          </rPr>
          <t xml:space="preserve">:
</t>
        </r>
        <r>
          <rPr>
            <sz val="9"/>
            <color indexed="81"/>
            <rFont val="Tahoma"/>
            <family val="2"/>
          </rPr>
          <t>Enter the input capacitor ESR here based on the maximum allowed input capacitor ESR to meet the ripple voltage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r>
          <rPr>
            <sz val="11"/>
            <color indexed="81"/>
            <rFont val="Tahoma"/>
            <family val="2"/>
          </rPr>
          <t xml:space="preserve">
</t>
        </r>
      </text>
    </comment>
    <comment ref="E48" authorId="0" shapeId="0" xr:uid="{00000000-0006-0000-0000-000012000000}">
      <text>
        <r>
          <rPr>
            <b/>
            <u/>
            <sz val="8"/>
            <color indexed="81"/>
            <rFont val="Tahoma"/>
            <family val="2"/>
          </rPr>
          <t>Soft-Start Time</t>
        </r>
        <r>
          <rPr>
            <b/>
            <sz val="8"/>
            <color indexed="81"/>
            <rFont val="Tahoma"/>
            <family val="2"/>
          </rPr>
          <t xml:space="preserve">:
</t>
        </r>
        <r>
          <rPr>
            <sz val="8"/>
            <color indexed="81"/>
            <rFont val="Tahoma"/>
            <family val="2"/>
          </rPr>
          <t xml:space="preserve">Enter the desired soft-start time here. </t>
        </r>
      </text>
    </comment>
    <comment ref="E50" authorId="0" shapeId="0" xr:uid="{00000000-0006-0000-0000-000013000000}">
      <text>
        <r>
          <rPr>
            <b/>
            <u/>
            <sz val="9"/>
            <color indexed="81"/>
            <rFont val="Tahoma"/>
            <family val="2"/>
          </rPr>
          <t>Nominal UVLO Turn-On Input Voltage</t>
        </r>
        <r>
          <rPr>
            <b/>
            <sz val="9"/>
            <color indexed="81"/>
            <rFont val="Tahoma"/>
            <family val="2"/>
          </rPr>
          <t xml:space="preserve">:
</t>
        </r>
        <r>
          <rPr>
            <sz val="9"/>
            <color indexed="81"/>
            <rFont val="Tahoma"/>
            <family val="2"/>
          </rPr>
          <t xml:space="preserve">Enter the nominal input voltage at turn on.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5.5V</t>
        </r>
      </text>
    </comment>
    <comment ref="E51" authorId="0" shapeId="0" xr:uid="{00000000-0006-0000-0000-000014000000}">
      <text>
        <r>
          <rPr>
            <b/>
            <u/>
            <sz val="9"/>
            <color indexed="81"/>
            <rFont val="Tahoma"/>
            <family val="2"/>
          </rPr>
          <t>Nominal UVLO Turn-Off Input Voltage</t>
        </r>
        <r>
          <rPr>
            <b/>
            <sz val="9"/>
            <color indexed="81"/>
            <rFont val="Tahoma"/>
            <family val="2"/>
          </rPr>
          <t>:</t>
        </r>
        <r>
          <rPr>
            <sz val="9"/>
            <color indexed="81"/>
            <rFont val="Tahoma"/>
            <family val="2"/>
          </rPr>
          <t xml:space="preserve">
Enter the nominal input voltage at turn off.
The LM5146-Q1 input operating voltage range is 5.5V to 95V.
</t>
        </r>
        <r>
          <rPr>
            <b/>
            <sz val="9"/>
            <color indexed="81"/>
            <rFont val="Tahoma"/>
            <family val="2"/>
          </rPr>
          <t xml:space="preserve">
The text in this cell is red if:</t>
        </r>
        <r>
          <rPr>
            <sz val="9"/>
            <color indexed="81"/>
            <rFont val="Tahoma"/>
            <family val="2"/>
          </rPr>
          <t xml:space="preserve">
-The input voltage is above </t>
        </r>
        <r>
          <rPr>
            <b/>
            <sz val="9"/>
            <color indexed="10"/>
            <rFont val="Tahoma"/>
            <family val="2"/>
          </rPr>
          <t>90V</t>
        </r>
        <r>
          <rPr>
            <sz val="9"/>
            <color indexed="81"/>
            <rFont val="Tahoma"/>
            <family val="2"/>
          </rPr>
          <t xml:space="preserve">
-The input voltage is below </t>
        </r>
        <r>
          <rPr>
            <b/>
            <sz val="9"/>
            <color indexed="10"/>
            <rFont val="Tahoma"/>
            <family val="2"/>
          </rPr>
          <t>5.5V</t>
        </r>
      </text>
    </comment>
    <comment ref="F60" authorId="0" shapeId="0" xr:uid="{00000000-0006-0000-0000-000015000000}">
      <text>
        <r>
          <rPr>
            <b/>
            <u/>
            <sz val="9"/>
            <color indexed="81"/>
            <rFont val="Tahoma"/>
            <family val="2"/>
          </rPr>
          <t>Crossover Frequency</t>
        </r>
        <r>
          <rPr>
            <b/>
            <sz val="9"/>
            <color indexed="81"/>
            <rFont val="Tahoma"/>
            <family val="2"/>
          </rPr>
          <t>:</t>
        </r>
        <r>
          <rPr>
            <sz val="9"/>
            <color indexed="81"/>
            <rFont val="Tahoma"/>
            <family val="2"/>
          </rPr>
          <t xml:space="preserve">
Enter the desired open loop crossover frequency (usually between 10% and 20% of switching frequency). The LM5146 design tool determines feedback compensation components based on this target performance metric.</t>
        </r>
      </text>
    </comment>
    <comment ref="E62" authorId="0" shapeId="0" xr:uid="{00000000-0006-0000-0000-000016000000}">
      <text>
        <r>
          <rPr>
            <b/>
            <sz val="9"/>
            <color indexed="81"/>
            <rFont val="Tahoma"/>
            <family val="2"/>
          </rPr>
          <t>R</t>
        </r>
        <r>
          <rPr>
            <b/>
            <vertAlign val="subscript"/>
            <sz val="9"/>
            <color indexed="81"/>
            <rFont val="Tahoma"/>
            <family val="2"/>
          </rPr>
          <t>FB1</t>
        </r>
        <r>
          <rPr>
            <b/>
            <sz val="9"/>
            <color indexed="81"/>
            <rFont val="Tahoma"/>
            <family val="2"/>
          </rPr>
          <t>:</t>
        </r>
        <r>
          <rPr>
            <sz val="9"/>
            <color indexed="81"/>
            <rFont val="Tahoma"/>
            <family val="2"/>
          </rPr>
          <t xml:space="preserve">
This is the upper feedback resistor that sets the output voltage. A recommended starting value of </t>
        </r>
        <r>
          <rPr>
            <b/>
            <sz val="9"/>
            <color indexed="81"/>
            <rFont val="Tahoma"/>
            <family val="2"/>
          </rPr>
          <t>R</t>
        </r>
        <r>
          <rPr>
            <b/>
            <vertAlign val="subscript"/>
            <sz val="9"/>
            <color indexed="81"/>
            <rFont val="Tahoma"/>
            <family val="2"/>
          </rPr>
          <t>FB1</t>
        </r>
        <r>
          <rPr>
            <sz val="9"/>
            <color indexed="81"/>
            <rFont val="Tahoma"/>
            <family val="2"/>
          </rPr>
          <t xml:space="preserve"> is 20kΩ.</t>
        </r>
      </text>
    </comment>
    <comment ref="D66" authorId="0" shapeId="0" xr:uid="{00000000-0006-0000-0000-000017000000}">
      <text>
        <r>
          <rPr>
            <b/>
            <sz val="9"/>
            <color indexed="81"/>
            <rFont val="Tahoma"/>
            <family val="2"/>
          </rPr>
          <t>F</t>
        </r>
        <r>
          <rPr>
            <b/>
            <vertAlign val="subscript"/>
            <sz val="9"/>
            <color indexed="81"/>
            <rFont val="Tahoma"/>
            <family val="2"/>
          </rPr>
          <t>Z1</t>
        </r>
        <r>
          <rPr>
            <b/>
            <sz val="9"/>
            <color indexed="81"/>
            <rFont val="Tahoma"/>
            <family val="2"/>
          </rPr>
          <t>:
F</t>
        </r>
        <r>
          <rPr>
            <b/>
            <vertAlign val="subscript"/>
            <sz val="9"/>
            <color indexed="81"/>
            <rFont val="Tahoma"/>
            <family val="2"/>
          </rPr>
          <t>Z1</t>
        </r>
        <r>
          <rPr>
            <sz val="9"/>
            <color indexed="81"/>
            <rFont val="Tahoma"/>
            <family val="2"/>
          </rPr>
          <t xml:space="preserve"> is the first zero of the compensator. By default, </t>
        </r>
        <r>
          <rPr>
            <b/>
            <sz val="9"/>
            <color indexed="81"/>
            <rFont val="Tahoma"/>
            <family val="2"/>
          </rPr>
          <t>F</t>
        </r>
        <r>
          <rPr>
            <b/>
            <vertAlign val="subscript"/>
            <sz val="9"/>
            <color indexed="81"/>
            <rFont val="Tahoma"/>
            <family val="2"/>
          </rPr>
          <t>Z1</t>
        </r>
        <r>
          <rPr>
            <sz val="9"/>
            <color indexed="81"/>
            <rFont val="Tahoma"/>
            <family val="2"/>
          </rPr>
          <t xml:space="preserve"> is located near the complex double pole (F</t>
        </r>
        <r>
          <rPr>
            <vertAlign val="subscript"/>
            <sz val="9"/>
            <color indexed="81"/>
            <rFont val="Tahoma"/>
            <family val="2"/>
          </rPr>
          <t>LC</t>
        </r>
        <r>
          <rPr>
            <sz val="9"/>
            <color indexed="81"/>
            <rFont val="Tahoma"/>
            <family val="2"/>
          </rPr>
          <t>) associated with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Z1</t>
        </r>
        <r>
          <rPr>
            <sz val="9"/>
            <color indexed="81"/>
            <rFont val="Tahoma"/>
            <family val="2"/>
          </rPr>
          <t xml:space="preserve"> cell.</t>
        </r>
      </text>
    </comment>
    <comment ref="D67" authorId="0" shapeId="0" xr:uid="{00000000-0006-0000-0000-000018000000}">
      <text>
        <r>
          <rPr>
            <b/>
            <sz val="9"/>
            <color indexed="81"/>
            <rFont val="Tahoma"/>
            <family val="2"/>
          </rPr>
          <t>F</t>
        </r>
        <r>
          <rPr>
            <b/>
            <vertAlign val="subscript"/>
            <sz val="9"/>
            <color indexed="81"/>
            <rFont val="Tahoma"/>
            <family val="2"/>
          </rPr>
          <t>Z2</t>
        </r>
        <r>
          <rPr>
            <b/>
            <sz val="9"/>
            <color indexed="81"/>
            <rFont val="Tahoma"/>
            <family val="2"/>
          </rPr>
          <t>:
F</t>
        </r>
        <r>
          <rPr>
            <b/>
            <vertAlign val="subscript"/>
            <sz val="9"/>
            <color indexed="81"/>
            <rFont val="Tahoma"/>
            <family val="2"/>
          </rPr>
          <t>Z2</t>
        </r>
        <r>
          <rPr>
            <sz val="9"/>
            <color indexed="81"/>
            <rFont val="Tahoma"/>
            <family val="2"/>
          </rPr>
          <t xml:space="preserve"> is the second zero of the compensator. By default, </t>
        </r>
        <r>
          <rPr>
            <b/>
            <sz val="9"/>
            <color indexed="81"/>
            <rFont val="Tahoma"/>
            <family val="2"/>
          </rPr>
          <t>F</t>
        </r>
        <r>
          <rPr>
            <b/>
            <vertAlign val="subscript"/>
            <sz val="9"/>
            <color indexed="81"/>
            <rFont val="Tahoma"/>
            <family val="2"/>
          </rPr>
          <t>Z2</t>
        </r>
        <r>
          <rPr>
            <sz val="9"/>
            <color indexed="81"/>
            <rFont val="Tahoma"/>
            <family val="2"/>
          </rPr>
          <t xml:space="preserve">  is located near the LC resonant frequency (F</t>
        </r>
        <r>
          <rPr>
            <vertAlign val="subscript"/>
            <sz val="9"/>
            <color indexed="81"/>
            <rFont val="Tahoma"/>
            <family val="2"/>
          </rPr>
          <t>LC</t>
        </r>
        <r>
          <rPr>
            <sz val="9"/>
            <color indexed="81"/>
            <rFont val="Tahoma"/>
            <family val="2"/>
          </rPr>
          <t>) caused by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Z2</t>
        </r>
        <r>
          <rPr>
            <sz val="9"/>
            <color indexed="81"/>
            <rFont val="Tahoma"/>
            <family val="2"/>
          </rPr>
          <t xml:space="preserve"> cell.</t>
        </r>
      </text>
    </comment>
    <comment ref="D68" authorId="0" shapeId="0" xr:uid="{00000000-0006-0000-0000-000019000000}">
      <text>
        <r>
          <rPr>
            <b/>
            <sz val="9"/>
            <color indexed="81"/>
            <rFont val="Tahoma"/>
            <family val="2"/>
          </rPr>
          <t>F</t>
        </r>
        <r>
          <rPr>
            <b/>
            <vertAlign val="subscript"/>
            <sz val="9"/>
            <color indexed="81"/>
            <rFont val="Tahoma"/>
            <family val="2"/>
          </rPr>
          <t>P1</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P1</t>
        </r>
        <r>
          <rPr>
            <sz val="9"/>
            <color indexed="81"/>
            <rFont val="Tahoma"/>
            <family val="2"/>
          </rPr>
          <t xml:space="preserve"> is the first pole of the compensator. By default, </t>
        </r>
        <r>
          <rPr>
            <b/>
            <sz val="9"/>
            <color indexed="81"/>
            <rFont val="Tahoma"/>
            <family val="2"/>
          </rPr>
          <t>F</t>
        </r>
        <r>
          <rPr>
            <b/>
            <vertAlign val="subscript"/>
            <sz val="9"/>
            <color indexed="81"/>
            <rFont val="Tahoma"/>
            <family val="2"/>
          </rPr>
          <t>P1</t>
        </r>
        <r>
          <rPr>
            <sz val="9"/>
            <color indexed="81"/>
            <rFont val="Tahoma"/>
            <family val="2"/>
          </rPr>
          <t xml:space="preserve"> is located at the zero (F</t>
        </r>
        <r>
          <rPr>
            <vertAlign val="subscript"/>
            <sz val="9"/>
            <color indexed="81"/>
            <rFont val="Tahoma"/>
            <family val="2"/>
          </rPr>
          <t>ESR</t>
        </r>
        <r>
          <rPr>
            <sz val="9"/>
            <color indexed="81"/>
            <rFont val="Tahoma"/>
            <family val="2"/>
          </rPr>
          <t>) caused by the output capacitance (C</t>
        </r>
        <r>
          <rPr>
            <vertAlign val="subscript"/>
            <sz val="9"/>
            <color indexed="81"/>
            <rFont val="Tahoma"/>
            <family val="2"/>
          </rPr>
          <t>OUT</t>
        </r>
        <r>
          <rPr>
            <sz val="9"/>
            <color indexed="81"/>
            <rFont val="Tahoma"/>
            <family val="2"/>
          </rPr>
          <t xml:space="preserve">) and its associated ESR. </t>
        </r>
        <r>
          <rPr>
            <b/>
            <sz val="9"/>
            <color indexed="81"/>
            <rFont val="Tahoma"/>
            <family val="2"/>
          </rPr>
          <t>F</t>
        </r>
        <r>
          <rPr>
            <b/>
            <vertAlign val="subscript"/>
            <sz val="9"/>
            <color indexed="81"/>
            <rFont val="Tahoma"/>
            <family val="2"/>
          </rPr>
          <t>P1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P1</t>
        </r>
        <r>
          <rPr>
            <sz val="9"/>
            <color indexed="81"/>
            <rFont val="Tahoma"/>
            <family val="2"/>
          </rPr>
          <t xml:space="preserve"> cell.</t>
        </r>
      </text>
    </comment>
    <comment ref="D69" authorId="0" shapeId="0" xr:uid="{00000000-0006-0000-0000-00001A000000}">
      <text>
        <r>
          <rPr>
            <b/>
            <sz val="9"/>
            <color indexed="81"/>
            <rFont val="Tahoma"/>
            <family val="2"/>
          </rPr>
          <t>F</t>
        </r>
        <r>
          <rPr>
            <b/>
            <vertAlign val="subscript"/>
            <sz val="9"/>
            <color indexed="81"/>
            <rFont val="Tahoma"/>
            <family val="2"/>
          </rPr>
          <t>P2</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P2</t>
        </r>
        <r>
          <rPr>
            <sz val="9"/>
            <color indexed="81"/>
            <rFont val="Tahoma"/>
            <family val="2"/>
          </rPr>
          <t xml:space="preserve"> is the second pole of the compensator. By default, </t>
        </r>
        <r>
          <rPr>
            <b/>
            <sz val="9"/>
            <color indexed="81"/>
            <rFont val="Tahoma"/>
            <family val="2"/>
          </rPr>
          <t>F</t>
        </r>
        <r>
          <rPr>
            <b/>
            <vertAlign val="subscript"/>
            <sz val="9"/>
            <color indexed="81"/>
            <rFont val="Tahoma"/>
            <family val="2"/>
          </rPr>
          <t>P2</t>
        </r>
        <r>
          <rPr>
            <sz val="9"/>
            <color indexed="81"/>
            <rFont val="Tahoma"/>
            <family val="2"/>
          </rPr>
          <t xml:space="preserve"> is located at F</t>
        </r>
        <r>
          <rPr>
            <vertAlign val="subscript"/>
            <sz val="9"/>
            <color indexed="81"/>
            <rFont val="Tahoma"/>
            <family val="2"/>
          </rPr>
          <t>SW</t>
        </r>
        <r>
          <rPr>
            <sz val="9"/>
            <color indexed="81"/>
            <rFont val="Tahoma"/>
            <family val="2"/>
          </rPr>
          <t xml:space="preserve">/2. </t>
        </r>
        <r>
          <rPr>
            <b/>
            <sz val="9"/>
            <color indexed="81"/>
            <rFont val="Tahoma"/>
            <family val="2"/>
          </rPr>
          <t>F</t>
        </r>
        <r>
          <rPr>
            <b/>
            <vertAlign val="subscript"/>
            <sz val="9"/>
            <color indexed="81"/>
            <rFont val="Tahoma"/>
            <family val="2"/>
          </rPr>
          <t>P2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P2</t>
        </r>
        <r>
          <rPr>
            <sz val="9"/>
            <color indexed="81"/>
            <rFont val="Tahoma"/>
            <family val="2"/>
          </rPr>
          <t xml:space="preserve"> cell.</t>
        </r>
      </text>
    </comment>
    <comment ref="E84" authorId="1" shapeId="0" xr:uid="{00000000-0006-0000-0000-00001B000000}">
      <text>
        <r>
          <rPr>
            <b/>
            <sz val="10"/>
            <color indexed="81"/>
            <rFont val="Tahoma"/>
            <family val="2"/>
          </rPr>
          <t>On-State Resistance (R</t>
        </r>
        <r>
          <rPr>
            <b/>
            <vertAlign val="subscript"/>
            <sz val="10"/>
            <color indexed="81"/>
            <rFont val="Tahoma"/>
            <family val="2"/>
          </rPr>
          <t>DS(on)</t>
        </r>
        <r>
          <rPr>
            <b/>
            <sz val="10"/>
            <color indexed="81"/>
            <rFont val="Tahoma"/>
            <family val="2"/>
          </rPr>
          <t xml:space="preserve">):
</t>
        </r>
        <r>
          <rPr>
            <sz val="10"/>
            <color indexed="81"/>
            <rFont val="Tahoma"/>
            <family val="2"/>
          </rPr>
          <t xml:space="preserve">Enter the </t>
        </r>
        <r>
          <rPr>
            <b/>
            <sz val="10"/>
            <color indexed="81"/>
            <rFont val="Tahoma"/>
            <family val="2"/>
          </rPr>
          <t>R</t>
        </r>
        <r>
          <rPr>
            <b/>
            <vertAlign val="subscript"/>
            <sz val="10"/>
            <color indexed="81"/>
            <rFont val="Tahoma"/>
            <family val="2"/>
          </rPr>
          <t>DS(on)</t>
        </r>
        <r>
          <rPr>
            <sz val="10"/>
            <color indexed="81"/>
            <rFont val="Tahoma"/>
            <family val="2"/>
          </rPr>
          <t xml:space="preserve"> of the high-side MOSFET here (V</t>
        </r>
        <r>
          <rPr>
            <vertAlign val="subscript"/>
            <sz val="10"/>
            <color indexed="81"/>
            <rFont val="Tahoma"/>
            <family val="2"/>
          </rPr>
          <t>GS</t>
        </r>
        <r>
          <rPr>
            <sz val="10"/>
            <color indexed="81"/>
            <rFont val="Tahoma"/>
            <family val="2"/>
          </rPr>
          <t xml:space="preserve"> = 7.5V).
High current designs (&gt;10A) will incur large conduction losses and, as such, demand MOSFETs with low </t>
        </r>
        <r>
          <rPr>
            <b/>
            <sz val="10"/>
            <color indexed="81"/>
            <rFont val="Tahoma"/>
            <family val="2"/>
          </rPr>
          <t>R</t>
        </r>
        <r>
          <rPr>
            <b/>
            <vertAlign val="subscript"/>
            <sz val="10"/>
            <color indexed="81"/>
            <rFont val="Tahoma"/>
            <family val="2"/>
          </rPr>
          <t>DS(on)</t>
        </r>
        <r>
          <rPr>
            <sz val="10"/>
            <color indexed="81"/>
            <rFont val="Tahoma"/>
            <family val="2"/>
          </rPr>
          <t xml:space="preserve"> usually at the expense of larger Q</t>
        </r>
        <r>
          <rPr>
            <vertAlign val="subscript"/>
            <sz val="10"/>
            <color indexed="81"/>
            <rFont val="Tahoma"/>
            <family val="2"/>
          </rPr>
          <t>G</t>
        </r>
        <r>
          <rPr>
            <sz val="10"/>
            <color indexed="81"/>
            <rFont val="Tahoma"/>
            <family val="2"/>
          </rPr>
          <t xml:space="preserve">.
MOSFET </t>
        </r>
        <r>
          <rPr>
            <b/>
            <sz val="10"/>
            <color indexed="81"/>
            <rFont val="Tahoma"/>
            <family val="2"/>
          </rPr>
          <t>R</t>
        </r>
        <r>
          <rPr>
            <b/>
            <vertAlign val="subscript"/>
            <sz val="10"/>
            <color indexed="81"/>
            <rFont val="Tahoma"/>
            <family val="2"/>
          </rPr>
          <t>DS(ON)</t>
        </r>
        <r>
          <rPr>
            <sz val="10"/>
            <color indexed="81"/>
            <rFont val="Tahoma"/>
            <family val="2"/>
          </rPr>
          <t xml:space="preserve"> has a positive temperature coefficient (resistance increases with increasing temperature). This temperature coefficient is accounted for in the efficiency and power dissipation calculations.</t>
        </r>
      </text>
    </comment>
    <comment ref="E85" authorId="1" shapeId="0" xr:uid="{00000000-0006-0000-0000-00001C000000}">
      <text>
        <r>
          <rPr>
            <b/>
            <sz val="10"/>
            <color indexed="81"/>
            <rFont val="Tahoma"/>
            <family val="2"/>
          </rPr>
          <t>Total Gate Charge (Q</t>
        </r>
        <r>
          <rPr>
            <b/>
            <vertAlign val="subscript"/>
            <sz val="10"/>
            <color indexed="81"/>
            <rFont val="Tahoma"/>
            <family val="2"/>
          </rPr>
          <t>g</t>
        </r>
        <r>
          <rPr>
            <b/>
            <sz val="10"/>
            <color indexed="81"/>
            <rFont val="Tahoma"/>
            <family val="2"/>
          </rPr>
          <t>):</t>
        </r>
        <r>
          <rPr>
            <sz val="10"/>
            <color indexed="81"/>
            <rFont val="Tahoma"/>
            <family val="2"/>
          </rPr>
          <t xml:space="preserve">
Enter the total gate charge of the high-side MOSFET here.</t>
        </r>
      </text>
    </comment>
    <comment ref="E86" authorId="1" shapeId="0" xr:uid="{00000000-0006-0000-0000-00001D000000}">
      <text>
        <r>
          <rPr>
            <b/>
            <sz val="10"/>
            <color indexed="81"/>
            <rFont val="Tahoma"/>
            <family val="2"/>
          </rPr>
          <t>Gate-Drain Charge (Q</t>
        </r>
        <r>
          <rPr>
            <b/>
            <vertAlign val="subscript"/>
            <sz val="10"/>
            <color indexed="81"/>
            <rFont val="Tahoma"/>
            <family val="2"/>
          </rPr>
          <t>GD</t>
        </r>
        <r>
          <rPr>
            <b/>
            <sz val="10"/>
            <color indexed="81"/>
            <rFont val="Tahoma"/>
            <family val="2"/>
          </rPr>
          <t xml:space="preserve">):
</t>
        </r>
        <r>
          <rPr>
            <sz val="10"/>
            <color indexed="81"/>
            <rFont val="Tahoma"/>
            <family val="2"/>
          </rPr>
          <t>Enter the Q</t>
        </r>
        <r>
          <rPr>
            <vertAlign val="subscript"/>
            <sz val="10"/>
            <color indexed="81"/>
            <rFont val="Tahoma"/>
            <family val="2"/>
          </rPr>
          <t>GD</t>
        </r>
        <r>
          <rPr>
            <sz val="10"/>
            <color indexed="81"/>
            <rFont val="Tahoma"/>
            <family val="2"/>
          </rPr>
          <t xml:space="preserve"> of the high-side MOSFET here.
MOSFET Q</t>
        </r>
        <r>
          <rPr>
            <vertAlign val="subscript"/>
            <sz val="10"/>
            <color indexed="81"/>
            <rFont val="Tahoma"/>
            <family val="2"/>
          </rPr>
          <t>GD</t>
        </r>
        <r>
          <rPr>
            <sz val="10"/>
            <color indexed="81"/>
            <rFont val="Tahoma"/>
            <family val="2"/>
          </rPr>
          <t xml:space="preserve"> will affect the turn-on and-off transition times. Slow transition times will result in a decrease in efficiency, especially at higher input voltages.</t>
        </r>
      </text>
    </comment>
    <comment ref="E87" authorId="1" shapeId="0" xr:uid="{00000000-0006-0000-0000-00001E000000}">
      <text>
        <r>
          <rPr>
            <b/>
            <sz val="10"/>
            <color indexed="81"/>
            <rFont val="Tahoma"/>
            <family val="2"/>
          </rPr>
          <t>Gate-Source Charge (Q</t>
        </r>
        <r>
          <rPr>
            <b/>
            <vertAlign val="subscript"/>
            <sz val="10"/>
            <color indexed="81"/>
            <rFont val="Tahoma"/>
            <family val="2"/>
          </rPr>
          <t>GS</t>
        </r>
        <r>
          <rPr>
            <b/>
            <sz val="10"/>
            <color indexed="81"/>
            <rFont val="Tahoma"/>
            <family val="2"/>
          </rPr>
          <t xml:space="preserve">):
</t>
        </r>
        <r>
          <rPr>
            <sz val="10"/>
            <color indexed="81"/>
            <rFont val="Tahoma"/>
            <family val="2"/>
          </rPr>
          <t xml:space="preserve">Enter the gate-source charge here. </t>
        </r>
      </text>
    </comment>
    <comment ref="E88" authorId="1" shapeId="0" xr:uid="{00000000-0006-0000-0000-00001F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capacitance of the high-side MOSFET at the relevant input voltage here. </t>
        </r>
      </text>
    </comment>
    <comment ref="E89" authorId="1" shapeId="0" xr:uid="{00000000-0006-0000-0000-000020000000}">
      <text>
        <r>
          <rPr>
            <b/>
            <sz val="10"/>
            <color indexed="81"/>
            <rFont val="Tahoma"/>
            <family val="2"/>
          </rPr>
          <t>Gate Resistance (R</t>
        </r>
        <r>
          <rPr>
            <b/>
            <vertAlign val="subscript"/>
            <sz val="10"/>
            <color indexed="81"/>
            <rFont val="Tahoma"/>
            <family val="2"/>
          </rPr>
          <t>G</t>
        </r>
        <r>
          <rPr>
            <b/>
            <sz val="10"/>
            <color indexed="81"/>
            <rFont val="Tahoma"/>
            <family val="2"/>
          </rPr>
          <t>):</t>
        </r>
        <r>
          <rPr>
            <sz val="10"/>
            <color indexed="81"/>
            <rFont val="Tahoma"/>
            <family val="2"/>
          </rPr>
          <t xml:space="preserve">
Enter the high-side MOSFET gate resistance here. </t>
        </r>
      </text>
    </comment>
    <comment ref="E90" authorId="1" shapeId="0" xr:uid="{00000000-0006-0000-0000-000021000000}">
      <text>
        <r>
          <rPr>
            <b/>
            <sz val="10"/>
            <color indexed="81"/>
            <rFont val="Tahoma"/>
            <family val="2"/>
          </rPr>
          <t>Forward Transconductance (g</t>
        </r>
        <r>
          <rPr>
            <b/>
            <vertAlign val="subscript"/>
            <sz val="10"/>
            <color indexed="81"/>
            <rFont val="Tahoma"/>
            <family val="2"/>
          </rPr>
          <t>FS</t>
        </r>
        <r>
          <rPr>
            <b/>
            <sz val="10"/>
            <color indexed="81"/>
            <rFont val="Tahoma"/>
            <family val="2"/>
          </rPr>
          <t xml:space="preserve">):
</t>
        </r>
        <r>
          <rPr>
            <sz val="10"/>
            <color indexed="81"/>
            <rFont val="Tahoma"/>
            <family val="2"/>
          </rPr>
          <t>Enter the forward transconductance rating of the high-side MOSFET here.</t>
        </r>
      </text>
    </comment>
    <comment ref="E91" authorId="1" shapeId="0" xr:uid="{00000000-0006-0000-0000-000022000000}">
      <text>
        <r>
          <rPr>
            <b/>
            <sz val="10"/>
            <color indexed="81"/>
            <rFont val="Tahoma"/>
            <family val="2"/>
          </rPr>
          <t>Gate to Source Threshold Voltage (V</t>
        </r>
        <r>
          <rPr>
            <b/>
            <vertAlign val="subscript"/>
            <sz val="10"/>
            <color indexed="81"/>
            <rFont val="Tahoma"/>
            <family val="2"/>
          </rPr>
          <t>GS(TH)</t>
        </r>
        <r>
          <rPr>
            <b/>
            <sz val="10"/>
            <color indexed="81"/>
            <rFont val="Tahoma"/>
            <family val="2"/>
          </rPr>
          <t xml:space="preserve">):
</t>
        </r>
        <r>
          <rPr>
            <sz val="10"/>
            <color indexed="81"/>
            <rFont val="Tahoma"/>
            <family val="2"/>
          </rPr>
          <t>Enter the MOSFET gate-source threshold voltage at rated current here. This can be taken as the plateau voltage in the V</t>
        </r>
        <r>
          <rPr>
            <vertAlign val="subscript"/>
            <sz val="10"/>
            <color indexed="81"/>
            <rFont val="Tahoma"/>
            <family val="2"/>
          </rPr>
          <t>GS</t>
        </r>
        <r>
          <rPr>
            <sz val="10"/>
            <color indexed="81"/>
            <rFont val="Tahoma"/>
            <family val="2"/>
          </rPr>
          <t>-Q</t>
        </r>
        <r>
          <rPr>
            <vertAlign val="subscript"/>
            <sz val="10"/>
            <color indexed="81"/>
            <rFont val="Tahoma"/>
            <family val="2"/>
          </rPr>
          <t>G</t>
        </r>
        <r>
          <rPr>
            <sz val="10"/>
            <color indexed="81"/>
            <rFont val="Tahoma"/>
            <family val="2"/>
          </rPr>
          <t xml:space="preserve"> curve in the MOSFET datasheet.
</t>
        </r>
      </text>
    </comment>
    <comment ref="E92" authorId="1" shapeId="0" xr:uid="{00000000-0006-0000-0000-000023000000}">
      <text>
        <r>
          <rPr>
            <b/>
            <sz val="10"/>
            <color indexed="81"/>
            <rFont val="Tahoma"/>
            <family val="2"/>
          </rPr>
          <t>Body Diode Forward Voltage (V</t>
        </r>
        <r>
          <rPr>
            <b/>
            <vertAlign val="subscript"/>
            <sz val="10"/>
            <color indexed="81"/>
            <rFont val="Tahoma"/>
            <family val="2"/>
          </rPr>
          <t>bd1</t>
        </r>
        <r>
          <rPr>
            <b/>
            <sz val="10"/>
            <color indexed="81"/>
            <rFont val="Tahoma"/>
            <family val="2"/>
          </rPr>
          <t xml:space="preserve">):
</t>
        </r>
        <r>
          <rPr>
            <sz val="10"/>
            <color indexed="81"/>
            <rFont val="Tahoma"/>
            <family val="2"/>
          </rPr>
          <t>A MOSFET has an inherent reverse body diode, and the voltage drop usually is specified at a rated current. The high-side MOSFET body diode contributes power loss during negative current events.</t>
        </r>
      </text>
    </comment>
    <comment ref="E93" authorId="1" shapeId="0" xr:uid="{00000000-0006-0000-0000-000024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E96" authorId="1" shapeId="0" xr:uid="{00000000-0006-0000-0000-000025000000}">
      <text>
        <r>
          <rPr>
            <b/>
            <sz val="10"/>
            <color indexed="81"/>
            <rFont val="Tahoma"/>
            <family val="2"/>
          </rPr>
          <t>MOSFET On-State Resistance (R</t>
        </r>
        <r>
          <rPr>
            <b/>
            <vertAlign val="subscript"/>
            <sz val="10"/>
            <color indexed="81"/>
            <rFont val="Tahoma"/>
            <family val="2"/>
          </rPr>
          <t>DS(on)</t>
        </r>
        <r>
          <rPr>
            <b/>
            <sz val="10"/>
            <color indexed="81"/>
            <rFont val="Tahoma"/>
            <family val="2"/>
          </rPr>
          <t xml:space="preserve">):
</t>
        </r>
        <r>
          <rPr>
            <sz val="10"/>
            <color indexed="81"/>
            <rFont val="Tahoma"/>
            <family val="2"/>
          </rPr>
          <t>Enter the R</t>
        </r>
        <r>
          <rPr>
            <vertAlign val="subscript"/>
            <sz val="10"/>
            <color indexed="81"/>
            <rFont val="Tahoma"/>
            <family val="2"/>
          </rPr>
          <t>DS(on)</t>
        </r>
        <r>
          <rPr>
            <sz val="10"/>
            <color indexed="81"/>
            <rFont val="Tahoma"/>
            <family val="2"/>
          </rPr>
          <t xml:space="preserve"> of the low-side MOSFET here (V</t>
        </r>
        <r>
          <rPr>
            <vertAlign val="subscript"/>
            <sz val="10"/>
            <color indexed="81"/>
            <rFont val="Tahoma"/>
            <family val="2"/>
          </rPr>
          <t>GS</t>
        </r>
        <r>
          <rPr>
            <sz val="10"/>
            <color indexed="81"/>
            <rFont val="Tahoma"/>
            <family val="2"/>
          </rPr>
          <t xml:space="preserve"> = 7.5V).
High current designs (&gt;10A) can incur large conduction losses and, as such, demand MOSFETs with low R</t>
        </r>
        <r>
          <rPr>
            <vertAlign val="subscript"/>
            <sz val="10"/>
            <color indexed="81"/>
            <rFont val="Tahoma"/>
            <family val="2"/>
          </rPr>
          <t>DS(on)</t>
        </r>
        <r>
          <rPr>
            <sz val="10"/>
            <color indexed="81"/>
            <rFont val="Tahoma"/>
            <family val="2"/>
          </rPr>
          <t xml:space="preserve"> </t>
        </r>
        <r>
          <rPr>
            <sz val="10"/>
            <color indexed="81"/>
            <rFont val="Calibri"/>
            <family val="2"/>
          </rPr>
          <t xml:space="preserve">– </t>
        </r>
        <r>
          <rPr>
            <sz val="10"/>
            <color indexed="81"/>
            <rFont val="Tahoma"/>
            <family val="2"/>
          </rPr>
          <t>usually at the expense of larger Q</t>
        </r>
        <r>
          <rPr>
            <vertAlign val="subscript"/>
            <sz val="10"/>
            <color indexed="81"/>
            <rFont val="Tahoma"/>
            <family val="2"/>
          </rPr>
          <t>G</t>
        </r>
        <r>
          <rPr>
            <sz val="10"/>
            <color indexed="81"/>
            <rFont val="Tahoma"/>
            <family val="2"/>
          </rPr>
          <t>. MOSFET R</t>
        </r>
        <r>
          <rPr>
            <vertAlign val="subscript"/>
            <sz val="10"/>
            <color indexed="81"/>
            <rFont val="Tahoma"/>
            <family val="2"/>
          </rPr>
          <t>DS(on)</t>
        </r>
        <r>
          <rPr>
            <sz val="10"/>
            <color indexed="81"/>
            <rFont val="Tahoma"/>
            <family val="2"/>
          </rPr>
          <t xml:space="preserve"> temperature coefficient is accounted for in the efficiency and power dissipation calculations.  </t>
        </r>
      </text>
    </comment>
    <comment ref="E97" authorId="1" shapeId="0" xr:uid="{00000000-0006-0000-0000-000026000000}">
      <text>
        <r>
          <rPr>
            <b/>
            <sz val="10"/>
            <color indexed="81"/>
            <rFont val="Tahoma"/>
            <family val="2"/>
          </rPr>
          <t>Total Gate Charge (Q</t>
        </r>
        <r>
          <rPr>
            <b/>
            <vertAlign val="subscript"/>
            <sz val="10"/>
            <color indexed="81"/>
            <rFont val="Tahoma"/>
            <family val="2"/>
          </rPr>
          <t>G</t>
        </r>
        <r>
          <rPr>
            <b/>
            <sz val="10"/>
            <color indexed="81"/>
            <rFont val="Tahoma"/>
            <family val="2"/>
          </rPr>
          <t xml:space="preserve">):
</t>
        </r>
        <r>
          <rPr>
            <sz val="10"/>
            <color indexed="81"/>
            <rFont val="Tahoma"/>
            <family val="2"/>
          </rPr>
          <t>Enter the total gate charge of the low-side MOSFET here.</t>
        </r>
      </text>
    </comment>
    <comment ref="E98" authorId="1" shapeId="0" xr:uid="{00000000-0006-0000-0000-000027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charge of the low-side MOSFET at the relevant input voltage here. </t>
        </r>
      </text>
    </comment>
    <comment ref="E99" authorId="1" shapeId="0" xr:uid="{00000000-0006-0000-0000-000028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MOSFET's output capacitance at the relevant input voltage here. </t>
        </r>
      </text>
    </comment>
    <comment ref="E100" authorId="1" shapeId="0" xr:uid="{00000000-0006-0000-0000-000029000000}">
      <text>
        <r>
          <rPr>
            <b/>
            <sz val="9"/>
            <color indexed="81"/>
            <rFont val="Tahoma"/>
            <family val="2"/>
          </rPr>
          <t>Body Diode Voltage (V</t>
        </r>
        <r>
          <rPr>
            <b/>
            <vertAlign val="subscript"/>
            <sz val="9"/>
            <color indexed="81"/>
            <rFont val="Tahoma"/>
            <family val="2"/>
          </rPr>
          <t>sd</t>
        </r>
        <r>
          <rPr>
            <b/>
            <sz val="9"/>
            <color indexed="81"/>
            <rFont val="Tahoma"/>
            <family val="2"/>
          </rPr>
          <t xml:space="preserve">):
</t>
        </r>
        <r>
          <rPr>
            <sz val="9"/>
            <color indexed="81"/>
            <rFont val="Tahoma"/>
            <family val="2"/>
          </rPr>
          <t>The low-side MOSFET body diode can contribute substantial power loss related to (1) body diode conduction drop during the deadtime, and (2) diode reverse recovery current.</t>
        </r>
      </text>
    </comment>
    <comment ref="E101" authorId="1" shapeId="0" xr:uid="{00000000-0006-0000-0000-00002A000000}">
      <text>
        <r>
          <rPr>
            <b/>
            <sz val="10"/>
            <color indexed="81"/>
            <rFont val="Tahoma"/>
            <family val="2"/>
          </rPr>
          <t>Body Diode Recovery Charge (Q</t>
        </r>
        <r>
          <rPr>
            <b/>
            <vertAlign val="subscript"/>
            <sz val="10"/>
            <color indexed="81"/>
            <rFont val="Tahoma"/>
            <family val="2"/>
          </rPr>
          <t>RR</t>
        </r>
        <r>
          <rPr>
            <b/>
            <sz val="10"/>
            <color indexed="81"/>
            <rFont val="Tahoma"/>
            <family val="2"/>
          </rPr>
          <t xml:space="preserve">):
</t>
        </r>
        <r>
          <rPr>
            <sz val="10"/>
            <color indexed="81"/>
            <rFont val="Tahoma"/>
            <family val="2"/>
          </rPr>
          <t xml:space="preserve">Enter the reverse recovery charge of the low-side MOSFET body diode here. </t>
        </r>
      </text>
    </comment>
    <comment ref="E102" authorId="1" shapeId="0" xr:uid="{00000000-0006-0000-0000-00002B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E104" authorId="1" shapeId="0" xr:uid="{00000000-0006-0000-0000-00002C000000}">
      <text>
        <r>
          <rPr>
            <b/>
            <sz val="10"/>
            <color indexed="81"/>
            <rFont val="Tahoma"/>
            <family val="2"/>
          </rPr>
          <t xml:space="preserve">Schottky Forward Voltage:
</t>
        </r>
        <r>
          <rPr>
            <sz val="10"/>
            <color indexed="81"/>
            <rFont val="Tahoma"/>
            <family val="2"/>
          </rPr>
          <t>If a Schottky diode is used, enter the forward voltage at the rated current here. If a Schottky diode is not used, enter "0" into this cell.</t>
        </r>
      </text>
    </comment>
    <comment ref="E105" authorId="1" shapeId="0" xr:uid="{00000000-0006-0000-0000-00002D000000}">
      <text>
        <r>
          <rPr>
            <b/>
            <sz val="10"/>
            <color indexed="81"/>
            <rFont val="Tahoma"/>
            <family val="2"/>
          </rPr>
          <t xml:space="preserve">Schottky Diode Reverse Recovery Charge:
</t>
        </r>
        <r>
          <rPr>
            <sz val="10"/>
            <color indexed="81"/>
            <rFont val="Tahoma"/>
            <family val="2"/>
          </rPr>
          <t>Enter the diode reverse recovery charge here. If a Schottky diode is not used, enter "0" into this cell.</t>
        </r>
      </text>
    </comment>
  </commentList>
</comments>
</file>

<file path=xl/sharedStrings.xml><?xml version="1.0" encoding="utf-8"?>
<sst xmlns="http://schemas.openxmlformats.org/spreadsheetml/2006/main" count="1369" uniqueCount="768">
  <si>
    <t>V</t>
  </si>
  <si>
    <t>Output Voltage</t>
  </si>
  <si>
    <t>A</t>
  </si>
  <si>
    <t>kHz</t>
  </si>
  <si>
    <t>Vin</t>
  </si>
  <si>
    <t>Vout</t>
  </si>
  <si>
    <t>Iout</t>
  </si>
  <si>
    <t>Fsw</t>
  </si>
  <si>
    <t>Value</t>
  </si>
  <si>
    <t>STD Units</t>
  </si>
  <si>
    <t>Hz</t>
  </si>
  <si>
    <t>uH</t>
  </si>
  <si>
    <t>Rdcr</t>
  </si>
  <si>
    <t>Notes</t>
  </si>
  <si>
    <t>Nominal input voltage</t>
  </si>
  <si>
    <t>Maximum output Current</t>
  </si>
  <si>
    <t>Nominal Operational Frequency</t>
  </si>
  <si>
    <t>ideal Duty Cycle</t>
  </si>
  <si>
    <t>Ideal 1- Duty Cycle</t>
  </si>
  <si>
    <t>Don1</t>
  </si>
  <si>
    <t>Doff1</t>
  </si>
  <si>
    <t>Don2</t>
  </si>
  <si>
    <t>Doff2</t>
  </si>
  <si>
    <t>index</t>
  </si>
  <si>
    <t>H</t>
  </si>
  <si>
    <t>Ohms</t>
  </si>
  <si>
    <t>Vripple1</t>
  </si>
  <si>
    <t>Choosen Initial Voltage ripple Value</t>
  </si>
  <si>
    <t>Minimum Output Capacitnace</t>
  </si>
  <si>
    <t>Coutmin</t>
  </si>
  <si>
    <t>uF</t>
  </si>
  <si>
    <t>Lout1</t>
  </si>
  <si>
    <t>Lout2</t>
  </si>
  <si>
    <t>Irripple1</t>
  </si>
  <si>
    <t>F</t>
  </si>
  <si>
    <t>Choosen Output Capacitor</t>
  </si>
  <si>
    <t>Cout</t>
  </si>
  <si>
    <t>Compensation</t>
  </si>
  <si>
    <t>iteration</t>
  </si>
  <si>
    <t>Fo</t>
  </si>
  <si>
    <t>LC Double Pole Location</t>
  </si>
  <si>
    <t>Fesr</t>
  </si>
  <si>
    <t>Q</t>
  </si>
  <si>
    <t>Quality Factor of LC output Filter</t>
  </si>
  <si>
    <t>Frequency</t>
  </si>
  <si>
    <t>Bode Plot Setup</t>
  </si>
  <si>
    <t>Output Filter</t>
  </si>
  <si>
    <t>Esr zero</t>
  </si>
  <si>
    <t>LC Double Pole</t>
  </si>
  <si>
    <t>V/V</t>
  </si>
  <si>
    <t>Origin Pole</t>
  </si>
  <si>
    <t>Kmidband</t>
  </si>
  <si>
    <t>Rfb1</t>
  </si>
  <si>
    <t>pF</t>
  </si>
  <si>
    <t>Cc1ea</t>
  </si>
  <si>
    <t>Cc2ea</t>
  </si>
  <si>
    <t>Rcea2</t>
  </si>
  <si>
    <t>Cc3ea</t>
  </si>
  <si>
    <t>Rcea1</t>
  </si>
  <si>
    <t>Rcea1_u</t>
  </si>
  <si>
    <t>Cc1ea_u</t>
  </si>
  <si>
    <t>Cc2ea_u</t>
  </si>
  <si>
    <t>Rcea2_u</t>
  </si>
  <si>
    <t>Cc3ea_u</t>
  </si>
  <si>
    <t>Fz1</t>
  </si>
  <si>
    <t>Fz2</t>
  </si>
  <si>
    <t>Fp1</t>
  </si>
  <si>
    <t>Fp2</t>
  </si>
  <si>
    <t>Gain</t>
  </si>
  <si>
    <t>Phase</t>
  </si>
  <si>
    <t>Pi</t>
  </si>
  <si>
    <t>Total Gain</t>
  </si>
  <si>
    <t>Total Phase</t>
  </si>
  <si>
    <t>Phase margin</t>
  </si>
  <si>
    <t>Vramp</t>
  </si>
  <si>
    <t>Vp-p</t>
  </si>
  <si>
    <t>Pwm</t>
  </si>
  <si>
    <t>Rfb2</t>
  </si>
  <si>
    <t>Vref</t>
  </si>
  <si>
    <t>Reference Voltage</t>
  </si>
  <si>
    <t>Ro</t>
  </si>
  <si>
    <t>Eadcg</t>
  </si>
  <si>
    <t>GBP</t>
  </si>
  <si>
    <t>A(s)</t>
  </si>
  <si>
    <t>xover</t>
  </si>
  <si>
    <t>phase margin</t>
  </si>
  <si>
    <t>Z1</t>
  </si>
  <si>
    <t>Z3</t>
  </si>
  <si>
    <t>Real</t>
  </si>
  <si>
    <t>Imag</t>
  </si>
  <si>
    <t>Num</t>
  </si>
  <si>
    <t>Den</t>
  </si>
  <si>
    <t>Total</t>
  </si>
  <si>
    <t>a</t>
  </si>
  <si>
    <t>b</t>
  </si>
  <si>
    <t>c</t>
  </si>
  <si>
    <t>d</t>
  </si>
  <si>
    <t>Z1 Real</t>
  </si>
  <si>
    <t>Z1 Imag</t>
  </si>
  <si>
    <t>Z3 Imag</t>
  </si>
  <si>
    <t>Z3 Real</t>
  </si>
  <si>
    <t>EAGain</t>
  </si>
  <si>
    <t>Ea Phase</t>
  </si>
  <si>
    <t>Ea Gain (db)</t>
  </si>
  <si>
    <t>Total Phase Margin</t>
  </si>
  <si>
    <t>Design Output</t>
  </si>
  <si>
    <t>EA MODELING</t>
  </si>
  <si>
    <t>Ea Gain BW</t>
  </si>
  <si>
    <t>Complex EA</t>
  </si>
  <si>
    <t>Actual EA Response</t>
  </si>
  <si>
    <t>Actual Total System Response</t>
  </si>
  <si>
    <t>XOVER SEARCH</t>
  </si>
  <si>
    <t>Step 2: Inductor</t>
  </si>
  <si>
    <t>Variable Name</t>
  </si>
  <si>
    <t>Resrmax</t>
  </si>
  <si>
    <t>mΩ</t>
  </si>
  <si>
    <t>kΩ</t>
  </si>
  <si>
    <t>TERMS OF USE</t>
  </si>
  <si>
    <t>Currents</t>
  </si>
  <si>
    <t>IQ</t>
  </si>
  <si>
    <t>Step</t>
  </si>
  <si>
    <t>Core</t>
  </si>
  <si>
    <t>Total Loss</t>
  </si>
  <si>
    <t>OUTPUT POWER</t>
  </si>
  <si>
    <t>EFF</t>
  </si>
  <si>
    <t>Design</t>
  </si>
  <si>
    <t>L</t>
  </si>
  <si>
    <t>Cin</t>
  </si>
  <si>
    <t>Components</t>
  </si>
  <si>
    <t>Top FET</t>
  </si>
  <si>
    <t>Bottom FET</t>
  </si>
  <si>
    <t>RdsonDRB</t>
  </si>
  <si>
    <t>RdsonDRT</t>
  </si>
  <si>
    <t>Deadtime</t>
  </si>
  <si>
    <t>mOhms</t>
  </si>
  <si>
    <t>mA</t>
  </si>
  <si>
    <t>nC</t>
  </si>
  <si>
    <t>S</t>
  </si>
  <si>
    <t>QgBot</t>
  </si>
  <si>
    <t>RdsonBot</t>
  </si>
  <si>
    <t>GfsTop</t>
  </si>
  <si>
    <t>QgTop</t>
  </si>
  <si>
    <t>RdsonTop</t>
  </si>
  <si>
    <t xml:space="preserve">INDUCTOR </t>
  </si>
  <si>
    <t>VsdBot</t>
  </si>
  <si>
    <t>QrrBot</t>
  </si>
  <si>
    <t>TrrBot</t>
  </si>
  <si>
    <t>ns</t>
  </si>
  <si>
    <t>Units</t>
  </si>
  <si>
    <t>Outputs</t>
  </si>
  <si>
    <t>Bottom FET/Diode</t>
  </si>
  <si>
    <t>Dprime</t>
  </si>
  <si>
    <t>RdsonTopTc</t>
  </si>
  <si>
    <t>RdsonBotTc</t>
  </si>
  <si>
    <t>ppm</t>
  </si>
  <si>
    <t>LTc</t>
  </si>
  <si>
    <t>Ta</t>
  </si>
  <si>
    <t>Irms</t>
  </si>
  <si>
    <t>RCoutEsr</t>
  </si>
  <si>
    <t>RCinEsr</t>
  </si>
  <si>
    <t>ThetaJaBot</t>
  </si>
  <si>
    <t>ThetaJaTop</t>
  </si>
  <si>
    <t>RDSON Loss</t>
  </si>
  <si>
    <t>Cin Esr   Loss</t>
  </si>
  <si>
    <t>Cout Esr Loss</t>
  </si>
  <si>
    <t>DCR    Loss</t>
  </si>
  <si>
    <t>Tr</t>
  </si>
  <si>
    <t>Tf</t>
  </si>
  <si>
    <t>RGateTop</t>
  </si>
  <si>
    <t>RGateBot</t>
  </si>
  <si>
    <t>VthTop</t>
  </si>
  <si>
    <t>Reverse Recovery Loss</t>
  </si>
  <si>
    <t>DeadTime Loss</t>
  </si>
  <si>
    <t>Switching Frequency</t>
  </si>
  <si>
    <t>Max Output Current</t>
  </si>
  <si>
    <t>Ambient Temperature</t>
  </si>
  <si>
    <t>Inductor Series Resistance Temp Co</t>
  </si>
  <si>
    <t>Input Capacitor Capacitance</t>
  </si>
  <si>
    <t>Input Capacitor Series Resistance</t>
  </si>
  <si>
    <t>Total Deadtime</t>
  </si>
  <si>
    <t>Gate Charge Of Top FET</t>
  </si>
  <si>
    <t>Gate Resistance</t>
  </si>
  <si>
    <t>Transconductance of Top FET</t>
  </si>
  <si>
    <t>Threshold Voltage of Top FET</t>
  </si>
  <si>
    <t>Junction to Ambient Resistance</t>
  </si>
  <si>
    <t>Drain To Source Resitance Temp Co</t>
  </si>
  <si>
    <t>Diode Forward Voltage of Bottom FET Body Diode</t>
  </si>
  <si>
    <t>Reverse Recovery Time of Body Diode</t>
  </si>
  <si>
    <t>Description</t>
  </si>
  <si>
    <t>Input Parameters</t>
  </si>
  <si>
    <t>Output Inductor Inductance Value</t>
  </si>
  <si>
    <t>Inductor Series Resistance at 25 Degrees C</t>
  </si>
  <si>
    <t>Drain To Source Resistance of Bottom FET Driver</t>
  </si>
  <si>
    <t>Drain to Source Resistance Temp Co</t>
  </si>
  <si>
    <t xml:space="preserve">Drain to Source Resistance of Top FET </t>
  </si>
  <si>
    <t>BUCK CONTROLLER POWER TOOL</t>
  </si>
  <si>
    <t>Reverse Recovery Charge of Body Diode</t>
  </si>
  <si>
    <t>IQ      Loss</t>
  </si>
  <si>
    <t>Enter the values of your design and FET datasheet specifications below. Note that thermal resistance ("Theta JA") will change when components are placed on the PCB</t>
  </si>
  <si>
    <t>Output Capacitor Capcitance</t>
  </si>
  <si>
    <t>Output Capacitor Series Resistance</t>
  </si>
  <si>
    <t>Input Value</t>
  </si>
  <si>
    <t>Top Driver</t>
  </si>
  <si>
    <t>Bottom Driver</t>
  </si>
  <si>
    <t>Drain to Source Resistance of pull up Top FET Driver</t>
  </si>
  <si>
    <t>Drain to Source Resistance of pull down Top FET Driver</t>
  </si>
  <si>
    <t>Part Power</t>
  </si>
  <si>
    <t>Power Dis</t>
  </si>
  <si>
    <t>W</t>
  </si>
  <si>
    <t>Controller</t>
  </si>
  <si>
    <t>Theta Ja</t>
  </si>
  <si>
    <t>Temp rise</t>
  </si>
  <si>
    <t>θJA=80</t>
  </si>
  <si>
    <t>θJA=100</t>
  </si>
  <si>
    <t>θJA=120</t>
  </si>
  <si>
    <t>θJA=140</t>
  </si>
  <si>
    <t>θJA=160</t>
  </si>
  <si>
    <t>θJA=180</t>
  </si>
  <si>
    <t>QgdTop</t>
  </si>
  <si>
    <t>Gate to Drain Charge</t>
  </si>
  <si>
    <t>Qg</t>
  </si>
  <si>
    <t>θJA=20</t>
  </si>
  <si>
    <t>θJA=30</t>
  </si>
  <si>
    <t>θJA=40</t>
  </si>
  <si>
    <t>θJA=50</t>
  </si>
  <si>
    <t>250kHz / 5-1.2V /25A</t>
  </si>
  <si>
    <t>250kHz / 12-5V / 30A</t>
  </si>
  <si>
    <t>500kHz / 5-1.2V / 15A</t>
  </si>
  <si>
    <t>1Mhz / 5-1.2V / 10A</t>
  </si>
  <si>
    <t>1Mhz / 12-1.2V/ 10A</t>
  </si>
  <si>
    <t>500kHz / 12-5V / 15A</t>
  </si>
  <si>
    <t>250kHz / 18-1.2V / 20A</t>
  </si>
  <si>
    <t>500kHz / 18-1.2V / 20A</t>
  </si>
  <si>
    <t>θJA=120°C/W - 160°C/W</t>
  </si>
  <si>
    <t>θJA=30°C/W - 50°C/W</t>
  </si>
  <si>
    <t>VspTop</t>
  </si>
  <si>
    <t>QgsTop</t>
  </si>
  <si>
    <t>Part Losses</t>
  </si>
  <si>
    <t>RdsonDRB2</t>
  </si>
  <si>
    <t>RdsonDRT2</t>
  </si>
  <si>
    <t>EFF_1 @ 25°C</t>
  </si>
  <si>
    <t>Efficiency</t>
  </si>
  <si>
    <t>Pdis</t>
  </si>
  <si>
    <t>Vin=10V</t>
  </si>
  <si>
    <t>Vout=5.1V</t>
  </si>
  <si>
    <t xml:space="preserve">L=3.3uH/30mOhm </t>
  </si>
  <si>
    <t>4394 Top and Bottom Fets</t>
  </si>
  <si>
    <t>Duty Cycle</t>
  </si>
  <si>
    <t>Current Ripple p-p</t>
  </si>
  <si>
    <t xml:space="preserve">IQ </t>
  </si>
  <si>
    <t>ThetaCa</t>
  </si>
  <si>
    <t>Core to Ambient Thermal Resistance</t>
  </si>
  <si>
    <t>IRMS</t>
  </si>
  <si>
    <t>Total Part Loss</t>
  </si>
  <si>
    <t>RESULSTS</t>
  </si>
  <si>
    <t xml:space="preserve">LOW SIDE FET Losses </t>
  </si>
  <si>
    <t xml:space="preserve">HIGH SIDE FET losses </t>
  </si>
  <si>
    <t>Top FET Temp Rise</t>
  </si>
  <si>
    <t>Bottom FET Temp Rise</t>
  </si>
  <si>
    <t>Quiescent Current Of Controller (Not Switching!)</t>
  </si>
  <si>
    <t>Top Feedback Resistor</t>
  </si>
  <si>
    <t>This along with Rcea1 will set a zero</t>
  </si>
  <si>
    <t>This pole is set at half the switching frequency</t>
  </si>
  <si>
    <t>This pole cancels the zero from the Output Cap ESR</t>
  </si>
  <si>
    <t>PI</t>
  </si>
  <si>
    <t>s</t>
  </si>
  <si>
    <t>Switch Point Voltage of Top FET</t>
  </si>
  <si>
    <t>ThetaJaCtrl</t>
  </si>
  <si>
    <t>Part Characteristics</t>
  </si>
  <si>
    <t>C</t>
  </si>
  <si>
    <t>Switching Current Loss</t>
  </si>
  <si>
    <t>Rfb2_u</t>
  </si>
  <si>
    <t>CoutEsr</t>
  </si>
  <si>
    <t>Ilimit</t>
  </si>
  <si>
    <t>Ω</t>
  </si>
  <si>
    <t>Step 3: Current Limit</t>
  </si>
  <si>
    <t>Step 4: Output Capacitor</t>
  </si>
  <si>
    <t>Step 5: Input Capacitor</t>
  </si>
  <si>
    <t>nF</t>
  </si>
  <si>
    <t>R1</t>
  </si>
  <si>
    <t>R2</t>
  </si>
  <si>
    <t>VIN</t>
  </si>
  <si>
    <t>A (rms)</t>
  </si>
  <si>
    <t>Icinrms</t>
  </si>
  <si>
    <t>Icoutrms</t>
  </si>
  <si>
    <t>= Input Box</t>
  </si>
  <si>
    <t>Excel Variables Names/Calculations</t>
  </si>
  <si>
    <t>Input capacitance</t>
  </si>
  <si>
    <t>Step 1: Operational Specs</t>
  </si>
  <si>
    <t>Ilimit2</t>
  </si>
  <si>
    <t>Step 6: Soft Start</t>
  </si>
  <si>
    <t>ms</t>
  </si>
  <si>
    <t>Tss</t>
  </si>
  <si>
    <t>Soft Start Time</t>
  </si>
  <si>
    <t>Iss</t>
  </si>
  <si>
    <t>Css</t>
  </si>
  <si>
    <t>Rfadj</t>
  </si>
  <si>
    <t>C1</t>
  </si>
  <si>
    <t>C2</t>
  </si>
  <si>
    <t>Ripple I</t>
  </si>
  <si>
    <t>%</t>
  </si>
  <si>
    <t xml:space="preserve">I1 </t>
  </si>
  <si>
    <t xml:space="preserve">I2 </t>
  </si>
  <si>
    <t>Part Number</t>
  </si>
  <si>
    <t>Cby</t>
  </si>
  <si>
    <t>Csb</t>
  </si>
  <si>
    <t>Rh</t>
  </si>
  <si>
    <t>Capacitors</t>
  </si>
  <si>
    <t>(pF)</t>
  </si>
  <si>
    <t>Standard Result</t>
  </si>
  <si>
    <t>Inputs</t>
  </si>
  <si>
    <t>Css_u</t>
  </si>
  <si>
    <t>Resistors</t>
  </si>
  <si>
    <t>Radj</t>
  </si>
  <si>
    <t>inputs</t>
  </si>
  <si>
    <t>Cb</t>
  </si>
  <si>
    <t>Rs1</t>
  </si>
  <si>
    <t>Rs2</t>
  </si>
  <si>
    <t>Rs3</t>
  </si>
  <si>
    <t>Rs4</t>
  </si>
  <si>
    <t xml:space="preserve">                </t>
  </si>
  <si>
    <t>Cdd</t>
  </si>
  <si>
    <t>Cc1</t>
  </si>
  <si>
    <t>Cc2</t>
  </si>
  <si>
    <t>Cc3</t>
  </si>
  <si>
    <t>Csby</t>
  </si>
  <si>
    <t>Rc1</t>
  </si>
  <si>
    <t>Rc2</t>
  </si>
  <si>
    <t>Other Input Variables</t>
  </si>
  <si>
    <t>Step 7: Other Components</t>
  </si>
  <si>
    <t>Step 8: Compensation</t>
  </si>
  <si>
    <r>
      <t>R</t>
    </r>
    <r>
      <rPr>
        <vertAlign val="subscript"/>
        <sz val="10"/>
        <rFont val="Arial"/>
        <family val="2"/>
      </rPr>
      <t>PG</t>
    </r>
  </si>
  <si>
    <r>
      <t>R</t>
    </r>
    <r>
      <rPr>
        <vertAlign val="subscript"/>
        <sz val="10"/>
        <rFont val="Arial"/>
        <family val="2"/>
      </rPr>
      <t>SB</t>
    </r>
  </si>
  <si>
    <t>CSBY</t>
  </si>
  <si>
    <t>Actual Open Loop System Response</t>
  </si>
  <si>
    <t>Comp To Output</t>
  </si>
  <si>
    <t>Total Phase margin</t>
  </si>
  <si>
    <t>Rfets</t>
  </si>
  <si>
    <t>cap loss eq res</t>
  </si>
  <si>
    <t>Fet loss eq res</t>
  </si>
  <si>
    <t>Diode loss eq res</t>
  </si>
  <si>
    <t>Sw cap</t>
  </si>
  <si>
    <t>Output to Comp 5V In @ 500kHz 0A Iout 25DegC</t>
  </si>
  <si>
    <t xml:space="preserve"> </t>
  </si>
  <si>
    <t>Resulting Poles/Zero/Q Locations</t>
  </si>
  <si>
    <t>Rc1ea</t>
  </si>
  <si>
    <t>Rc2ea</t>
  </si>
  <si>
    <t>Frequency of Ringing</t>
  </si>
  <si>
    <t>MHz</t>
  </si>
  <si>
    <t>STD UNITS</t>
  </si>
  <si>
    <t>UNITS</t>
  </si>
  <si>
    <t>SW capacitance</t>
  </si>
  <si>
    <t>Csnub</t>
  </si>
  <si>
    <t>Lpar</t>
  </si>
  <si>
    <t>nH</t>
  </si>
  <si>
    <t>Rsnub</t>
  </si>
  <si>
    <t>TL</t>
  </si>
  <si>
    <t>L/R Time Constant</t>
  </si>
  <si>
    <t>Blank out</t>
  </si>
  <si>
    <t>Sugested Cs</t>
  </si>
  <si>
    <t>Input from user =</t>
  </si>
  <si>
    <t>Constant</t>
  </si>
  <si>
    <t>Step 8: Efficiency</t>
  </si>
  <si>
    <t>Vripple</t>
  </si>
  <si>
    <t>Bottom Shotkey</t>
  </si>
  <si>
    <t>VfdSky</t>
  </si>
  <si>
    <t>QrrSky</t>
  </si>
  <si>
    <t>Ireverse</t>
  </si>
  <si>
    <t>Diode Forward Voltage</t>
  </si>
  <si>
    <t>Diode Reverse Recovery Charge</t>
  </si>
  <si>
    <t>Reverse Leakage Current</t>
  </si>
  <si>
    <t>Diod/eFET</t>
  </si>
  <si>
    <t>External Diode</t>
  </si>
  <si>
    <t>Total Inductor Loss/Diss</t>
  </si>
  <si>
    <t>Total Cout Loss/Diss</t>
  </si>
  <si>
    <t>Total Cin Loss/Diss</t>
  </si>
  <si>
    <t>Total Top FET Loss/Diss</t>
  </si>
  <si>
    <t xml:space="preserve">Dead Time Loss </t>
  </si>
  <si>
    <t>VsdTop</t>
  </si>
  <si>
    <t>Switching Current Diss</t>
  </si>
  <si>
    <t>Diode Forward Voltage of Top FET Body diode</t>
  </si>
  <si>
    <t>°C/W</t>
  </si>
  <si>
    <t>SCHEMATIC LABELS</t>
  </si>
  <si>
    <r>
      <t xml:space="preserve">Choosen Compensation Components from the </t>
    </r>
    <r>
      <rPr>
        <b/>
        <u/>
        <sz val="10"/>
        <color indexed="10"/>
        <rFont val="Arial"/>
        <family val="2"/>
      </rPr>
      <t>standard value sheet</t>
    </r>
  </si>
  <si>
    <t>\</t>
  </si>
  <si>
    <t>OUTPUT CURRENT</t>
  </si>
  <si>
    <t>Dmax</t>
  </si>
  <si>
    <t>Ipp</t>
  </si>
  <si>
    <t>Current (switching)</t>
  </si>
  <si>
    <t>Qrr Current</t>
  </si>
  <si>
    <t>Diode Current</t>
  </si>
  <si>
    <t>Std Units</t>
  </si>
  <si>
    <t>Part Power Disipation</t>
  </si>
  <si>
    <t>Total Application Switching IQ</t>
  </si>
  <si>
    <t xml:space="preserve">VIN </t>
  </si>
  <si>
    <t>CBOOT</t>
  </si>
  <si>
    <t>VDD</t>
  </si>
  <si>
    <t>SYNC</t>
  </si>
  <si>
    <t>EN</t>
  </si>
  <si>
    <t>PGOOD</t>
  </si>
  <si>
    <t>SS/TRACK</t>
  </si>
  <si>
    <t>FADJ</t>
  </si>
  <si>
    <t>GND</t>
  </si>
  <si>
    <t>COMP</t>
  </si>
  <si>
    <t>FB</t>
  </si>
  <si>
    <t>CS-</t>
  </si>
  <si>
    <t>CS+</t>
  </si>
  <si>
    <t>LG</t>
  </si>
  <si>
    <t>SW</t>
  </si>
  <si>
    <t>HG</t>
  </si>
  <si>
    <t>CIN</t>
  </si>
  <si>
    <t>DCR at hot</t>
  </si>
  <si>
    <t>Temp</t>
  </si>
  <si>
    <t>µH</t>
  </si>
  <si>
    <t>µF</t>
  </si>
  <si>
    <t>Cinmin</t>
  </si>
  <si>
    <t>Vinripple1</t>
  </si>
  <si>
    <t>CinEsrMax</t>
  </si>
  <si>
    <t>Vinripple2</t>
  </si>
  <si>
    <t>DCR</t>
  </si>
  <si>
    <t>Output =</t>
  </si>
  <si>
    <t>Calculated Inductor value for 30% ripple</t>
  </si>
  <si>
    <t>Duty Cycle with DCR accounted for</t>
  </si>
  <si>
    <t>1-Duty Cycle with DCR accounted for</t>
  </si>
  <si>
    <t>OTP</t>
  </si>
  <si>
    <t>D+</t>
  </si>
  <si>
    <t>D-</t>
  </si>
  <si>
    <t>RS</t>
  </si>
  <si>
    <t>Bottom Schottky</t>
  </si>
  <si>
    <t>Rotp</t>
  </si>
  <si>
    <t>Step 2: Filter Inductor</t>
  </si>
  <si>
    <t>This component will first set the midband gain</t>
  </si>
  <si>
    <t>Error Amplifier Finite DC Gain (AOL)</t>
  </si>
  <si>
    <t>Error Amplifier Gain Bandwidth Product (GBW)</t>
  </si>
  <si>
    <t>Cout ESR Zero Location</t>
  </si>
  <si>
    <t>EA Gain (dB)</t>
  </si>
  <si>
    <t>EA Phase</t>
  </si>
  <si>
    <t>EA Gain</t>
  </si>
  <si>
    <t>EA Gain BW</t>
  </si>
  <si>
    <t>Midband Gain For the Error Amplifier</t>
  </si>
  <si>
    <t>Load Cap current during soft start</t>
  </si>
  <si>
    <t>Step 1: Operating Specifications</t>
  </si>
  <si>
    <t>°C</t>
  </si>
  <si>
    <t>Std Values</t>
  </si>
  <si>
    <t>Compensation Components</t>
  </si>
  <si>
    <t>Actual P/Z Frequencies</t>
  </si>
  <si>
    <r>
      <t>A</t>
    </r>
    <r>
      <rPr>
        <vertAlign val="subscript"/>
        <sz val="10"/>
        <rFont val="Arial"/>
        <family val="2"/>
      </rPr>
      <t>pk-pk</t>
    </r>
  </si>
  <si>
    <r>
      <t>mV</t>
    </r>
    <r>
      <rPr>
        <b/>
        <vertAlign val="subscript"/>
        <sz val="10"/>
        <rFont val="Arial"/>
        <family val="2"/>
      </rPr>
      <t>pk-pk</t>
    </r>
  </si>
  <si>
    <r>
      <t>R</t>
    </r>
    <r>
      <rPr>
        <b/>
        <vertAlign val="subscript"/>
        <sz val="10"/>
        <rFont val="Arial"/>
        <family val="2"/>
      </rPr>
      <t>C1</t>
    </r>
  </si>
  <si>
    <r>
      <t>kHz (F</t>
    </r>
    <r>
      <rPr>
        <b/>
        <vertAlign val="subscript"/>
        <sz val="10"/>
        <rFont val="Arial"/>
        <family val="2"/>
      </rPr>
      <t>Z1</t>
    </r>
    <r>
      <rPr>
        <b/>
        <sz val="10"/>
        <rFont val="Arial"/>
        <family val="2"/>
      </rPr>
      <t>)</t>
    </r>
  </si>
  <si>
    <r>
      <t>C</t>
    </r>
    <r>
      <rPr>
        <b/>
        <vertAlign val="subscript"/>
        <sz val="10"/>
        <rFont val="Arial"/>
        <family val="2"/>
      </rPr>
      <t>C1</t>
    </r>
  </si>
  <si>
    <r>
      <t>kHz (F</t>
    </r>
    <r>
      <rPr>
        <b/>
        <vertAlign val="subscript"/>
        <sz val="10"/>
        <rFont val="Arial"/>
        <family val="2"/>
      </rPr>
      <t>Z2</t>
    </r>
    <r>
      <rPr>
        <b/>
        <sz val="10"/>
        <rFont val="Arial"/>
        <family val="2"/>
      </rPr>
      <t>)</t>
    </r>
  </si>
  <si>
    <r>
      <t>C</t>
    </r>
    <r>
      <rPr>
        <b/>
        <vertAlign val="subscript"/>
        <sz val="10"/>
        <rFont val="Arial"/>
        <family val="2"/>
      </rPr>
      <t>C2</t>
    </r>
  </si>
  <si>
    <r>
      <t>kHz (F</t>
    </r>
    <r>
      <rPr>
        <b/>
        <vertAlign val="subscript"/>
        <sz val="10"/>
        <rFont val="Arial"/>
        <family val="2"/>
      </rPr>
      <t>P1</t>
    </r>
    <r>
      <rPr>
        <b/>
        <sz val="10"/>
        <rFont val="Arial"/>
        <family val="2"/>
      </rPr>
      <t>)</t>
    </r>
  </si>
  <si>
    <r>
      <t>R</t>
    </r>
    <r>
      <rPr>
        <b/>
        <vertAlign val="subscript"/>
        <sz val="10"/>
        <rFont val="Arial"/>
        <family val="2"/>
      </rPr>
      <t>C2</t>
    </r>
  </si>
  <si>
    <r>
      <t>kHz (F</t>
    </r>
    <r>
      <rPr>
        <b/>
        <vertAlign val="subscript"/>
        <sz val="10"/>
        <rFont val="Arial"/>
        <family val="2"/>
      </rPr>
      <t>P2</t>
    </r>
    <r>
      <rPr>
        <b/>
        <sz val="10"/>
        <rFont val="Arial"/>
        <family val="2"/>
      </rPr>
      <t>)</t>
    </r>
  </si>
  <si>
    <r>
      <t>C</t>
    </r>
    <r>
      <rPr>
        <b/>
        <vertAlign val="subscript"/>
        <sz val="10"/>
        <rFont val="Arial"/>
        <family val="2"/>
      </rPr>
      <t>C3</t>
    </r>
  </si>
  <si>
    <r>
      <t>mV</t>
    </r>
    <r>
      <rPr>
        <vertAlign val="subscript"/>
        <sz val="10"/>
        <rFont val="Arial"/>
        <family val="2"/>
      </rPr>
      <t>pk-pk</t>
    </r>
  </si>
  <si>
    <t>Efficiency / Power Loss Analyzer</t>
  </si>
  <si>
    <t>Step 7: Compensation Design</t>
  </si>
  <si>
    <t>Calculated /</t>
  </si>
  <si>
    <t xml:space="preserve">Recommended Filter Inductance </t>
  </si>
  <si>
    <t xml:space="preserve">Inductor DCR </t>
  </si>
  <si>
    <t xml:space="preserve">Required Current Limit Setpoint </t>
  </si>
  <si>
    <t xml:space="preserve">Output Voltage Ripple Specification </t>
  </si>
  <si>
    <t xml:space="preserve">Minimum Ideal Output Capacitance </t>
  </si>
  <si>
    <t xml:space="preserve">Maximum Permitted ESR </t>
  </si>
  <si>
    <t xml:space="preserve">Output Capacitor ESR </t>
  </si>
  <si>
    <t xml:space="preserve">Resulting Output Voltage Ripple </t>
  </si>
  <si>
    <t xml:space="preserve">Output Capacitor Ripple Current </t>
  </si>
  <si>
    <t xml:space="preserve">Input Voltage Ripple Specification </t>
  </si>
  <si>
    <t xml:space="preserve">Minimum Ideal Input Capacitance </t>
  </si>
  <si>
    <t xml:space="preserve">Input Capacitor ESR </t>
  </si>
  <si>
    <t xml:space="preserve">Resulting Input Voltage Ripple </t>
  </si>
  <si>
    <t xml:space="preserve">Input Capacitor Ripple Current </t>
  </si>
  <si>
    <t xml:space="preserve">LC Complex Pole Frequency </t>
  </si>
  <si>
    <t xml:space="preserve">ESR Zero Frequency </t>
  </si>
  <si>
    <t xml:space="preserve">Appropriate Midband Gain </t>
  </si>
  <si>
    <t>About</t>
  </si>
  <si>
    <t>xx</t>
  </si>
  <si>
    <t>Current limit setpoint after standard components are selected</t>
  </si>
  <si>
    <t>Output Cap rms current</t>
  </si>
  <si>
    <t>Max ESR before ripple exceeds Vripple1</t>
  </si>
  <si>
    <t>Chosen ESR</t>
  </si>
  <si>
    <t>Input capacitance series resistance (ESR)</t>
  </si>
  <si>
    <t xml:space="preserve">Desired Crossover Frequency </t>
  </si>
  <si>
    <r>
      <t>VIN</t>
    </r>
    <r>
      <rPr>
        <vertAlign val="subscript"/>
        <sz val="10"/>
        <rFont val="Arial"/>
        <family val="2"/>
      </rPr>
      <t>UVLO_ON</t>
    </r>
  </si>
  <si>
    <r>
      <t>VIN</t>
    </r>
    <r>
      <rPr>
        <vertAlign val="subscript"/>
        <sz val="10"/>
        <rFont val="Arial"/>
        <family val="2"/>
      </rPr>
      <t>UVLO_OFF</t>
    </r>
  </si>
  <si>
    <t>Rising UVLO/EN Threshold</t>
  </si>
  <si>
    <t>Falling UVLO/EN Threshold</t>
  </si>
  <si>
    <t>Falling UVLO/EN Falling</t>
  </si>
  <si>
    <t xml:space="preserve">Rising UVLO/EN Hysteresis </t>
  </si>
  <si>
    <t>UVLO/EN Current Hysteresis</t>
  </si>
  <si>
    <t>kΩ</t>
  </si>
  <si>
    <r>
      <t>VIN</t>
    </r>
    <r>
      <rPr>
        <vertAlign val="subscript"/>
        <sz val="10"/>
        <rFont val="Arial"/>
        <family val="2"/>
      </rPr>
      <t>UVLO_ON_ACTUAL</t>
    </r>
  </si>
  <si>
    <r>
      <t>VIN</t>
    </r>
    <r>
      <rPr>
        <vertAlign val="subscript"/>
        <sz val="10"/>
        <rFont val="Arial"/>
        <family val="2"/>
      </rPr>
      <t>UVLO_OFF_ACTUAL</t>
    </r>
  </si>
  <si>
    <t>Size</t>
  </si>
  <si>
    <t>MFR</t>
  </si>
  <si>
    <t>Std</t>
  </si>
  <si>
    <t>See description</t>
  </si>
  <si>
    <t>TI</t>
  </si>
  <si>
    <t>0603</t>
  </si>
  <si>
    <r>
      <t>C</t>
    </r>
    <r>
      <rPr>
        <vertAlign val="subscript"/>
        <sz val="10"/>
        <rFont val="Arial"/>
        <family val="2"/>
      </rPr>
      <t>C1</t>
    </r>
  </si>
  <si>
    <r>
      <t>C</t>
    </r>
    <r>
      <rPr>
        <vertAlign val="subscript"/>
        <sz val="10"/>
        <rFont val="Arial"/>
        <family val="2"/>
      </rPr>
      <t>C2</t>
    </r>
  </si>
  <si>
    <r>
      <t>C</t>
    </r>
    <r>
      <rPr>
        <vertAlign val="subscript"/>
        <sz val="10"/>
        <rFont val="Arial"/>
        <family val="2"/>
      </rPr>
      <t>C3</t>
    </r>
  </si>
  <si>
    <r>
      <t>C</t>
    </r>
    <r>
      <rPr>
        <vertAlign val="subscript"/>
        <sz val="10"/>
        <rFont val="Arial"/>
        <family val="2"/>
      </rPr>
      <t>IN</t>
    </r>
  </si>
  <si>
    <r>
      <t>C</t>
    </r>
    <r>
      <rPr>
        <vertAlign val="subscript"/>
        <sz val="10"/>
        <rFont val="Arial"/>
        <family val="2"/>
      </rPr>
      <t>OUT</t>
    </r>
  </si>
  <si>
    <r>
      <t>C</t>
    </r>
    <r>
      <rPr>
        <vertAlign val="subscript"/>
        <sz val="10"/>
        <rFont val="Arial"/>
        <family val="2"/>
      </rPr>
      <t>SS</t>
    </r>
  </si>
  <si>
    <r>
      <t>C</t>
    </r>
    <r>
      <rPr>
        <vertAlign val="subscript"/>
        <sz val="10"/>
        <rFont val="Arial"/>
        <family val="2"/>
      </rPr>
      <t>VIN</t>
    </r>
  </si>
  <si>
    <t>Ref Des</t>
  </si>
  <si>
    <t>Count</t>
  </si>
  <si>
    <t>Various</t>
  </si>
  <si>
    <r>
      <t>Q</t>
    </r>
    <r>
      <rPr>
        <vertAlign val="subscript"/>
        <sz val="10"/>
        <rFont val="Arial"/>
        <family val="2"/>
      </rPr>
      <t>1</t>
    </r>
  </si>
  <si>
    <r>
      <t>Q</t>
    </r>
    <r>
      <rPr>
        <vertAlign val="subscript"/>
        <sz val="10"/>
        <rFont val="Arial"/>
        <family val="2"/>
      </rPr>
      <t>2</t>
    </r>
  </si>
  <si>
    <r>
      <t>R</t>
    </r>
    <r>
      <rPr>
        <vertAlign val="subscript"/>
        <sz val="10"/>
        <rFont val="Arial"/>
        <family val="2"/>
      </rPr>
      <t>C1</t>
    </r>
  </si>
  <si>
    <r>
      <t>R</t>
    </r>
    <r>
      <rPr>
        <vertAlign val="subscript"/>
        <sz val="10"/>
        <rFont val="Arial"/>
        <family val="2"/>
      </rPr>
      <t>C2</t>
    </r>
  </si>
  <si>
    <r>
      <t>R</t>
    </r>
    <r>
      <rPr>
        <vertAlign val="subscript"/>
        <sz val="10"/>
        <rFont val="Arial"/>
        <family val="2"/>
      </rPr>
      <t>UV1</t>
    </r>
  </si>
  <si>
    <r>
      <t>R</t>
    </r>
    <r>
      <rPr>
        <vertAlign val="subscript"/>
        <sz val="10"/>
        <rFont val="Arial"/>
        <family val="2"/>
      </rPr>
      <t>UV2</t>
    </r>
  </si>
  <si>
    <r>
      <t>R</t>
    </r>
    <r>
      <rPr>
        <vertAlign val="subscript"/>
        <sz val="10"/>
        <rFont val="Arial"/>
        <family val="2"/>
      </rPr>
      <t>VIN</t>
    </r>
  </si>
  <si>
    <r>
      <t>R</t>
    </r>
    <r>
      <rPr>
        <vertAlign val="subscript"/>
        <sz val="10"/>
        <rFont val="Arial"/>
        <family val="2"/>
      </rPr>
      <t>S</t>
    </r>
  </si>
  <si>
    <r>
      <t>R</t>
    </r>
    <r>
      <rPr>
        <vertAlign val="subscript"/>
        <sz val="10"/>
        <rFont val="Arial"/>
        <family val="2"/>
      </rPr>
      <t>PGOOD</t>
    </r>
  </si>
  <si>
    <r>
      <t>R</t>
    </r>
    <r>
      <rPr>
        <vertAlign val="subscript"/>
        <sz val="10"/>
        <rFont val="Arial"/>
        <family val="2"/>
      </rPr>
      <t>FB1</t>
    </r>
  </si>
  <si>
    <r>
      <t>R</t>
    </r>
    <r>
      <rPr>
        <vertAlign val="subscript"/>
        <sz val="10"/>
        <rFont val="Arial"/>
        <family val="2"/>
      </rPr>
      <t>FB2</t>
    </r>
  </si>
  <si>
    <r>
      <t>U</t>
    </r>
    <r>
      <rPr>
        <b/>
        <vertAlign val="subscript"/>
        <sz val="10"/>
        <rFont val="Arial"/>
        <family val="2"/>
      </rPr>
      <t>1</t>
    </r>
  </si>
  <si>
    <t>Rpgood</t>
  </si>
  <si>
    <t>20kΩ</t>
  </si>
  <si>
    <t>Cd</t>
  </si>
  <si>
    <t>Ruv1</t>
  </si>
  <si>
    <t>Ruv2</t>
  </si>
  <si>
    <t># of input caps</t>
  </si>
  <si>
    <t>Capacitance per component (Cin)</t>
  </si>
  <si>
    <t>Capacitance per component (Cout)</t>
  </si>
  <si>
    <t># of output caps</t>
  </si>
  <si>
    <r>
      <t>High-Side MOSFET (Q</t>
    </r>
    <r>
      <rPr>
        <b/>
        <vertAlign val="subscript"/>
        <sz val="10"/>
        <color rgb="FF0000FF"/>
        <rFont val="Arial"/>
        <family val="2"/>
      </rPr>
      <t>1</t>
    </r>
    <r>
      <rPr>
        <b/>
        <sz val="10"/>
        <color rgb="FF0000FF"/>
        <rFont val="Arial"/>
        <family val="2"/>
      </rPr>
      <t>) Specifications</t>
    </r>
  </si>
  <si>
    <r>
      <t>Low-Side MOSFET (Q</t>
    </r>
    <r>
      <rPr>
        <b/>
        <vertAlign val="subscript"/>
        <sz val="10"/>
        <color rgb="FF0000FF"/>
        <rFont val="Arial"/>
        <family val="2"/>
      </rPr>
      <t>2</t>
    </r>
    <r>
      <rPr>
        <b/>
        <sz val="10"/>
        <color rgb="FF0000FF"/>
        <rFont val="Arial"/>
        <family val="2"/>
      </rPr>
      <t>) Specifications</t>
    </r>
  </si>
  <si>
    <r>
      <t>F</t>
    </r>
    <r>
      <rPr>
        <b/>
        <vertAlign val="subscript"/>
        <sz val="10"/>
        <rFont val="Arial"/>
        <family val="2"/>
      </rPr>
      <t>P1</t>
    </r>
    <r>
      <rPr>
        <b/>
        <sz val="10"/>
        <rFont val="Arial"/>
        <family val="2"/>
      </rPr>
      <t xml:space="preserve">  </t>
    </r>
  </si>
  <si>
    <r>
      <t>F</t>
    </r>
    <r>
      <rPr>
        <b/>
        <vertAlign val="subscript"/>
        <sz val="10"/>
        <rFont val="Arial"/>
        <family val="2"/>
      </rPr>
      <t>P2</t>
    </r>
    <r>
      <rPr>
        <b/>
        <sz val="10"/>
        <rFont val="Arial"/>
        <family val="2"/>
      </rPr>
      <t xml:space="preserve">  </t>
    </r>
  </si>
  <si>
    <r>
      <t>F</t>
    </r>
    <r>
      <rPr>
        <b/>
        <vertAlign val="subscript"/>
        <sz val="10"/>
        <rFont val="Arial"/>
        <family val="2"/>
      </rPr>
      <t xml:space="preserve">Z1  </t>
    </r>
  </si>
  <si>
    <r>
      <t>F</t>
    </r>
    <r>
      <rPr>
        <b/>
        <vertAlign val="subscript"/>
        <sz val="10"/>
        <rFont val="Arial"/>
        <family val="2"/>
      </rPr>
      <t xml:space="preserve">Z2  </t>
    </r>
  </si>
  <si>
    <t>Ω</t>
  </si>
  <si>
    <t>** Inductor saturation current should be higher than the current limit setpoint at all operating temperatures **</t>
  </si>
  <si>
    <r>
      <rPr>
        <b/>
        <u/>
        <sz val="10"/>
        <rFont val="Arial"/>
        <family val="2"/>
      </rPr>
      <t>NOTES</t>
    </r>
    <r>
      <rPr>
        <b/>
        <sz val="10"/>
        <rFont val="Arial"/>
        <family val="2"/>
      </rPr>
      <t>:</t>
    </r>
  </si>
  <si>
    <t>Series resistance due to FETs</t>
  </si>
  <si>
    <t>Chosen Inductor Value</t>
  </si>
  <si>
    <t>Ripple Current after Chosen inductor (p-p)</t>
  </si>
  <si>
    <t>Chosen Crossover</t>
  </si>
  <si>
    <t>Output Resistance</t>
  </si>
  <si>
    <t>This zero is set at or below the double pole location</t>
  </si>
  <si>
    <r>
      <t>Inductor Ripple Current as a % of Max I</t>
    </r>
    <r>
      <rPr>
        <vertAlign val="subscript"/>
        <sz val="10"/>
        <rFont val="Arial"/>
        <family val="2"/>
      </rPr>
      <t>OUT</t>
    </r>
    <r>
      <rPr>
        <sz val="10"/>
        <rFont val="Arial"/>
        <family val="2"/>
      </rPr>
      <t xml:space="preserve"> </t>
    </r>
  </si>
  <si>
    <r>
      <t>On-State Resistance, R</t>
    </r>
    <r>
      <rPr>
        <b/>
        <vertAlign val="subscript"/>
        <sz val="10"/>
        <rFont val="Arial"/>
        <family val="2"/>
      </rPr>
      <t>DS(on)</t>
    </r>
    <r>
      <rPr>
        <b/>
        <sz val="10"/>
        <rFont val="Arial"/>
        <family val="2"/>
      </rPr>
      <t xml:space="preserve"> </t>
    </r>
  </si>
  <si>
    <r>
      <t>Total Gate Charge, Q</t>
    </r>
    <r>
      <rPr>
        <b/>
        <vertAlign val="subscript"/>
        <sz val="10"/>
        <rFont val="Arial"/>
        <family val="2"/>
      </rPr>
      <t>G</t>
    </r>
    <r>
      <rPr>
        <b/>
        <sz val="10"/>
        <rFont val="Arial"/>
        <family val="2"/>
      </rPr>
      <t xml:space="preserve"> </t>
    </r>
  </si>
  <si>
    <r>
      <t>Gate-Drain Charge, Q</t>
    </r>
    <r>
      <rPr>
        <b/>
        <vertAlign val="subscript"/>
        <sz val="10"/>
        <rFont val="Arial"/>
        <family val="2"/>
      </rPr>
      <t>GD</t>
    </r>
    <r>
      <rPr>
        <b/>
        <sz val="10"/>
        <rFont val="Arial"/>
        <family val="2"/>
      </rPr>
      <t xml:space="preserve"> </t>
    </r>
  </si>
  <si>
    <r>
      <t>Gate-Source Charge, Q</t>
    </r>
    <r>
      <rPr>
        <b/>
        <vertAlign val="subscript"/>
        <sz val="10"/>
        <rFont val="Arial"/>
        <family val="2"/>
      </rPr>
      <t>GS</t>
    </r>
    <r>
      <rPr>
        <b/>
        <sz val="10"/>
        <rFont val="Arial"/>
        <family val="2"/>
      </rPr>
      <t xml:space="preserve"> </t>
    </r>
  </si>
  <si>
    <r>
      <t>Gate Resistance, R</t>
    </r>
    <r>
      <rPr>
        <b/>
        <vertAlign val="subscript"/>
        <sz val="10"/>
        <rFont val="Arial"/>
        <family val="2"/>
      </rPr>
      <t>G</t>
    </r>
    <r>
      <rPr>
        <b/>
        <sz val="10"/>
        <rFont val="Arial"/>
        <family val="2"/>
      </rPr>
      <t xml:space="preserve"> </t>
    </r>
  </si>
  <si>
    <r>
      <t>Transconductance, g</t>
    </r>
    <r>
      <rPr>
        <b/>
        <vertAlign val="subscript"/>
        <sz val="10"/>
        <rFont val="Arial"/>
        <family val="2"/>
      </rPr>
      <t>FS</t>
    </r>
    <r>
      <rPr>
        <b/>
        <sz val="10"/>
        <rFont val="Arial"/>
        <family val="2"/>
      </rPr>
      <t xml:space="preserve"> </t>
    </r>
  </si>
  <si>
    <r>
      <t>Gate-Source Threshold Voltage, V</t>
    </r>
    <r>
      <rPr>
        <b/>
        <vertAlign val="subscript"/>
        <sz val="10"/>
        <rFont val="Arial"/>
        <family val="2"/>
      </rPr>
      <t>GS(TH)</t>
    </r>
    <r>
      <rPr>
        <b/>
        <sz val="10"/>
        <rFont val="Arial"/>
        <family val="2"/>
      </rPr>
      <t xml:space="preserve"> </t>
    </r>
  </si>
  <si>
    <r>
      <t>Thermal Resistance, θ</t>
    </r>
    <r>
      <rPr>
        <b/>
        <vertAlign val="subscript"/>
        <sz val="10"/>
        <rFont val="Arial"/>
        <family val="2"/>
      </rPr>
      <t>JA</t>
    </r>
    <r>
      <rPr>
        <b/>
        <sz val="10"/>
        <rFont val="Arial"/>
        <family val="2"/>
      </rPr>
      <t xml:space="preserve"> </t>
    </r>
  </si>
  <si>
    <r>
      <t>Body Diode Recovery Charge, Q</t>
    </r>
    <r>
      <rPr>
        <b/>
        <vertAlign val="subscript"/>
        <sz val="10"/>
        <rFont val="Arial"/>
        <family val="2"/>
      </rPr>
      <t>RR</t>
    </r>
    <r>
      <rPr>
        <b/>
        <sz val="10"/>
        <rFont val="Arial"/>
        <family val="2"/>
      </rPr>
      <t xml:space="preserve"> </t>
    </r>
  </si>
  <si>
    <r>
      <t>Schottky Diode Recovery Charge, Q</t>
    </r>
    <r>
      <rPr>
        <b/>
        <vertAlign val="subscript"/>
        <sz val="10"/>
        <rFont val="Arial"/>
        <family val="2"/>
      </rPr>
      <t>RR2</t>
    </r>
    <r>
      <rPr>
        <b/>
        <sz val="10"/>
        <rFont val="Arial"/>
        <family val="2"/>
      </rPr>
      <t xml:space="preserve"> </t>
    </r>
  </si>
  <si>
    <r>
      <t>Body Diode Forward Voltage, V</t>
    </r>
    <r>
      <rPr>
        <b/>
        <vertAlign val="subscript"/>
        <sz val="10"/>
        <rFont val="Arial"/>
        <family val="2"/>
      </rPr>
      <t>BD2</t>
    </r>
    <r>
      <rPr>
        <b/>
        <sz val="10"/>
        <rFont val="Arial"/>
        <family val="2"/>
      </rPr>
      <t xml:space="preserve"> </t>
    </r>
  </si>
  <si>
    <r>
      <t>Schottky Diode Forward Voltage, V</t>
    </r>
    <r>
      <rPr>
        <b/>
        <vertAlign val="subscript"/>
        <sz val="10"/>
        <rFont val="Arial"/>
        <family val="2"/>
      </rPr>
      <t>SD</t>
    </r>
    <r>
      <rPr>
        <b/>
        <sz val="10"/>
        <rFont val="Arial"/>
        <family val="2"/>
      </rPr>
      <t xml:space="preserve"> </t>
    </r>
  </si>
  <si>
    <r>
      <t>Body Diode Forward Voltage, V</t>
    </r>
    <r>
      <rPr>
        <b/>
        <vertAlign val="subscript"/>
        <sz val="10"/>
        <rFont val="Arial"/>
        <family val="2"/>
      </rPr>
      <t>BD1</t>
    </r>
    <r>
      <rPr>
        <b/>
        <sz val="10"/>
        <rFont val="Arial"/>
        <family val="2"/>
      </rPr>
      <t xml:space="preserve"> </t>
    </r>
  </si>
  <si>
    <t>Peak-to-Peak Ramp Voltage of PWM</t>
  </si>
  <si>
    <t>%/°C</t>
  </si>
  <si>
    <t>1nF</t>
  </si>
  <si>
    <r>
      <t>Step 3: R</t>
    </r>
    <r>
      <rPr>
        <b/>
        <vertAlign val="subscript"/>
        <sz val="12"/>
        <color indexed="12"/>
        <rFont val="Arial"/>
        <family val="2"/>
      </rPr>
      <t>DS(on)</t>
    </r>
    <r>
      <rPr>
        <b/>
        <sz val="12"/>
        <color indexed="12"/>
        <rFont val="Arial"/>
        <family val="2"/>
      </rPr>
      <t xml:space="preserve"> or Shunt-Based Current Limit</t>
    </r>
  </si>
  <si>
    <r>
      <t>Maximum Output Current, I</t>
    </r>
    <r>
      <rPr>
        <b/>
        <vertAlign val="subscript"/>
        <sz val="10"/>
        <color theme="1"/>
        <rFont val="Arial"/>
        <family val="2"/>
      </rPr>
      <t>OUT</t>
    </r>
    <r>
      <rPr>
        <b/>
        <sz val="10"/>
        <color theme="1"/>
        <rFont val="Arial"/>
        <family val="2"/>
      </rPr>
      <t xml:space="preserve"> </t>
    </r>
  </si>
  <si>
    <r>
      <t>Output Voltage, V</t>
    </r>
    <r>
      <rPr>
        <b/>
        <vertAlign val="subscript"/>
        <sz val="10"/>
        <color theme="1"/>
        <rFont val="Arial"/>
        <family val="2"/>
      </rPr>
      <t>OUT</t>
    </r>
    <r>
      <rPr>
        <b/>
        <sz val="10"/>
        <color theme="1"/>
        <rFont val="Arial"/>
        <family val="2"/>
      </rPr>
      <t xml:space="preserve"> </t>
    </r>
  </si>
  <si>
    <r>
      <t>Inductance, L</t>
    </r>
    <r>
      <rPr>
        <b/>
        <vertAlign val="subscript"/>
        <sz val="10"/>
        <color theme="1"/>
        <rFont val="Arial"/>
        <family val="2"/>
      </rPr>
      <t>F</t>
    </r>
    <r>
      <rPr>
        <b/>
        <sz val="10"/>
        <color theme="1"/>
        <rFont val="Arial"/>
        <family val="2"/>
      </rPr>
      <t xml:space="preserve"> </t>
    </r>
  </si>
  <si>
    <r>
      <t>Frequency Set Resistor, R</t>
    </r>
    <r>
      <rPr>
        <vertAlign val="subscript"/>
        <sz val="10"/>
        <rFont val="Arial"/>
        <family val="2"/>
      </rPr>
      <t>RT</t>
    </r>
    <r>
      <rPr>
        <sz val="10"/>
        <rFont val="Arial"/>
        <family val="2"/>
      </rPr>
      <t xml:space="preserve"> </t>
    </r>
  </si>
  <si>
    <r>
      <t>Min Inductor Sat Current, I</t>
    </r>
    <r>
      <rPr>
        <vertAlign val="subscript"/>
        <sz val="10"/>
        <rFont val="Arial"/>
        <family val="2"/>
      </rPr>
      <t>L(SAT)</t>
    </r>
  </si>
  <si>
    <r>
      <t>Pk-to-Pk Ripple Current at V</t>
    </r>
    <r>
      <rPr>
        <vertAlign val="subscript"/>
        <sz val="10"/>
        <rFont val="Arial"/>
        <family val="2"/>
      </rPr>
      <t>IN(nom)</t>
    </r>
    <r>
      <rPr>
        <sz val="10"/>
        <rFont val="Arial"/>
        <family val="2"/>
      </rPr>
      <t xml:space="preserve">, </t>
    </r>
    <r>
      <rPr>
        <sz val="10"/>
        <rFont val="Symbol"/>
        <family val="1"/>
        <charset val="2"/>
      </rPr>
      <t>D</t>
    </r>
    <r>
      <rPr>
        <sz val="10"/>
        <rFont val="Arial"/>
        <family val="2"/>
      </rPr>
      <t>I</t>
    </r>
    <r>
      <rPr>
        <vertAlign val="subscript"/>
        <sz val="10"/>
        <rFont val="Arial"/>
        <family val="2"/>
      </rPr>
      <t>L</t>
    </r>
  </si>
  <si>
    <r>
      <t>Input Voltage ‒ Min, V</t>
    </r>
    <r>
      <rPr>
        <b/>
        <vertAlign val="subscript"/>
        <sz val="10"/>
        <color theme="1"/>
        <rFont val="Arial"/>
        <family val="2"/>
      </rPr>
      <t>IN(min)</t>
    </r>
    <r>
      <rPr>
        <b/>
        <sz val="10"/>
        <color theme="1"/>
        <rFont val="Arial"/>
        <family val="2"/>
      </rPr>
      <t xml:space="preserve"> </t>
    </r>
  </si>
  <si>
    <r>
      <t>Input Voltage ‒ Nom, V</t>
    </r>
    <r>
      <rPr>
        <b/>
        <vertAlign val="subscript"/>
        <sz val="10"/>
        <color theme="1"/>
        <rFont val="Arial"/>
        <family val="2"/>
      </rPr>
      <t>IN(nom)</t>
    </r>
    <r>
      <rPr>
        <b/>
        <sz val="10"/>
        <color theme="1"/>
        <rFont val="Arial"/>
        <family val="2"/>
      </rPr>
      <t xml:space="preserve"> </t>
    </r>
  </si>
  <si>
    <r>
      <t>Input Voltage ‒ Max, V</t>
    </r>
    <r>
      <rPr>
        <b/>
        <vertAlign val="subscript"/>
        <sz val="10"/>
        <color theme="1"/>
        <rFont val="Arial"/>
        <family val="2"/>
      </rPr>
      <t>IN(max)</t>
    </r>
    <r>
      <rPr>
        <b/>
        <sz val="10"/>
        <color theme="1"/>
        <rFont val="Arial"/>
        <family val="2"/>
      </rPr>
      <t xml:space="preserve"> </t>
    </r>
  </si>
  <si>
    <t>1 = Yes, 2 = No</t>
  </si>
  <si>
    <t>R_RT</t>
  </si>
  <si>
    <t>Vinmax</t>
  </si>
  <si>
    <t>Vinmin</t>
  </si>
  <si>
    <t>Doff_Vinmax</t>
  </si>
  <si>
    <t>Don_Vinmax</t>
  </si>
  <si>
    <t>Min input voltage</t>
  </si>
  <si>
    <t>Max input voltage</t>
  </si>
  <si>
    <t>Chosen current limit level - valley current</t>
  </si>
  <si>
    <t>Current Limit Current Source - Rdson sensing</t>
  </si>
  <si>
    <t>Current Limit Current Source - shunt sensing</t>
  </si>
  <si>
    <t>Rshunt</t>
  </si>
  <si>
    <t>Standard value current limit set resistor</t>
  </si>
  <si>
    <t>Ideal Rset for the chosen current limit</t>
  </si>
  <si>
    <r>
      <t>Current Limit Set Resistor, R</t>
    </r>
    <r>
      <rPr>
        <vertAlign val="subscript"/>
        <sz val="10"/>
        <rFont val="Arial"/>
        <family val="2"/>
      </rPr>
      <t>ILIM</t>
    </r>
    <r>
      <rPr>
        <sz val="10"/>
        <rFont val="Arial"/>
        <family val="2"/>
      </rPr>
      <t xml:space="preserve"> </t>
    </r>
  </si>
  <si>
    <t>Power dissipation in the shunt</t>
  </si>
  <si>
    <t>Rilim_shunt_ideal</t>
  </si>
  <si>
    <t>Ilim1</t>
  </si>
  <si>
    <t>Ilim2</t>
  </si>
  <si>
    <t>Rilim_Rdson_ideal</t>
  </si>
  <si>
    <t>Rilim_Rdson</t>
  </si>
  <si>
    <t>Rilim_shunt</t>
  </si>
  <si>
    <r>
      <t>Power Loss in R</t>
    </r>
    <r>
      <rPr>
        <vertAlign val="subscript"/>
        <sz val="10"/>
        <color theme="1"/>
        <rFont val="Arial"/>
        <family val="2"/>
      </rPr>
      <t>S</t>
    </r>
    <r>
      <rPr>
        <sz val="10"/>
        <color theme="1"/>
        <rFont val="Arial"/>
        <family val="2"/>
      </rPr>
      <t xml:space="preserve"> at Full Load, Max V</t>
    </r>
    <r>
      <rPr>
        <vertAlign val="subscript"/>
        <sz val="10"/>
        <color theme="1"/>
        <rFont val="Arial"/>
        <family val="2"/>
      </rPr>
      <t>IN</t>
    </r>
  </si>
  <si>
    <r>
      <t>UVLO Upper Resistor, R</t>
    </r>
    <r>
      <rPr>
        <vertAlign val="subscript"/>
        <sz val="10"/>
        <rFont val="Arial"/>
        <family val="2"/>
      </rPr>
      <t>UV1</t>
    </r>
  </si>
  <si>
    <r>
      <t>UVLO Lower Resistor, R</t>
    </r>
    <r>
      <rPr>
        <vertAlign val="subscript"/>
        <sz val="10"/>
        <rFont val="Arial"/>
        <family val="2"/>
      </rPr>
      <t>UV2</t>
    </r>
  </si>
  <si>
    <r>
      <t>Upper Feedback Resistor, R</t>
    </r>
    <r>
      <rPr>
        <b/>
        <vertAlign val="subscript"/>
        <sz val="10"/>
        <rFont val="Arial"/>
        <family val="2"/>
      </rPr>
      <t xml:space="preserve">FB1 </t>
    </r>
  </si>
  <si>
    <r>
      <t>Lower Feedback Resistor, R</t>
    </r>
    <r>
      <rPr>
        <vertAlign val="subscript"/>
        <sz val="10"/>
        <rFont val="Arial"/>
        <family val="2"/>
      </rPr>
      <t>FB2</t>
    </r>
    <r>
      <rPr>
        <sz val="10"/>
        <rFont val="Arial"/>
        <family val="2"/>
      </rPr>
      <t xml:space="preserve"> </t>
    </r>
  </si>
  <si>
    <t>Rilim</t>
  </si>
  <si>
    <r>
      <t>R</t>
    </r>
    <r>
      <rPr>
        <vertAlign val="subscript"/>
        <sz val="10"/>
        <rFont val="Arial"/>
        <family val="2"/>
      </rPr>
      <t>DS(on)</t>
    </r>
    <r>
      <rPr>
        <sz val="10"/>
        <rFont val="Arial"/>
        <family val="2"/>
      </rPr>
      <t xml:space="preserve"> sensing</t>
    </r>
  </si>
  <si>
    <t>Shunt sensing</t>
  </si>
  <si>
    <r>
      <t>Shunt, R</t>
    </r>
    <r>
      <rPr>
        <b/>
        <vertAlign val="subscript"/>
        <sz val="10"/>
        <color theme="1"/>
        <rFont val="Arial"/>
        <family val="2"/>
      </rPr>
      <t>S</t>
    </r>
  </si>
  <si>
    <r>
      <t>L</t>
    </r>
    <r>
      <rPr>
        <vertAlign val="subscript"/>
        <sz val="10"/>
        <rFont val="Arial"/>
        <family val="2"/>
      </rPr>
      <t>F</t>
    </r>
  </si>
  <si>
    <t>Ilsat</t>
  </si>
  <si>
    <r>
      <t>C</t>
    </r>
    <r>
      <rPr>
        <vertAlign val="subscript"/>
        <sz val="10"/>
        <rFont val="Arial"/>
        <family val="2"/>
      </rPr>
      <t>VCC</t>
    </r>
  </si>
  <si>
    <r>
      <t>C</t>
    </r>
    <r>
      <rPr>
        <vertAlign val="subscript"/>
        <sz val="10"/>
        <rFont val="Arial"/>
        <family val="2"/>
      </rPr>
      <t>BOOT</t>
    </r>
  </si>
  <si>
    <r>
      <t>R</t>
    </r>
    <r>
      <rPr>
        <vertAlign val="subscript"/>
        <sz val="10"/>
        <rFont val="Arial"/>
        <family val="2"/>
      </rPr>
      <t>ILIM</t>
    </r>
  </si>
  <si>
    <r>
      <t>R</t>
    </r>
    <r>
      <rPr>
        <vertAlign val="subscript"/>
        <sz val="10"/>
        <rFont val="Arial"/>
        <family val="2"/>
      </rPr>
      <t>RT</t>
    </r>
  </si>
  <si>
    <t>DC Current Limit Setpoint</t>
  </si>
  <si>
    <t xml:space="preserve">     kHz</t>
  </si>
  <si>
    <t>Step 6: Soft-start, UVLO</t>
  </si>
  <si>
    <t>Input Voltage UVLO Turn-On</t>
  </si>
  <si>
    <t>Input Voltage UVLO Turn-Off</t>
  </si>
  <si>
    <r>
      <t>Soft-Start Time, t</t>
    </r>
    <r>
      <rPr>
        <b/>
        <vertAlign val="subscript"/>
        <sz val="10"/>
        <color theme="1"/>
        <rFont val="Arial"/>
        <family val="2"/>
      </rPr>
      <t>SS</t>
    </r>
    <r>
      <rPr>
        <b/>
        <sz val="10"/>
        <color theme="1"/>
        <rFont val="Arial"/>
        <family val="2"/>
      </rPr>
      <t xml:space="preserve"> </t>
    </r>
  </si>
  <si>
    <r>
      <t>Soft-Start Capacitance, C</t>
    </r>
    <r>
      <rPr>
        <vertAlign val="subscript"/>
        <sz val="10"/>
        <rFont val="Arial"/>
        <family val="2"/>
      </rPr>
      <t>SS</t>
    </r>
    <r>
      <rPr>
        <sz val="10"/>
        <rFont val="Arial"/>
        <family val="2"/>
      </rPr>
      <t xml:space="preserve"> </t>
    </r>
  </si>
  <si>
    <t>Vcc</t>
  </si>
  <si>
    <t>Shunt</t>
  </si>
  <si>
    <t>Shunt Loss (if applicable)</t>
  </si>
  <si>
    <r>
      <t>m</t>
    </r>
    <r>
      <rPr>
        <sz val="10"/>
        <rFont val="Symbol"/>
        <family val="1"/>
        <charset val="2"/>
      </rPr>
      <t>W</t>
    </r>
  </si>
  <si>
    <t>ppm/°C</t>
  </si>
  <si>
    <t>Subregulated VCC rail</t>
  </si>
  <si>
    <r>
      <t>Free-running Switching Frequency, F</t>
    </r>
    <r>
      <rPr>
        <b/>
        <vertAlign val="subscript"/>
        <sz val="10"/>
        <color theme="1"/>
        <rFont val="Arial"/>
        <family val="2"/>
      </rPr>
      <t>SW</t>
    </r>
  </si>
  <si>
    <r>
      <t>SYNC Frequency (if used), F</t>
    </r>
    <r>
      <rPr>
        <b/>
        <vertAlign val="subscript"/>
        <sz val="10"/>
        <color theme="1"/>
        <rFont val="Arial"/>
        <family val="2"/>
      </rPr>
      <t>SW-SYNC</t>
    </r>
  </si>
  <si>
    <t>VQFN-20</t>
  </si>
  <si>
    <t>6.3V</t>
  </si>
  <si>
    <t>Vout&lt;=8V</t>
  </si>
  <si>
    <t>10V</t>
  </si>
  <si>
    <t>Vout&lt;=12V</t>
  </si>
  <si>
    <t>16V</t>
  </si>
  <si>
    <t>Vout&lt;=20V</t>
  </si>
  <si>
    <t>25V</t>
  </si>
  <si>
    <t>50V</t>
  </si>
  <si>
    <t>Cout Voltage Rating</t>
  </si>
  <si>
    <t>0402</t>
  </si>
  <si>
    <t>1.0 x 0.5</t>
  </si>
  <si>
    <t>1.6 x 0.8</t>
  </si>
  <si>
    <t>0805</t>
  </si>
  <si>
    <t>2.0 x 1.25</t>
  </si>
  <si>
    <t>1206</t>
  </si>
  <si>
    <t>3.2 x 1.6</t>
  </si>
  <si>
    <t>1210</t>
  </si>
  <si>
    <t>3.2 x 2.5</t>
  </si>
  <si>
    <t>Component Size</t>
  </si>
  <si>
    <t>3mm x 3mm</t>
  </si>
  <si>
    <t>3.0 x 3.0</t>
  </si>
  <si>
    <t>4mm x 4mm</t>
  </si>
  <si>
    <t>4.0 x 4.0</t>
  </si>
  <si>
    <t>5mm x 5mm</t>
  </si>
  <si>
    <t>5.0 x 5.0</t>
  </si>
  <si>
    <t>6mm x 6mm</t>
  </si>
  <si>
    <t>6.0 x 6.0</t>
  </si>
  <si>
    <t>7mm x 7mm</t>
  </si>
  <si>
    <t>7.0 x 7.0</t>
  </si>
  <si>
    <t>Inductor Size</t>
  </si>
  <si>
    <t>Vout&lt;=42V</t>
  </si>
  <si>
    <t>Vout&lt;60V</t>
  </si>
  <si>
    <t>100V</t>
  </si>
  <si>
    <t>Current Sensing</t>
  </si>
  <si>
    <t>MOSFET package</t>
  </si>
  <si>
    <t>8mm x 8mm</t>
  </si>
  <si>
    <t>8.0 x 8.0</t>
  </si>
  <si>
    <t>10mm x 10mm</t>
  </si>
  <si>
    <t>10.0 x 10.0</t>
  </si>
  <si>
    <t>12mm x 12mm</t>
  </si>
  <si>
    <t>12.0 x 12.0</t>
  </si>
  <si>
    <t>Cin Voltage Rating</t>
  </si>
  <si>
    <t>Vin(max)&lt;=8V</t>
  </si>
  <si>
    <t>Vin(max)&lt;=12V</t>
  </si>
  <si>
    <t>Vin(max)&lt;=20V</t>
  </si>
  <si>
    <t>Vin(max)&lt;=42V</t>
  </si>
  <si>
    <t>Vin(max)&lt;100V</t>
  </si>
  <si>
    <t>Footprint (mm)</t>
  </si>
  <si>
    <r>
      <t>Area (mm</t>
    </r>
    <r>
      <rPr>
        <b/>
        <vertAlign val="superscript"/>
        <sz val="10"/>
        <color theme="0"/>
        <rFont val="Arial"/>
        <family val="2"/>
      </rPr>
      <t>2</t>
    </r>
    <r>
      <rPr>
        <b/>
        <sz val="10"/>
        <color theme="0"/>
        <rFont val="Arial"/>
        <family val="2"/>
      </rPr>
      <t>)</t>
    </r>
  </si>
  <si>
    <t>Total Solution Size (buffered by 25%)</t>
  </si>
  <si>
    <r>
      <t>mm</t>
    </r>
    <r>
      <rPr>
        <b/>
        <vertAlign val="superscript"/>
        <sz val="12"/>
        <color rgb="FFFF0000"/>
        <rFont val="Arial"/>
        <family val="2"/>
      </rPr>
      <t>2</t>
    </r>
    <r>
      <rPr>
        <b/>
        <sz val="12"/>
        <color rgb="FFFF0000"/>
        <rFont val="Arial"/>
        <family val="2"/>
      </rPr>
      <t xml:space="preserve">  =</t>
    </r>
  </si>
  <si>
    <r>
      <t>in</t>
    </r>
    <r>
      <rPr>
        <b/>
        <vertAlign val="superscript"/>
        <sz val="12"/>
        <color rgb="FFFF0000"/>
        <rFont val="Arial"/>
        <family val="2"/>
      </rPr>
      <t>2</t>
    </r>
  </si>
  <si>
    <t>5.0 x 6.0</t>
  </si>
  <si>
    <t>3.3 x 3.3</t>
  </si>
  <si>
    <t>15.0 x 10.0</t>
  </si>
  <si>
    <t>SON 5 x 6</t>
  </si>
  <si>
    <t>SON 3 x 3</t>
  </si>
  <si>
    <t>DPAK, TO-252</t>
  </si>
  <si>
    <t>D2PAK, TO-263</t>
  </si>
  <si>
    <t>10.0 x 6.6</t>
  </si>
  <si>
    <t>Don_Vinmin</t>
  </si>
  <si>
    <t>Doff_Vinmin</t>
  </si>
  <si>
    <t>Don2_Vinmin</t>
  </si>
  <si>
    <t>Doff2_Vinmin</t>
  </si>
  <si>
    <t>Don2_Vinmax</t>
  </si>
  <si>
    <t>Doff2_Vinmax</t>
  </si>
  <si>
    <t>Toff at Vin-min</t>
  </si>
  <si>
    <t>Ton at Vin-max</t>
  </si>
  <si>
    <t>Full-load/high line efficiency</t>
  </si>
  <si>
    <t>Half-load/mid-line efficiency</t>
  </si>
  <si>
    <t>Vout_actual</t>
  </si>
  <si>
    <t>Actual VOUT</t>
  </si>
  <si>
    <t>** Tie SYNCIN to VCC and GND for CCM and DCM operation, respectively **</t>
  </si>
  <si>
    <t>Cilim</t>
  </si>
  <si>
    <t>Cilim_ideal</t>
  </si>
  <si>
    <t>&gt; specify shunt on schematic</t>
  </si>
  <si>
    <t>&gt; specify ILIM cap</t>
  </si>
  <si>
    <t>Choose cap for 6ns time constant</t>
  </si>
  <si>
    <t>Calculated Lower Feedback Resistor</t>
  </si>
  <si>
    <t>Lower Feedback Resistor</t>
  </si>
  <si>
    <r>
      <t>Actual Output Voltage, V</t>
    </r>
    <r>
      <rPr>
        <vertAlign val="subscript"/>
        <sz val="10"/>
        <color theme="1"/>
        <rFont val="Arial"/>
        <family val="2"/>
      </rPr>
      <t>OUT</t>
    </r>
    <r>
      <rPr>
        <sz val="10"/>
        <color theme="1"/>
        <rFont val="Arial"/>
        <family val="2"/>
      </rPr>
      <t xml:space="preserve"> </t>
    </r>
  </si>
  <si>
    <t>VIN_range</t>
  </si>
  <si>
    <r>
      <t>Wide V</t>
    </r>
    <r>
      <rPr>
        <b/>
        <vertAlign val="subscript"/>
        <sz val="16"/>
        <rFont val="Arial"/>
        <family val="2"/>
      </rPr>
      <t>IN</t>
    </r>
    <r>
      <rPr>
        <b/>
        <sz val="16"/>
        <rFont val="Arial"/>
        <family val="2"/>
      </rPr>
      <t>, High Efficiency Synchronous Buck Regulator BOM</t>
    </r>
  </si>
  <si>
    <t>Fsw_freerunning</t>
  </si>
  <si>
    <t>Free-running switching frequency</t>
  </si>
  <si>
    <r>
      <t xml:space="preserve">** Effective output capacitance should be appropriately </t>
    </r>
    <r>
      <rPr>
        <b/>
        <sz val="10"/>
        <rFont val="Arial"/>
        <family val="2"/>
      </rPr>
      <t>derated</t>
    </r>
    <r>
      <rPr>
        <sz val="10"/>
        <rFont val="Arial"/>
        <family val="2"/>
      </rPr>
      <t xml:space="preserve"> for applied voltage and temperature, particularly with </t>
    </r>
    <r>
      <rPr>
        <b/>
        <sz val="10"/>
        <rFont val="Arial"/>
        <family val="2"/>
      </rPr>
      <t>ceramics</t>
    </r>
    <r>
      <rPr>
        <sz val="10"/>
        <rFont val="Arial"/>
        <family val="2"/>
      </rPr>
      <t xml:space="preserve"> **</t>
    </r>
  </si>
  <si>
    <t>3.5 x 4.5 x 1.0</t>
  </si>
  <si>
    <t>Cout Capacitance</t>
  </si>
  <si>
    <t>Quantity: 1</t>
  </si>
  <si>
    <t>Quantity: 2</t>
  </si>
  <si>
    <r>
      <t>C</t>
    </r>
    <r>
      <rPr>
        <vertAlign val="subscript"/>
        <sz val="10"/>
        <rFont val="Arial"/>
        <family val="2"/>
      </rPr>
      <t>S</t>
    </r>
  </si>
  <si>
    <r>
      <t>Output Charge, Q</t>
    </r>
    <r>
      <rPr>
        <b/>
        <vertAlign val="subscript"/>
        <sz val="10"/>
        <rFont val="Arial"/>
        <family val="2"/>
      </rPr>
      <t>OSS</t>
    </r>
    <r>
      <rPr>
        <b/>
        <sz val="10"/>
        <rFont val="Arial"/>
        <family val="2"/>
      </rPr>
      <t xml:space="preserve"> </t>
    </r>
  </si>
  <si>
    <r>
      <rPr>
        <sz val="10"/>
        <rFont val="Symbol"/>
        <family val="1"/>
        <charset val="2"/>
      </rPr>
      <t>°</t>
    </r>
    <r>
      <rPr>
        <sz val="10"/>
        <rFont val="Arial"/>
        <family val="2"/>
      </rPr>
      <t>C</t>
    </r>
  </si>
  <si>
    <r>
      <rPr>
        <sz val="10"/>
        <rFont val="Symbol"/>
        <family val="1"/>
        <charset val="2"/>
      </rPr>
      <t>°</t>
    </r>
    <r>
      <rPr>
        <sz val="10"/>
        <rFont val="Arial"/>
        <family val="2"/>
      </rPr>
      <t>C/W</t>
    </r>
  </si>
  <si>
    <t>Gate to Source Charge</t>
  </si>
  <si>
    <t>QossBot</t>
  </si>
  <si>
    <t>Output Charge Of Bottom FET</t>
  </si>
  <si>
    <t>Gate Charge Of Bottom FET</t>
  </si>
  <si>
    <r>
      <t>Output Capacitance, C</t>
    </r>
    <r>
      <rPr>
        <b/>
        <vertAlign val="subscript"/>
        <sz val="10"/>
        <rFont val="Arial"/>
        <family val="2"/>
      </rPr>
      <t>OSS</t>
    </r>
    <r>
      <rPr>
        <b/>
        <sz val="10"/>
        <rFont val="Arial"/>
        <family val="2"/>
      </rPr>
      <t xml:space="preserve"> </t>
    </r>
  </si>
  <si>
    <t>Output Capacitance Of Bottom FET</t>
  </si>
  <si>
    <t>CossBot</t>
  </si>
  <si>
    <t>CossTop</t>
  </si>
  <si>
    <t>Output Capacitance of High-side FET</t>
  </si>
  <si>
    <t>Gate Resistance of High-side FET</t>
  </si>
  <si>
    <t>MOSFET Output Capacitance Loss</t>
  </si>
  <si>
    <t>Step 4: Output Capacitance</t>
  </si>
  <si>
    <t>Step 5: Input Capacitance</t>
  </si>
  <si>
    <t xml:space="preserve"> If the SYNC feature is not required, connect SYNCIN to GND</t>
  </si>
  <si>
    <t xml:space="preserve"> or VCC for DCM or CCM operation, respectively</t>
  </si>
  <si>
    <t xml:space="preserve"> Pole &amp; Zero Placement</t>
  </si>
  <si>
    <t>Antiparallel Schottky Diode (if applicable)</t>
  </si>
  <si>
    <r>
      <t>Total Output Capacitance (Derated), C</t>
    </r>
    <r>
      <rPr>
        <b/>
        <vertAlign val="subscript"/>
        <sz val="10"/>
        <rFont val="Arial"/>
        <family val="2"/>
      </rPr>
      <t>OUT</t>
    </r>
    <r>
      <rPr>
        <b/>
        <sz val="10"/>
        <rFont val="Arial"/>
        <family val="2"/>
      </rPr>
      <t xml:space="preserve"> </t>
    </r>
  </si>
  <si>
    <r>
      <t>Total Input Capacitance (Derated), C</t>
    </r>
    <r>
      <rPr>
        <b/>
        <vertAlign val="subscript"/>
        <sz val="10"/>
        <color theme="1"/>
        <rFont val="Arial"/>
        <family val="2"/>
      </rPr>
      <t>IN</t>
    </r>
    <r>
      <rPr>
        <b/>
        <sz val="10"/>
        <color theme="1"/>
        <rFont val="Arial"/>
        <family val="2"/>
      </rPr>
      <t xml:space="preserve"> </t>
    </r>
  </si>
  <si>
    <t>Vout&lt;5V</t>
  </si>
  <si>
    <t>SW node voltage at Q1 turn-on</t>
  </si>
  <si>
    <t>Peak Inductor Current</t>
  </si>
  <si>
    <t>Valley Inductor Current</t>
  </si>
  <si>
    <t>Transitional Loss (not including capacitive loss)</t>
  </si>
  <si>
    <t>** Specify Inductor Core Loss **</t>
  </si>
  <si>
    <t>Total Bottom FET Diss/Loss</t>
  </si>
  <si>
    <t>LM5146-Q1</t>
  </si>
  <si>
    <t>LM5146-Q1-EVM12V</t>
  </si>
  <si>
    <t>x</t>
  </si>
  <si>
    <t xml:space="preserve">                          LM(2)5145/46-Q1 DC-DC Controller Design Tool</t>
  </si>
  <si>
    <t xml:space="preserve"> LM(2)5145/6/-Q1 Quickstart Calculator</t>
  </si>
  <si>
    <t>VARIANT</t>
  </si>
  <si>
    <t>VIN-MAX</t>
  </si>
  <si>
    <t>VOUT-MAX</t>
  </si>
  <si>
    <t>LM5145</t>
  </si>
  <si>
    <t>LM5145-Q1</t>
  </si>
  <si>
    <t>LM25145</t>
  </si>
  <si>
    <t>LM5146</t>
  </si>
  <si>
    <t>VIN-MIN</t>
  </si>
  <si>
    <t>LM5145EVM-HD-20A PCB Layout</t>
  </si>
  <si>
    <t>Top</t>
  </si>
  <si>
    <t>Layer</t>
  </si>
  <si>
    <t>Layer 2</t>
  </si>
  <si>
    <t>Layer 3</t>
  </si>
  <si>
    <t>Bottom</t>
  </si>
  <si>
    <t>IAUC120N06S5L032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</si>
</sst>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3" formatCode="_(* #,##0.00_);_(* \(#,##0.00\);_(* &quot;-&quot;??_);_(@_)"/>
    <numFmt numFmtId="164" formatCode="0.00000"/>
    <numFmt numFmtId="165" formatCode="0.0000"/>
    <numFmt numFmtId="166" formatCode="0.000"/>
    <numFmt numFmtId="167" formatCode="0.0"/>
    <numFmt numFmtId="168" formatCode="0.000E+00"/>
    <numFmt numFmtId="169" formatCode="0.00000000"/>
    <numFmt numFmtId="170" formatCode="0.000000000"/>
    <numFmt numFmtId="171" formatCode="#0.0#"/>
    <numFmt numFmtId="172" formatCode="General&quot;nF&quot;"/>
    <numFmt numFmtId="173" formatCode="General&quot;k&quot;"/>
    <numFmt numFmtId="174" formatCode="General&quot;pF&quot;"/>
    <numFmt numFmtId="175" formatCode="General&quot;µF&quot;"/>
    <numFmt numFmtId="176" formatCode="General&quot;µH&quot;"/>
    <numFmt numFmtId="177" formatCode="&quot;MOSFET, N-CH, 100V, &quot;General&quot;mΩ&quot;"/>
    <numFmt numFmtId="178" formatCode="General&quot;mΩ&quot;"/>
    <numFmt numFmtId="179" formatCode="&quot;Capacitor, Ceramic, &quot;General&quot;pF, 50V, NP0, 5%&quot;"/>
    <numFmt numFmtId="180" formatCode="&quot;Capacitor, Ceramic, &quot;General&quot;pF, 16V, X7R, 10%&quot;"/>
    <numFmt numFmtId="181" formatCode="&quot;Capacitor, Ceramic, &quot;General&quot;µF, 25V, X7R, 20%&quot;"/>
    <numFmt numFmtId="182" formatCode="&quot;Capacitor, Ceramic, &quot;General&quot;nF, 16V, X7R, 10%&quot;"/>
    <numFmt numFmtId="183" formatCode="&quot;Capacitor, Ceramic, &quot;General&quot;µF, 50V, X7R, 20%&quot;"/>
    <numFmt numFmtId="184" formatCode="&quot;Resistor, Chip, &quot;General&quot;kΩ, 1/16W, 1%&quot;"/>
    <numFmt numFmtId="185" formatCode="&quot;Resistor, Chip, &quot;General&quot;Ω, 1/16W, 1%&quot;"/>
    <numFmt numFmtId="186" formatCode="&quot;Resistor, &quot;General&quot;mΩ, 1/4W, 1%&quot;"/>
    <numFmt numFmtId="187" formatCode="&quot;MOSFET, N-CH, 80V/100V, &quot;General&quot;mΩ&quot;"/>
  </numFmts>
  <fonts count="104" x14ac:knownFonts="1">
    <font>
      <sz val="10"/>
      <name val="Arial"/>
    </font>
    <font>
      <sz val="11"/>
      <color theme="1"/>
      <name val="Calibri"/>
      <family val="2"/>
      <scheme val="minor"/>
    </font>
    <font>
      <sz val="10"/>
      <name val="Arial"/>
      <family val="2"/>
    </font>
    <font>
      <b/>
      <sz val="10"/>
      <name val="Arial"/>
      <family val="2"/>
    </font>
    <font>
      <b/>
      <sz val="22"/>
      <color indexed="44"/>
      <name val="Arial"/>
      <family val="2"/>
    </font>
    <font>
      <sz val="8"/>
      <name val="Arial"/>
      <family val="2"/>
    </font>
    <font>
      <i/>
      <sz val="10"/>
      <name val="Arial"/>
      <family val="2"/>
    </font>
    <font>
      <b/>
      <i/>
      <sz val="10"/>
      <name val="Arial"/>
      <family val="2"/>
    </font>
    <font>
      <sz val="10"/>
      <name val="Arial"/>
      <family val="2"/>
    </font>
    <font>
      <b/>
      <sz val="20"/>
      <color indexed="44"/>
      <name val="Arial"/>
      <family val="2"/>
    </font>
    <font>
      <vertAlign val="subscript"/>
      <sz val="10"/>
      <name val="Arial"/>
      <family val="2"/>
    </font>
    <font>
      <u/>
      <sz val="10"/>
      <color indexed="12"/>
      <name val="Arial"/>
      <family val="2"/>
    </font>
    <font>
      <b/>
      <sz val="16"/>
      <name val="Arial"/>
      <family val="2"/>
    </font>
    <font>
      <sz val="10"/>
      <color indexed="44"/>
      <name val="Arial"/>
      <family val="2"/>
    </font>
    <font>
      <b/>
      <sz val="28"/>
      <color indexed="44"/>
      <name val="Arial"/>
      <family val="2"/>
    </font>
    <font>
      <b/>
      <sz val="10"/>
      <color indexed="44"/>
      <name val="Arial"/>
      <family val="2"/>
    </font>
    <font>
      <sz val="10"/>
      <color indexed="8"/>
      <name val="Arial"/>
      <family val="2"/>
    </font>
    <font>
      <b/>
      <sz val="24"/>
      <color indexed="44"/>
      <name val="Arial"/>
      <family val="2"/>
    </font>
    <font>
      <sz val="10"/>
      <name val="Calibri"/>
      <family val="2"/>
    </font>
    <font>
      <b/>
      <sz val="10"/>
      <name val="Calibri"/>
      <family val="2"/>
    </font>
    <font>
      <sz val="10"/>
      <color indexed="55"/>
      <name val="Calibri"/>
      <family val="2"/>
    </font>
    <font>
      <sz val="10"/>
      <color indexed="8"/>
      <name val="Arial"/>
      <family val="2"/>
    </font>
    <font>
      <b/>
      <sz val="10"/>
      <color indexed="9"/>
      <name val="Calibri"/>
      <family val="2"/>
    </font>
    <font>
      <b/>
      <sz val="12"/>
      <color indexed="48"/>
      <name val="Arial"/>
      <family val="2"/>
    </font>
    <font>
      <b/>
      <sz val="12"/>
      <color indexed="12"/>
      <name val="Arial"/>
      <family val="2"/>
    </font>
    <font>
      <sz val="10"/>
      <color indexed="23"/>
      <name val="Calibri"/>
      <family val="2"/>
    </font>
    <font>
      <b/>
      <sz val="12"/>
      <color indexed="9"/>
      <name val="Calibri"/>
      <family val="2"/>
    </font>
    <font>
      <sz val="12"/>
      <name val="Calibri"/>
      <family val="2"/>
    </font>
    <font>
      <b/>
      <sz val="22"/>
      <color indexed="9"/>
      <name val="Calibri"/>
      <family val="2"/>
    </font>
    <font>
      <b/>
      <u/>
      <sz val="10"/>
      <color indexed="10"/>
      <name val="Arial"/>
      <family val="2"/>
    </font>
    <font>
      <sz val="10"/>
      <color indexed="56"/>
      <name val="Calibri"/>
      <family val="2"/>
    </font>
    <font>
      <sz val="10"/>
      <color indexed="8"/>
      <name val="Arial"/>
      <family val="2"/>
    </font>
    <font>
      <b/>
      <sz val="14"/>
      <color indexed="9"/>
      <name val="Calibri"/>
      <family val="2"/>
    </font>
    <font>
      <sz val="11"/>
      <color indexed="81"/>
      <name val="Tahoma"/>
      <family val="2"/>
    </font>
    <font>
      <b/>
      <i/>
      <sz val="14"/>
      <color indexed="12"/>
      <name val="Calibri"/>
      <family val="2"/>
    </font>
    <font>
      <b/>
      <sz val="8"/>
      <color indexed="81"/>
      <name val="Tahoma"/>
      <family val="2"/>
    </font>
    <font>
      <b/>
      <sz val="9"/>
      <color indexed="81"/>
      <name val="Tahoma"/>
      <family val="2"/>
    </font>
    <font>
      <sz val="8"/>
      <color indexed="81"/>
      <name val="Tahoma"/>
      <family val="2"/>
    </font>
    <font>
      <b/>
      <sz val="10"/>
      <color indexed="81"/>
      <name val="Tahoma"/>
      <family val="2"/>
    </font>
    <font>
      <sz val="9"/>
      <color indexed="81"/>
      <name val="Tahoma"/>
      <family val="2"/>
    </font>
    <font>
      <b/>
      <u/>
      <sz val="8"/>
      <color indexed="81"/>
      <name val="Tahoma"/>
      <family val="2"/>
    </font>
    <font>
      <b/>
      <u/>
      <sz val="9"/>
      <color indexed="81"/>
      <name val="Tahoma"/>
      <family val="2"/>
    </font>
    <font>
      <sz val="11"/>
      <color indexed="10"/>
      <name val="Tahoma"/>
      <family val="2"/>
    </font>
    <font>
      <b/>
      <sz val="11"/>
      <color indexed="10"/>
      <name val="Tahoma"/>
      <family val="2"/>
    </font>
    <font>
      <b/>
      <sz val="9"/>
      <color indexed="10"/>
      <name val="Tahoma"/>
      <family val="2"/>
    </font>
    <font>
      <sz val="10"/>
      <color indexed="81"/>
      <name val="Tahoma"/>
      <family val="2"/>
    </font>
    <font>
      <sz val="9"/>
      <color indexed="39"/>
      <name val="Tahoma"/>
      <family val="2"/>
    </font>
    <font>
      <b/>
      <sz val="9"/>
      <color indexed="39"/>
      <name val="Tahoma"/>
      <family val="2"/>
    </font>
    <font>
      <b/>
      <vertAlign val="subscript"/>
      <sz val="9"/>
      <color indexed="81"/>
      <name val="Tahoma"/>
      <family val="2"/>
    </font>
    <font>
      <vertAlign val="subscript"/>
      <sz val="9"/>
      <color indexed="81"/>
      <name val="Tahoma"/>
      <family val="2"/>
    </font>
    <font>
      <b/>
      <vertAlign val="subscript"/>
      <sz val="10"/>
      <color indexed="81"/>
      <name val="Tahoma"/>
      <family val="2"/>
    </font>
    <font>
      <vertAlign val="subscript"/>
      <sz val="10"/>
      <color indexed="81"/>
      <name val="Tahoma"/>
      <family val="2"/>
    </font>
    <font>
      <sz val="10"/>
      <color indexed="81"/>
      <name val="Calibri"/>
      <family val="2"/>
    </font>
    <font>
      <b/>
      <vertAlign val="subscript"/>
      <sz val="9"/>
      <color indexed="39"/>
      <name val="Tahoma"/>
      <family val="2"/>
    </font>
    <font>
      <b/>
      <vertAlign val="subscript"/>
      <sz val="9"/>
      <color indexed="10"/>
      <name val="Tahoma"/>
      <family val="2"/>
    </font>
    <font>
      <b/>
      <u/>
      <sz val="11"/>
      <color indexed="10"/>
      <name val="Tahoma"/>
      <family val="2"/>
    </font>
    <font>
      <b/>
      <vertAlign val="subscript"/>
      <sz val="10"/>
      <name val="Arial"/>
      <family val="2"/>
    </font>
    <font>
      <sz val="10"/>
      <color indexed="23"/>
      <name val="Arial"/>
      <family val="2"/>
    </font>
    <font>
      <sz val="10"/>
      <color indexed="55"/>
      <name val="Arial"/>
      <family val="2"/>
    </font>
    <font>
      <b/>
      <i/>
      <sz val="10"/>
      <color indexed="55"/>
      <name val="Arial"/>
      <family val="2"/>
    </font>
    <font>
      <b/>
      <i/>
      <sz val="14"/>
      <color indexed="12"/>
      <name val="Arial"/>
      <family val="2"/>
    </font>
    <font>
      <b/>
      <sz val="10"/>
      <color indexed="8"/>
      <name val="Arial"/>
      <family val="2"/>
    </font>
    <font>
      <b/>
      <sz val="14"/>
      <color indexed="9"/>
      <name val="Arial"/>
      <family val="2"/>
    </font>
    <font>
      <b/>
      <sz val="10"/>
      <color rgb="FFFF0000"/>
      <name val="Arial"/>
      <family val="2"/>
    </font>
    <font>
      <b/>
      <i/>
      <sz val="10"/>
      <color indexed="23"/>
      <name val="Arial"/>
      <family val="2"/>
    </font>
    <font>
      <sz val="12"/>
      <name val="Arial"/>
      <family val="2"/>
    </font>
    <font>
      <sz val="10"/>
      <color theme="1"/>
      <name val="Arial"/>
      <family val="2"/>
    </font>
    <font>
      <b/>
      <sz val="10"/>
      <color theme="1"/>
      <name val="Arial"/>
      <family val="2"/>
    </font>
    <font>
      <b/>
      <vertAlign val="subscript"/>
      <sz val="10"/>
      <color theme="1"/>
      <name val="Arial"/>
      <family val="2"/>
    </font>
    <font>
      <b/>
      <sz val="10"/>
      <color rgb="FF0000FF"/>
      <name val="Arial"/>
      <family val="2"/>
    </font>
    <font>
      <sz val="10"/>
      <color rgb="FF0000FF"/>
      <name val="Arial"/>
      <family val="2"/>
    </font>
    <font>
      <sz val="10"/>
      <color rgb="FF0000FF"/>
      <name val="Calibri"/>
      <family val="2"/>
    </font>
    <font>
      <b/>
      <vertAlign val="subscript"/>
      <sz val="10"/>
      <color rgb="FF0000FF"/>
      <name val="Arial"/>
      <family val="2"/>
    </font>
    <font>
      <b/>
      <sz val="12"/>
      <color rgb="FF003366"/>
      <name val="Calibri"/>
      <family val="2"/>
    </font>
    <font>
      <sz val="10"/>
      <name val="Symbol"/>
      <family val="1"/>
      <charset val="2"/>
    </font>
    <font>
      <b/>
      <sz val="10"/>
      <color indexed="9"/>
      <name val="Arial"/>
      <family val="2"/>
    </font>
    <font>
      <b/>
      <sz val="12"/>
      <color rgb="FF0000FF"/>
      <name val="Arial"/>
      <family val="2"/>
    </font>
    <font>
      <b/>
      <u/>
      <sz val="10"/>
      <name val="Arial"/>
      <family val="2"/>
    </font>
    <font>
      <u/>
      <sz val="9"/>
      <color indexed="12"/>
      <name val="Tahoma"/>
      <family val="2"/>
    </font>
    <font>
      <u/>
      <sz val="10"/>
      <color theme="0" tint="-0.499984740745262"/>
      <name val="Arial"/>
      <family val="2"/>
    </font>
    <font>
      <b/>
      <vertAlign val="subscript"/>
      <sz val="12"/>
      <color indexed="12"/>
      <name val="Arial"/>
      <family val="2"/>
    </font>
    <font>
      <vertAlign val="subscript"/>
      <sz val="10"/>
      <color theme="1"/>
      <name val="Arial"/>
      <family val="2"/>
    </font>
    <font>
      <b/>
      <sz val="10"/>
      <color rgb="FFC00000"/>
      <name val="Arial"/>
      <family val="2"/>
    </font>
    <font>
      <b/>
      <vertAlign val="subscript"/>
      <sz val="16"/>
      <name val="Arial"/>
      <family val="2"/>
    </font>
    <font>
      <b/>
      <sz val="10"/>
      <color theme="0"/>
      <name val="Arial"/>
      <family val="2"/>
    </font>
    <font>
      <sz val="10"/>
      <color theme="0"/>
      <name val="Arial"/>
      <family val="2"/>
    </font>
    <font>
      <b/>
      <sz val="10"/>
      <color rgb="FF33CC33"/>
      <name val="Arial"/>
      <family val="2"/>
    </font>
    <font>
      <b/>
      <vertAlign val="superscript"/>
      <sz val="10"/>
      <color theme="0"/>
      <name val="Arial"/>
      <family val="2"/>
    </font>
    <font>
      <b/>
      <sz val="12"/>
      <color rgb="FFFF0000"/>
      <name val="Arial"/>
      <family val="2"/>
    </font>
    <font>
      <b/>
      <vertAlign val="superscript"/>
      <sz val="12"/>
      <color rgb="FFFF0000"/>
      <name val="Arial"/>
      <family val="2"/>
    </font>
    <font>
      <sz val="10"/>
      <color rgb="FFFF0000"/>
      <name val="Arial"/>
      <family val="2"/>
    </font>
    <font>
      <sz val="9"/>
      <name val="Arial"/>
      <family val="2"/>
    </font>
    <font>
      <b/>
      <sz val="12"/>
      <name val="Arial"/>
      <family val="2"/>
    </font>
    <font>
      <b/>
      <sz val="22"/>
      <color rgb="FFFF0000"/>
      <name val="Calibri"/>
      <family val="2"/>
    </font>
    <font>
      <sz val="10"/>
      <color rgb="FFFF0000"/>
      <name val="Calibri"/>
      <family val="2"/>
    </font>
    <font>
      <b/>
      <sz val="10"/>
      <color rgb="FFFF0000"/>
      <name val="Calibri"/>
      <family val="2"/>
    </font>
    <font>
      <b/>
      <sz val="22"/>
      <name val="Calibri"/>
      <family val="2"/>
    </font>
    <font>
      <u/>
      <sz val="10"/>
      <name val="Arial"/>
      <family val="2"/>
    </font>
    <font>
      <sz val="10"/>
      <color theme="0"/>
      <name val="Calibri"/>
      <family val="2"/>
    </font>
    <font>
      <b/>
      <sz val="12"/>
      <color theme="0"/>
      <name val="Calibri"/>
      <family val="2"/>
    </font>
    <font>
      <b/>
      <sz val="11"/>
      <color indexed="81"/>
      <name val="Tahoma"/>
      <family val="2"/>
    </font>
    <font>
      <sz val="36"/>
      <color rgb="FFFF0000"/>
      <name val="Arial"/>
      <family val="2"/>
    </font>
    <font>
      <sz val="16"/>
      <color theme="0"/>
      <name val="Arial"/>
      <family val="2"/>
    </font>
    <font>
      <sz val="28"/>
      <color theme="0"/>
      <name val="Arial"/>
      <family val="2"/>
    </font>
  </fonts>
  <fills count="26">
    <fill>
      <patternFill patternType="none"/>
    </fill>
    <fill>
      <patternFill patternType="gray125"/>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55"/>
        <bgColor indexed="64"/>
      </patternFill>
    </fill>
    <fill>
      <patternFill patternType="solid">
        <fgColor indexed="45"/>
        <bgColor indexed="64"/>
      </patternFill>
    </fill>
    <fill>
      <patternFill patternType="solid">
        <fgColor indexed="46"/>
        <bgColor indexed="64"/>
      </patternFill>
    </fill>
    <fill>
      <patternFill patternType="solid">
        <fgColor indexed="11"/>
        <bgColor indexed="64"/>
      </patternFill>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indexed="52"/>
        <bgColor indexed="64"/>
      </patternFill>
    </fill>
    <fill>
      <patternFill patternType="solid">
        <fgColor indexed="50"/>
        <bgColor indexed="64"/>
      </patternFill>
    </fill>
    <fill>
      <patternFill patternType="solid">
        <fgColor indexed="47"/>
        <bgColor indexed="64"/>
      </patternFill>
    </fill>
    <fill>
      <patternFill patternType="solid">
        <fgColor indexed="56"/>
        <bgColor indexed="64"/>
      </patternFill>
    </fill>
    <fill>
      <patternFill patternType="solid">
        <fgColor indexed="23"/>
        <bgColor indexed="64"/>
      </patternFill>
    </fill>
    <fill>
      <patternFill patternType="solid">
        <fgColor indexed="53"/>
        <bgColor indexed="64"/>
      </patternFill>
    </fill>
    <fill>
      <patternFill patternType="solid">
        <fgColor theme="0"/>
        <bgColor indexed="64"/>
      </patternFill>
    </fill>
    <fill>
      <patternFill patternType="solid">
        <fgColor rgb="FFFF0000"/>
        <bgColor indexed="64"/>
      </patternFill>
    </fill>
    <fill>
      <patternFill patternType="solid">
        <fgColor theme="1"/>
        <bgColor indexed="64"/>
      </patternFill>
    </fill>
    <fill>
      <patternFill patternType="solid">
        <fgColor rgb="FFFFFF00"/>
        <bgColor indexed="64"/>
      </patternFill>
    </fill>
    <fill>
      <patternFill patternType="solid">
        <fgColor indexed="43"/>
        <bgColor indexed="64"/>
      </patternFill>
    </fill>
    <fill>
      <patternFill patternType="solid">
        <fgColor rgb="FFFFFF99"/>
        <bgColor indexed="64"/>
      </patternFill>
    </fill>
    <fill>
      <patternFill patternType="solid">
        <fgColor theme="0" tint="-0.499984740745262"/>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55"/>
      </top>
      <bottom/>
      <diagonal/>
    </border>
    <border>
      <left/>
      <right/>
      <top/>
      <bottom style="medium">
        <color indexed="55"/>
      </bottom>
      <diagonal/>
    </border>
    <border>
      <left/>
      <right style="medium">
        <color indexed="55"/>
      </right>
      <top style="medium">
        <color indexed="55"/>
      </top>
      <bottom/>
      <diagonal/>
    </border>
    <border>
      <left/>
      <right style="medium">
        <color indexed="55"/>
      </right>
      <top/>
      <bottom/>
      <diagonal/>
    </border>
    <border>
      <left/>
      <right style="medium">
        <color indexed="55"/>
      </right>
      <top/>
      <bottom style="medium">
        <color indexed="55"/>
      </bottom>
      <diagonal/>
    </border>
    <border>
      <left style="medium">
        <color indexed="55"/>
      </left>
      <right/>
      <top style="medium">
        <color indexed="55"/>
      </top>
      <bottom/>
      <diagonal/>
    </border>
    <border>
      <left style="medium">
        <color indexed="55"/>
      </left>
      <right/>
      <top/>
      <bottom/>
      <diagonal/>
    </border>
    <border>
      <left style="medium">
        <color indexed="55"/>
      </left>
      <right/>
      <top/>
      <bottom style="medium">
        <color indexed="55"/>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indexed="64"/>
      </top>
      <bottom style="medium">
        <color indexed="64"/>
      </bottom>
      <diagonal/>
    </border>
    <border>
      <left/>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medium">
        <color auto="1"/>
      </left>
      <right/>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s>
  <cellStyleXfs count="5">
    <xf numFmtId="0" fontId="0" fillId="0" borderId="0"/>
    <xf numFmtId="0" fontId="11" fillId="0" borderId="0" applyNumberFormat="0" applyFill="0" applyBorder="0" applyAlignment="0" applyProtection="0">
      <alignment vertical="top"/>
      <protection locked="0"/>
    </xf>
    <xf numFmtId="0" fontId="2" fillId="0" borderId="0"/>
    <xf numFmtId="0" fontId="1" fillId="0" borderId="0"/>
    <xf numFmtId="43" fontId="1" fillId="0" borderId="0" applyFont="0" applyFill="0" applyBorder="0" applyAlignment="0" applyProtection="0"/>
  </cellStyleXfs>
  <cellXfs count="627">
    <xf numFmtId="0" fontId="0" fillId="0" borderId="0" xfId="0"/>
    <xf numFmtId="0" fontId="7" fillId="0" borderId="0" xfId="0" applyFont="1"/>
    <xf numFmtId="0" fontId="3" fillId="0" borderId="0" xfId="0" applyFont="1"/>
    <xf numFmtId="0" fontId="8" fillId="0" borderId="0" xfId="0" applyFont="1"/>
    <xf numFmtId="2" fontId="0" fillId="0" borderId="0" xfId="0" applyNumberFormat="1"/>
    <xf numFmtId="0" fontId="0" fillId="2" borderId="0" xfId="0" applyFill="1"/>
    <xf numFmtId="0" fontId="0" fillId="3" borderId="0" xfId="0" applyFill="1"/>
    <xf numFmtId="0" fontId="3" fillId="2" borderId="0" xfId="0" applyFont="1" applyFill="1"/>
    <xf numFmtId="0" fontId="12" fillId="2" borderId="0" xfId="0" applyFont="1" applyFill="1"/>
    <xf numFmtId="168" fontId="0" fillId="0" borderId="0" xfId="0" applyNumberFormat="1"/>
    <xf numFmtId="10" fontId="0" fillId="0" borderId="0" xfId="0" applyNumberFormat="1"/>
    <xf numFmtId="0" fontId="15" fillId="3" borderId="0" xfId="0" applyFont="1" applyFill="1" applyAlignment="1">
      <alignment horizontal="right"/>
    </xf>
    <xf numFmtId="0" fontId="15" fillId="3" borderId="0" xfId="0" applyFont="1" applyFill="1"/>
    <xf numFmtId="0" fontId="0" fillId="0" borderId="0" xfId="0" applyBorder="1"/>
    <xf numFmtId="2" fontId="0" fillId="0" borderId="0" xfId="0" applyNumberFormat="1" applyBorder="1"/>
    <xf numFmtId="0" fontId="7" fillId="4" borderId="1" xfId="0" applyFont="1" applyFill="1" applyBorder="1" applyAlignment="1"/>
    <xf numFmtId="0" fontId="7" fillId="4" borderId="2" xfId="0" applyFont="1" applyFill="1" applyBorder="1" applyAlignment="1"/>
    <xf numFmtId="0" fontId="0" fillId="4" borderId="3" xfId="0" applyFill="1" applyBorder="1"/>
    <xf numFmtId="0" fontId="16" fillId="4" borderId="3" xfId="0" applyFont="1" applyFill="1" applyBorder="1"/>
    <xf numFmtId="168" fontId="7" fillId="4" borderId="2" xfId="0" applyNumberFormat="1" applyFont="1" applyFill="1" applyBorder="1" applyAlignment="1">
      <alignment horizontal="center"/>
    </xf>
    <xf numFmtId="0" fontId="7" fillId="4" borderId="1" xfId="0" applyFont="1" applyFill="1" applyBorder="1"/>
    <xf numFmtId="0" fontId="0" fillId="4" borderId="2" xfId="0" applyFill="1" applyBorder="1"/>
    <xf numFmtId="0" fontId="17" fillId="3" borderId="4" xfId="0" applyFont="1" applyFill="1" applyBorder="1" applyAlignment="1"/>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168" fontId="3" fillId="2" borderId="6" xfId="0" applyNumberFormat="1" applyFont="1" applyFill="1" applyBorder="1" applyAlignment="1">
      <alignment horizontal="center" vertical="top" wrapText="1"/>
    </xf>
    <xf numFmtId="0" fontId="3" fillId="5" borderId="8" xfId="0" applyFont="1" applyFill="1" applyBorder="1" applyAlignment="1"/>
    <xf numFmtId="0" fontId="3" fillId="5" borderId="9" xfId="0" applyFont="1" applyFill="1" applyBorder="1" applyAlignment="1"/>
    <xf numFmtId="0" fontId="3" fillId="5" borderId="10" xfId="0" applyFont="1" applyFill="1" applyBorder="1" applyAlignment="1"/>
    <xf numFmtId="0" fontId="3" fillId="5" borderId="11" xfId="0" applyFont="1" applyFill="1" applyBorder="1"/>
    <xf numFmtId="0" fontId="8" fillId="0" borderId="0" xfId="0" applyNumberFormat="1" applyFont="1" applyProtection="1">
      <protection locked="0"/>
    </xf>
    <xf numFmtId="0" fontId="0" fillId="0" borderId="0" xfId="0" applyNumberFormat="1" applyProtection="1">
      <protection locked="0"/>
    </xf>
    <xf numFmtId="0" fontId="0" fillId="6" borderId="12" xfId="0" applyFill="1" applyBorder="1"/>
    <xf numFmtId="0" fontId="0" fillId="0" borderId="11" xfId="0" applyFill="1" applyBorder="1"/>
    <xf numFmtId="0" fontId="0" fillId="6" borderId="11" xfId="0" applyFill="1" applyBorder="1"/>
    <xf numFmtId="0" fontId="0" fillId="4" borderId="11" xfId="0" applyFill="1" applyBorder="1"/>
    <xf numFmtId="0" fontId="3" fillId="5" borderId="0" xfId="0" applyFont="1" applyFill="1"/>
    <xf numFmtId="0" fontId="0" fillId="6" borderId="0" xfId="0" applyFill="1" applyBorder="1"/>
    <xf numFmtId="0" fontId="0" fillId="2" borderId="0" xfId="0" applyFill="1" applyBorder="1"/>
    <xf numFmtId="0" fontId="0" fillId="0" borderId="13" xfId="0" applyFill="1" applyBorder="1"/>
    <xf numFmtId="0" fontId="8" fillId="2" borderId="0" xfId="0" applyFont="1" applyFill="1"/>
    <xf numFmtId="0" fontId="0" fillId="0" borderId="11" xfId="0" applyBorder="1"/>
    <xf numFmtId="0" fontId="0" fillId="6" borderId="13" xfId="0" applyFill="1" applyBorder="1"/>
    <xf numFmtId="0" fontId="0" fillId="4" borderId="0" xfId="0" applyFill="1" applyBorder="1"/>
    <xf numFmtId="11" fontId="0" fillId="0" borderId="0" xfId="0" applyNumberFormat="1"/>
    <xf numFmtId="0" fontId="13" fillId="3" borderId="0" xfId="0" applyFont="1" applyFill="1"/>
    <xf numFmtId="0" fontId="0" fillId="0" borderId="0" xfId="0" applyFill="1"/>
    <xf numFmtId="0" fontId="3" fillId="5" borderId="8" xfId="0" applyFont="1" applyFill="1" applyBorder="1"/>
    <xf numFmtId="0" fontId="3" fillId="5" borderId="9" xfId="0" applyFont="1" applyFill="1" applyBorder="1"/>
    <xf numFmtId="0" fontId="0" fillId="4" borderId="12" xfId="0" applyFill="1" applyBorder="1"/>
    <xf numFmtId="0" fontId="0" fillId="4" borderId="14" xfId="0" applyFill="1" applyBorder="1"/>
    <xf numFmtId="0" fontId="3" fillId="4" borderId="11" xfId="0" applyFont="1" applyFill="1" applyBorder="1"/>
    <xf numFmtId="0" fontId="0" fillId="0" borderId="0" xfId="0" applyFill="1" applyBorder="1"/>
    <xf numFmtId="0" fontId="0" fillId="6" borderId="8" xfId="0" applyFill="1" applyBorder="1"/>
    <xf numFmtId="0" fontId="0" fillId="4" borderId="8" xfId="0" applyFill="1" applyBorder="1"/>
    <xf numFmtId="0" fontId="3" fillId="5" borderId="4" xfId="0" applyFont="1" applyFill="1" applyBorder="1" applyAlignment="1"/>
    <xf numFmtId="0" fontId="0" fillId="2" borderId="14" xfId="0" applyFill="1" applyBorder="1"/>
    <xf numFmtId="0" fontId="0" fillId="2" borderId="13" xfId="0" applyFill="1" applyBorder="1"/>
    <xf numFmtId="0" fontId="0" fillId="2" borderId="12" xfId="0" applyFill="1" applyBorder="1"/>
    <xf numFmtId="0" fontId="0" fillId="8" borderId="0" xfId="0" applyFill="1"/>
    <xf numFmtId="0" fontId="0" fillId="9" borderId="0" xfId="0" applyFill="1"/>
    <xf numFmtId="0" fontId="3" fillId="0" borderId="0" xfId="0" applyFont="1" applyFill="1" applyBorder="1"/>
    <xf numFmtId="0" fontId="0" fillId="11" borderId="0" xfId="0" applyFill="1"/>
    <xf numFmtId="0" fontId="0" fillId="0" borderId="0" xfId="0" applyAlignment="1">
      <alignment horizontal="right"/>
    </xf>
    <xf numFmtId="0" fontId="18" fillId="0" borderId="0" xfId="0" applyFont="1"/>
    <xf numFmtId="0" fontId="3" fillId="0" borderId="0" xfId="0" applyFont="1" applyFill="1" applyBorder="1" applyAlignment="1" applyProtection="1">
      <alignment horizontal="center"/>
    </xf>
    <xf numFmtId="171" fontId="21" fillId="0" borderId="0" xfId="0" applyNumberFormat="1" applyFont="1" applyFill="1" applyBorder="1" applyAlignment="1" applyProtection="1">
      <alignment horizontal="center"/>
    </xf>
    <xf numFmtId="171" fontId="8" fillId="0" borderId="0" xfId="0" applyNumberFormat="1" applyFont="1" applyFill="1" applyBorder="1" applyAlignment="1" applyProtection="1">
      <alignment horizontal="center"/>
    </xf>
    <xf numFmtId="171" fontId="8" fillId="0" borderId="0" xfId="0" applyNumberFormat="1" applyFont="1" applyFill="1" applyBorder="1" applyAlignment="1" applyProtection="1">
      <alignment horizontal="center"/>
      <protection locked="0"/>
    </xf>
    <xf numFmtId="171" fontId="8" fillId="0" borderId="0" xfId="0" applyNumberFormat="1" applyFont="1" applyBorder="1" applyAlignment="1" applyProtection="1">
      <alignment horizontal="center"/>
      <protection locked="0"/>
    </xf>
    <xf numFmtId="171" fontId="8" fillId="0" borderId="0" xfId="0" applyNumberFormat="1" applyFont="1" applyAlignment="1" applyProtection="1">
      <alignment horizontal="center"/>
      <protection locked="0"/>
    </xf>
    <xf numFmtId="171" fontId="8" fillId="0" borderId="0" xfId="0" applyNumberFormat="1" applyFont="1" applyBorder="1" applyAlignment="1" applyProtection="1">
      <alignment horizontal="center"/>
    </xf>
    <xf numFmtId="171" fontId="8" fillId="0" borderId="0" xfId="0" applyNumberFormat="1" applyFont="1" applyFill="1" applyAlignment="1" applyProtection="1">
      <alignment horizontal="center"/>
      <protection locked="0"/>
    </xf>
    <xf numFmtId="11" fontId="7" fillId="0" borderId="0" xfId="0" applyNumberFormat="1" applyFont="1"/>
    <xf numFmtId="171" fontId="0" fillId="0" borderId="0" xfId="0" applyNumberFormat="1"/>
    <xf numFmtId="0" fontId="0" fillId="12" borderId="0" xfId="0" applyFill="1"/>
    <xf numFmtId="167" fontId="0" fillId="0" borderId="0" xfId="0" applyNumberFormat="1"/>
    <xf numFmtId="0" fontId="3" fillId="0" borderId="0" xfId="0" applyFont="1" applyFill="1" applyAlignment="1">
      <alignment horizontal="center"/>
    </xf>
    <xf numFmtId="0" fontId="3" fillId="4" borderId="0" xfId="0" applyFont="1" applyFill="1" applyAlignment="1">
      <alignment horizontal="center"/>
    </xf>
    <xf numFmtId="0" fontId="3" fillId="13" borderId="0" xfId="0" applyFont="1" applyFill="1" applyAlignment="1">
      <alignment horizontal="center"/>
    </xf>
    <xf numFmtId="0" fontId="3" fillId="14" borderId="0" xfId="0" applyFont="1" applyFill="1" applyAlignment="1">
      <alignment horizontal="center"/>
    </xf>
    <xf numFmtId="168" fontId="7" fillId="4" borderId="1" xfId="0" applyNumberFormat="1" applyFont="1" applyFill="1" applyBorder="1" applyAlignment="1">
      <alignment horizontal="center"/>
    </xf>
    <xf numFmtId="0" fontId="0" fillId="4" borderId="18" xfId="0" applyFill="1" applyBorder="1"/>
    <xf numFmtId="0" fontId="7" fillId="4" borderId="3" xfId="0" applyFont="1" applyFill="1" applyBorder="1"/>
    <xf numFmtId="0" fontId="7" fillId="4" borderId="19" xfId="0" applyFont="1" applyFill="1" applyBorder="1" applyAlignment="1">
      <alignment horizontal="left"/>
    </xf>
    <xf numFmtId="0" fontId="7" fillId="4" borderId="20" xfId="0" applyFont="1" applyFill="1" applyBorder="1" applyAlignment="1">
      <alignment horizontal="left"/>
    </xf>
    <xf numFmtId="0" fontId="0" fillId="4" borderId="20" xfId="0" applyFill="1" applyBorder="1"/>
    <xf numFmtId="0" fontId="0" fillId="4" borderId="21" xfId="0" applyFill="1" applyBorder="1"/>
    <xf numFmtId="0" fontId="3" fillId="7" borderId="7" xfId="0" applyFont="1" applyFill="1" applyBorder="1" applyAlignment="1">
      <alignment horizontal="center" vertical="top" wrapText="1"/>
    </xf>
    <xf numFmtId="168" fontId="3" fillId="2" borderId="5" xfId="0" applyNumberFormat="1"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7" borderId="23" xfId="0" applyFont="1" applyFill="1" applyBorder="1" applyAlignment="1">
      <alignment horizontal="center" vertical="top" wrapText="1"/>
    </xf>
    <xf numFmtId="0" fontId="3" fillId="7" borderId="24" xfId="0" applyFont="1" applyFill="1" applyBorder="1" applyAlignment="1">
      <alignment horizontal="center" vertical="top" wrapText="1"/>
    </xf>
    <xf numFmtId="0" fontId="3" fillId="2" borderId="25" xfId="0" applyFont="1" applyFill="1" applyBorder="1" applyAlignment="1">
      <alignment horizontal="center" vertical="top" wrapText="1"/>
    </xf>
    <xf numFmtId="0" fontId="3" fillId="2" borderId="26" xfId="0" applyFont="1" applyFill="1" applyBorder="1" applyAlignment="1">
      <alignment horizontal="center" vertical="top" wrapText="1"/>
    </xf>
    <xf numFmtId="0" fontId="3" fillId="2" borderId="27" xfId="0" applyFont="1" applyFill="1" applyBorder="1" applyAlignment="1">
      <alignment horizontal="center" vertical="top" wrapText="1"/>
    </xf>
    <xf numFmtId="0" fontId="3" fillId="7" borderId="28" xfId="0" applyFont="1" applyFill="1" applyBorder="1" applyAlignment="1">
      <alignment horizontal="center" vertical="top" wrapText="1"/>
    </xf>
    <xf numFmtId="0" fontId="3" fillId="15" borderId="5" xfId="0" applyFont="1" applyFill="1" applyBorder="1" applyAlignment="1">
      <alignment horizontal="center" vertical="top" wrapText="1"/>
    </xf>
    <xf numFmtId="2" fontId="3" fillId="15" borderId="6" xfId="0" applyNumberFormat="1" applyFont="1" applyFill="1" applyBorder="1" applyAlignment="1">
      <alignment horizontal="center" vertical="top" wrapText="1"/>
    </xf>
    <xf numFmtId="0" fontId="0" fillId="0" borderId="0" xfId="0" applyNumberFormat="1"/>
    <xf numFmtId="0" fontId="7" fillId="4" borderId="2" xfId="0" applyNumberFormat="1" applyFont="1" applyFill="1" applyBorder="1" applyAlignment="1"/>
    <xf numFmtId="0" fontId="3" fillId="2" borderId="6" xfId="0" applyNumberFormat="1" applyFont="1" applyFill="1" applyBorder="1" applyAlignment="1">
      <alignment horizontal="center" vertical="top" wrapText="1"/>
    </xf>
    <xf numFmtId="171" fontId="18" fillId="3" borderId="0" xfId="0" applyNumberFormat="1" applyFont="1" applyFill="1" applyBorder="1" applyAlignment="1" applyProtection="1">
      <alignment horizontal="center"/>
    </xf>
    <xf numFmtId="171" fontId="27" fillId="3" borderId="0" xfId="0" applyNumberFormat="1" applyFont="1" applyFill="1" applyBorder="1" applyAlignment="1" applyProtection="1">
      <alignment horizontal="center"/>
    </xf>
    <xf numFmtId="0" fontId="0" fillId="0" borderId="29" xfId="0" applyBorder="1"/>
    <xf numFmtId="0" fontId="0" fillId="0" borderId="30" xfId="0" applyBorder="1"/>
    <xf numFmtId="0" fontId="8" fillId="0" borderId="29" xfId="0" applyFont="1" applyBorder="1"/>
    <xf numFmtId="0" fontId="0" fillId="14" borderId="0" xfId="0" applyFill="1" applyBorder="1"/>
    <xf numFmtId="0" fontId="0" fillId="0" borderId="31" xfId="0" applyBorder="1"/>
    <xf numFmtId="0" fontId="0" fillId="0" borderId="32" xfId="0" applyBorder="1"/>
    <xf numFmtId="0" fontId="0" fillId="0" borderId="33" xfId="0" applyBorder="1"/>
    <xf numFmtId="0" fontId="0" fillId="0" borderId="2" xfId="0" applyBorder="1"/>
    <xf numFmtId="0" fontId="0" fillId="0" borderId="3" xfId="0" applyBorder="1"/>
    <xf numFmtId="0" fontId="7" fillId="0" borderId="29" xfId="0" applyFont="1" applyBorder="1"/>
    <xf numFmtId="0" fontId="7" fillId="13" borderId="0" xfId="0" applyFont="1" applyFill="1" applyBorder="1"/>
    <xf numFmtId="0" fontId="8" fillId="13" borderId="0" xfId="0" applyFont="1" applyFill="1" applyBorder="1"/>
    <xf numFmtId="0" fontId="3" fillId="0" borderId="29" xfId="0" applyFont="1" applyBorder="1"/>
    <xf numFmtId="0" fontId="3" fillId="0" borderId="31" xfId="0" applyFont="1" applyBorder="1"/>
    <xf numFmtId="0" fontId="7" fillId="13" borderId="32" xfId="0" applyFont="1" applyFill="1" applyBorder="1"/>
    <xf numFmtId="11" fontId="0" fillId="14" borderId="0" xfId="0" applyNumberFormat="1" applyFill="1" applyBorder="1"/>
    <xf numFmtId="0" fontId="0" fillId="13" borderId="0" xfId="0" applyFill="1" applyBorder="1"/>
    <xf numFmtId="1" fontId="3" fillId="13" borderId="0" xfId="0" applyNumberFormat="1" applyFont="1" applyFill="1" applyBorder="1" applyAlignment="1">
      <alignment horizontal="right"/>
    </xf>
    <xf numFmtId="0" fontId="3" fillId="13" borderId="0" xfId="0" applyFont="1" applyFill="1" applyBorder="1"/>
    <xf numFmtId="11" fontId="0" fillId="13" borderId="0" xfId="0" applyNumberFormat="1" applyFill="1" applyBorder="1"/>
    <xf numFmtId="167" fontId="0" fillId="13" borderId="32" xfId="0" applyNumberFormat="1" applyFill="1" applyBorder="1"/>
    <xf numFmtId="0" fontId="7" fillId="0" borderId="31" xfId="0" applyFont="1" applyBorder="1"/>
    <xf numFmtId="0" fontId="0" fillId="4" borderId="32" xfId="0" applyFill="1" applyBorder="1"/>
    <xf numFmtId="170" fontId="0" fillId="13" borderId="0" xfId="0" applyNumberFormat="1" applyFill="1" applyBorder="1"/>
    <xf numFmtId="0" fontId="0" fillId="0" borderId="0" xfId="0" applyBorder="1" applyAlignment="1">
      <alignment horizontal="right"/>
    </xf>
    <xf numFmtId="0" fontId="0" fillId="0" borderId="32" xfId="0" applyBorder="1" applyAlignment="1">
      <alignment horizontal="right"/>
    </xf>
    <xf numFmtId="0" fontId="0" fillId="5" borderId="0" xfId="0" applyFill="1" applyBorder="1"/>
    <xf numFmtId="0" fontId="7" fillId="0" borderId="0" xfId="0" applyFont="1" applyBorder="1"/>
    <xf numFmtId="0" fontId="3" fillId="0" borderId="0" xfId="0" applyFont="1" applyBorder="1"/>
    <xf numFmtId="11" fontId="7" fillId="0" borderId="32" xfId="0" applyNumberFormat="1" applyFont="1" applyBorder="1"/>
    <xf numFmtId="11" fontId="0" fillId="4" borderId="0" xfId="0" applyNumberFormat="1" applyFill="1" applyBorder="1"/>
    <xf numFmtId="0" fontId="0" fillId="2" borderId="0" xfId="0" applyFill="1" applyProtection="1">
      <protection locked="0"/>
    </xf>
    <xf numFmtId="0" fontId="0" fillId="2" borderId="11" xfId="0" applyFill="1" applyBorder="1" applyProtection="1">
      <protection locked="0"/>
    </xf>
    <xf numFmtId="0" fontId="0" fillId="10" borderId="0" xfId="0" applyFill="1" applyBorder="1"/>
    <xf numFmtId="0" fontId="0" fillId="4" borderId="13" xfId="0" applyFill="1" applyBorder="1"/>
    <xf numFmtId="0" fontId="0" fillId="7" borderId="11" xfId="0" applyFill="1" applyBorder="1"/>
    <xf numFmtId="0" fontId="16" fillId="7" borderId="11" xfId="0" applyFont="1" applyFill="1" applyBorder="1"/>
    <xf numFmtId="0" fontId="8" fillId="7" borderId="11" xfId="0" applyFont="1" applyFill="1" applyBorder="1" applyAlignment="1"/>
    <xf numFmtId="0" fontId="8" fillId="10" borderId="11" xfId="0" applyFont="1" applyFill="1" applyBorder="1"/>
    <xf numFmtId="0" fontId="3" fillId="0" borderId="0" xfId="0" applyFont="1" applyFill="1" applyBorder="1" applyAlignment="1"/>
    <xf numFmtId="0" fontId="8" fillId="0" borderId="0" xfId="0" applyFont="1" applyFill="1" applyBorder="1"/>
    <xf numFmtId="0" fontId="18" fillId="3" borderId="0" xfId="0" applyFont="1" applyFill="1" applyBorder="1" applyProtection="1"/>
    <xf numFmtId="0" fontId="18" fillId="3" borderId="0" xfId="0" applyFont="1" applyFill="1" applyProtection="1"/>
    <xf numFmtId="0" fontId="19" fillId="10" borderId="0" xfId="0" applyFont="1" applyFill="1" applyBorder="1" applyAlignment="1" applyProtection="1"/>
    <xf numFmtId="0" fontId="18" fillId="10" borderId="0" xfId="0" applyFont="1" applyFill="1" applyBorder="1" applyAlignment="1" applyProtection="1">
      <alignment horizontal="right"/>
    </xf>
    <xf numFmtId="0" fontId="19" fillId="10" borderId="0" xfId="0" applyFont="1" applyFill="1" applyBorder="1" applyAlignment="1" applyProtection="1">
      <alignment horizontal="right"/>
    </xf>
    <xf numFmtId="0" fontId="18" fillId="10" borderId="0" xfId="0" applyFont="1" applyFill="1" applyBorder="1" applyProtection="1"/>
    <xf numFmtId="0" fontId="27" fillId="16" borderId="20" xfId="0" applyFont="1" applyFill="1" applyBorder="1" applyProtection="1"/>
    <xf numFmtId="0" fontId="27" fillId="16" borderId="21" xfId="0" applyFont="1" applyFill="1" applyBorder="1" applyProtection="1"/>
    <xf numFmtId="0" fontId="27" fillId="3" borderId="0" xfId="0" applyFont="1" applyFill="1" applyProtection="1"/>
    <xf numFmtId="0" fontId="18" fillId="10" borderId="0" xfId="0" applyFont="1" applyFill="1" applyBorder="1" applyAlignment="1" applyProtection="1">
      <alignment horizontal="center"/>
    </xf>
    <xf numFmtId="0" fontId="18" fillId="10" borderId="0" xfId="0" applyFont="1" applyFill="1" applyBorder="1" applyAlignment="1" applyProtection="1">
      <alignment horizontal="left"/>
    </xf>
    <xf numFmtId="171" fontId="18" fillId="3" borderId="0" xfId="0" applyNumberFormat="1" applyFont="1" applyFill="1" applyAlignment="1" applyProtection="1">
      <alignment horizontal="center"/>
    </xf>
    <xf numFmtId="0" fontId="23" fillId="0" borderId="0" xfId="0" applyFont="1" applyBorder="1"/>
    <xf numFmtId="0" fontId="3" fillId="0" borderId="0" xfId="0" applyFont="1" applyBorder="1" applyAlignment="1">
      <alignment horizontal="center"/>
    </xf>
    <xf numFmtId="0" fontId="0" fillId="0" borderId="1" xfId="0" applyBorder="1"/>
    <xf numFmtId="0" fontId="7" fillId="0" borderId="1" xfId="0" applyFont="1" applyBorder="1"/>
    <xf numFmtId="0" fontId="3" fillId="0" borderId="1" xfId="0" applyFont="1" applyBorder="1"/>
    <xf numFmtId="2" fontId="7" fillId="4" borderId="2" xfId="0" applyNumberFormat="1" applyFont="1" applyFill="1" applyBorder="1"/>
    <xf numFmtId="0" fontId="0" fillId="0" borderId="2" xfId="0" applyBorder="1" applyAlignment="1">
      <alignment horizontal="right"/>
    </xf>
    <xf numFmtId="0" fontId="24" fillId="0" borderId="0" xfId="0" applyFont="1" applyBorder="1"/>
    <xf numFmtId="0" fontId="3" fillId="0" borderId="29" xfId="0" applyFont="1" applyFill="1" applyBorder="1"/>
    <xf numFmtId="0" fontId="8" fillId="0" borderId="29" xfId="0" applyFont="1" applyFill="1" applyBorder="1"/>
    <xf numFmtId="0" fontId="0" fillId="0" borderId="2" xfId="0" applyBorder="1" applyAlignment="1"/>
    <xf numFmtId="0" fontId="0" fillId="17" borderId="0" xfId="0" applyFill="1" applyBorder="1"/>
    <xf numFmtId="2" fontId="0" fillId="18" borderId="0" xfId="0" applyNumberFormat="1" applyFill="1" applyBorder="1"/>
    <xf numFmtId="0" fontId="31" fillId="0" borderId="0" xfId="0" applyFont="1" applyBorder="1"/>
    <xf numFmtId="0" fontId="31" fillId="4" borderId="0" xfId="0" applyFont="1" applyFill="1" applyBorder="1"/>
    <xf numFmtId="0" fontId="0" fillId="0" borderId="0" xfId="0" applyFont="1" applyFill="1" applyBorder="1"/>
    <xf numFmtId="0" fontId="23" fillId="0" borderId="39" xfId="0" applyFont="1" applyBorder="1"/>
    <xf numFmtId="0" fontId="0" fillId="0" borderId="34" xfId="0" applyBorder="1"/>
    <xf numFmtId="0" fontId="0" fillId="0" borderId="36" xfId="0" applyBorder="1"/>
    <xf numFmtId="0" fontId="8" fillId="0" borderId="40" xfId="0" applyFont="1" applyBorder="1"/>
    <xf numFmtId="0" fontId="0" fillId="0" borderId="37" xfId="0" applyBorder="1"/>
    <xf numFmtId="0" fontId="31" fillId="0" borderId="40" xfId="0" applyFont="1" applyBorder="1"/>
    <xf numFmtId="0" fontId="31" fillId="0" borderId="40" xfId="0" applyFont="1" applyFill="1" applyBorder="1"/>
    <xf numFmtId="0" fontId="31" fillId="0" borderId="41" xfId="0" applyFont="1" applyBorder="1"/>
    <xf numFmtId="0" fontId="31" fillId="0" borderId="35" xfId="0" applyFont="1" applyBorder="1"/>
    <xf numFmtId="0" fontId="0" fillId="0" borderId="35" xfId="0" applyBorder="1"/>
    <xf numFmtId="0" fontId="0" fillId="0" borderId="38" xfId="0" applyBorder="1"/>
    <xf numFmtId="0" fontId="31" fillId="18" borderId="0" xfId="0" applyFont="1" applyFill="1" applyBorder="1"/>
    <xf numFmtId="0" fontId="0" fillId="18" borderId="0" xfId="0" applyFill="1" applyBorder="1"/>
    <xf numFmtId="0" fontId="31" fillId="18" borderId="35" xfId="0" applyFont="1" applyFill="1" applyBorder="1"/>
    <xf numFmtId="0" fontId="8" fillId="0" borderId="32" xfId="0" applyFont="1" applyBorder="1"/>
    <xf numFmtId="0" fontId="8" fillId="14" borderId="0" xfId="0" applyFont="1" applyFill="1" applyBorder="1"/>
    <xf numFmtId="0" fontId="18" fillId="10" borderId="30" xfId="0" applyFont="1" applyFill="1" applyBorder="1" applyProtection="1"/>
    <xf numFmtId="0" fontId="20" fillId="10" borderId="0" xfId="0" applyFont="1" applyFill="1" applyBorder="1" applyProtection="1"/>
    <xf numFmtId="2" fontId="18" fillId="10" borderId="0" xfId="0" applyNumberFormat="1" applyFont="1" applyFill="1" applyBorder="1" applyProtection="1"/>
    <xf numFmtId="166" fontId="18" fillId="10" borderId="0" xfId="0" applyNumberFormat="1" applyFont="1" applyFill="1" applyBorder="1" applyProtection="1"/>
    <xf numFmtId="169" fontId="18" fillId="10" borderId="0" xfId="0" applyNumberFormat="1" applyFont="1" applyFill="1" applyBorder="1" applyProtection="1"/>
    <xf numFmtId="165" fontId="18" fillId="10" borderId="0" xfId="0" applyNumberFormat="1" applyFont="1" applyFill="1" applyBorder="1" applyProtection="1"/>
    <xf numFmtId="2" fontId="7" fillId="4" borderId="0" xfId="0" applyNumberFormat="1" applyFont="1" applyFill="1" applyBorder="1"/>
    <xf numFmtId="167" fontId="0" fillId="13" borderId="0" xfId="0" applyNumberFormat="1" applyFill="1" applyBorder="1"/>
    <xf numFmtId="0" fontId="11" fillId="0" borderId="0" xfId="1" applyAlignment="1" applyProtection="1"/>
    <xf numFmtId="2" fontId="31" fillId="13" borderId="0" xfId="0" applyNumberFormat="1" applyFont="1" applyFill="1" applyBorder="1"/>
    <xf numFmtId="166" fontId="31" fillId="18" borderId="0" xfId="0" applyNumberFormat="1" applyFont="1" applyFill="1" applyBorder="1"/>
    <xf numFmtId="0" fontId="18" fillId="19" borderId="0" xfId="0" applyFont="1" applyFill="1" applyProtection="1"/>
    <xf numFmtId="0" fontId="0" fillId="0" borderId="29" xfId="0" applyFill="1" applyBorder="1"/>
    <xf numFmtId="0" fontId="2" fillId="0" borderId="0" xfId="0" applyFont="1"/>
    <xf numFmtId="0" fontId="2" fillId="0" borderId="0" xfId="0" applyFont="1" applyBorder="1"/>
    <xf numFmtId="2" fontId="2" fillId="0" borderId="0" xfId="0" quotePrefix="1" applyNumberFormat="1" applyFont="1" applyBorder="1"/>
    <xf numFmtId="0" fontId="0" fillId="0" borderId="0" xfId="0" applyBorder="1" applyAlignment="1">
      <alignment horizontal="left"/>
    </xf>
    <xf numFmtId="0" fontId="2" fillId="0" borderId="2" xfId="0" applyFont="1" applyBorder="1"/>
    <xf numFmtId="0" fontId="0" fillId="0" borderId="31" xfId="0" applyFill="1" applyBorder="1"/>
    <xf numFmtId="0" fontId="2" fillId="0" borderId="32" xfId="0" applyFont="1" applyBorder="1"/>
    <xf numFmtId="0" fontId="34" fillId="10" borderId="0" xfId="0" applyFont="1" applyFill="1" applyBorder="1" applyAlignment="1" applyProtection="1"/>
    <xf numFmtId="0" fontId="18" fillId="19" borderId="0" xfId="0" applyFont="1" applyFill="1" applyBorder="1" applyProtection="1"/>
    <xf numFmtId="0" fontId="22" fillId="22" borderId="0" xfId="0" applyFont="1" applyFill="1" applyBorder="1" applyAlignment="1" applyProtection="1">
      <alignment vertical="center"/>
    </xf>
    <xf numFmtId="0" fontId="0" fillId="21" borderId="0" xfId="0" applyFill="1"/>
    <xf numFmtId="0" fontId="25" fillId="10" borderId="0" xfId="0" applyNumberFormat="1" applyFont="1" applyFill="1" applyBorder="1" applyAlignment="1" applyProtection="1">
      <alignment horizontal="right"/>
    </xf>
    <xf numFmtId="0" fontId="3" fillId="10" borderId="0" xfId="0" applyFont="1" applyFill="1" applyBorder="1" applyAlignment="1" applyProtection="1">
      <alignment horizontal="right"/>
    </xf>
    <xf numFmtId="0" fontId="2" fillId="10" borderId="0" xfId="0" applyFont="1" applyFill="1" applyBorder="1" applyAlignment="1" applyProtection="1">
      <alignment horizontal="right"/>
    </xf>
    <xf numFmtId="0" fontId="2" fillId="10" borderId="32" xfId="0" applyFont="1" applyFill="1" applyBorder="1" applyAlignment="1" applyProtection="1">
      <alignment horizontal="right"/>
    </xf>
    <xf numFmtId="0" fontId="2" fillId="10" borderId="29" xfId="0" applyFont="1" applyFill="1" applyBorder="1" applyProtection="1"/>
    <xf numFmtId="0" fontId="2" fillId="10" borderId="0" xfId="0" applyFont="1" applyFill="1" applyBorder="1" applyProtection="1"/>
    <xf numFmtId="0" fontId="3" fillId="22" borderId="0" xfId="0" applyNumberFormat="1" applyFont="1" applyFill="1" applyBorder="1" applyProtection="1">
      <protection locked="0"/>
    </xf>
    <xf numFmtId="0" fontId="58" fillId="10" borderId="0" xfId="0" applyFont="1" applyFill="1" applyBorder="1" applyProtection="1"/>
    <xf numFmtId="1" fontId="3" fillId="22" borderId="0" xfId="0" applyNumberFormat="1" applyFont="1" applyFill="1" applyBorder="1" applyProtection="1">
      <protection locked="0"/>
    </xf>
    <xf numFmtId="0" fontId="59" fillId="10" borderId="0" xfId="0" applyFont="1" applyFill="1" applyBorder="1" applyProtection="1"/>
    <xf numFmtId="0" fontId="6" fillId="10" borderId="0" xfId="0" applyFont="1" applyFill="1" applyBorder="1" applyAlignment="1" applyProtection="1">
      <alignment horizontal="right"/>
    </xf>
    <xf numFmtId="0" fontId="57" fillId="10" borderId="0" xfId="0" applyFont="1" applyFill="1" applyBorder="1" applyProtection="1"/>
    <xf numFmtId="0" fontId="60" fillId="10" borderId="0" xfId="0" applyFont="1" applyFill="1" applyBorder="1" applyAlignment="1" applyProtection="1"/>
    <xf numFmtId="0" fontId="3" fillId="10" borderId="0" xfId="0" applyFont="1" applyFill="1" applyBorder="1" applyAlignment="1" applyProtection="1"/>
    <xf numFmtId="167" fontId="3" fillId="10" borderId="0" xfId="0" applyNumberFormat="1" applyFont="1" applyFill="1" applyBorder="1" applyAlignment="1" applyProtection="1"/>
    <xf numFmtId="0" fontId="60" fillId="10" borderId="0" xfId="0" applyFont="1" applyFill="1" applyBorder="1" applyProtection="1"/>
    <xf numFmtId="0" fontId="2" fillId="19" borderId="0" xfId="0" applyFont="1" applyFill="1" applyProtection="1"/>
    <xf numFmtId="0" fontId="3" fillId="10" borderId="0" xfId="0" applyFont="1" applyFill="1" applyBorder="1" applyProtection="1"/>
    <xf numFmtId="0" fontId="3" fillId="10" borderId="29" xfId="0" applyFont="1" applyFill="1" applyBorder="1" applyProtection="1"/>
    <xf numFmtId="0" fontId="3" fillId="22" borderId="0" xfId="0" applyFont="1" applyFill="1" applyBorder="1" applyProtection="1">
      <protection locked="0"/>
    </xf>
    <xf numFmtId="0" fontId="60" fillId="19" borderId="0" xfId="0" applyFont="1" applyFill="1" applyBorder="1" applyProtection="1"/>
    <xf numFmtId="1" fontId="57" fillId="10" borderId="0" xfId="0" applyNumberFormat="1" applyFont="1" applyFill="1" applyBorder="1" applyAlignment="1" applyProtection="1">
      <alignment horizontal="right"/>
    </xf>
    <xf numFmtId="0" fontId="62" fillId="16" borderId="20" xfId="0" applyFont="1" applyFill="1" applyBorder="1" applyProtection="1"/>
    <xf numFmtId="0" fontId="60" fillId="10" borderId="0" xfId="0" applyFont="1" applyFill="1" applyBorder="1" applyAlignment="1" applyProtection="1">
      <alignment vertical="center"/>
    </xf>
    <xf numFmtId="0" fontId="7" fillId="10" borderId="0" xfId="0" applyFont="1" applyFill="1" applyBorder="1" applyAlignment="1" applyProtection="1">
      <alignment horizontal="right"/>
    </xf>
    <xf numFmtId="167" fontId="7" fillId="10" borderId="0" xfId="0" applyNumberFormat="1" applyFont="1" applyFill="1" applyBorder="1" applyProtection="1"/>
    <xf numFmtId="0" fontId="7" fillId="10" borderId="0" xfId="0" applyFont="1" applyFill="1" applyBorder="1" applyProtection="1"/>
    <xf numFmtId="167" fontId="3" fillId="19" borderId="0" xfId="0" applyNumberFormat="1" applyFont="1" applyFill="1" applyBorder="1" applyAlignment="1" applyProtection="1">
      <alignment horizontal="right" vertical="center"/>
    </xf>
    <xf numFmtId="167" fontId="2" fillId="19" borderId="0" xfId="0" applyNumberFormat="1" applyFont="1" applyFill="1" applyBorder="1" applyAlignment="1" applyProtection="1">
      <alignment horizontal="right"/>
    </xf>
    <xf numFmtId="0" fontId="2" fillId="19" borderId="0" xfId="0" applyFont="1" applyFill="1" applyBorder="1" applyAlignment="1" applyProtection="1">
      <alignment horizontal="left"/>
    </xf>
    <xf numFmtId="1" fontId="3" fillId="19" borderId="0" xfId="0" applyNumberFormat="1" applyFont="1" applyFill="1" applyBorder="1" applyAlignment="1" applyProtection="1">
      <alignment horizontal="right" vertical="center"/>
    </xf>
    <xf numFmtId="1" fontId="2" fillId="19" borderId="0" xfId="0" applyNumberFormat="1" applyFont="1" applyFill="1" applyBorder="1" applyAlignment="1" applyProtection="1">
      <alignment horizontal="right"/>
    </xf>
    <xf numFmtId="1" fontId="3" fillId="19" borderId="0" xfId="0" applyNumberFormat="1" applyFont="1" applyFill="1" applyBorder="1" applyAlignment="1" applyProtection="1">
      <alignment horizontal="right" vertical="center"/>
      <protection locked="0" hidden="1"/>
    </xf>
    <xf numFmtId="0" fontId="3" fillId="10" borderId="0" xfId="0" applyFont="1" applyFill="1" applyBorder="1" applyAlignment="1" applyProtection="1">
      <alignment horizontal="left"/>
    </xf>
    <xf numFmtId="0" fontId="63" fillId="10" borderId="0" xfId="0" applyFont="1" applyFill="1" applyBorder="1" applyProtection="1"/>
    <xf numFmtId="0" fontId="2" fillId="10" borderId="0" xfId="0" applyFont="1" applyFill="1" applyBorder="1" applyAlignment="1" applyProtection="1">
      <alignment horizontal="left"/>
    </xf>
    <xf numFmtId="0" fontId="61" fillId="22" borderId="0" xfId="0" applyNumberFormat="1" applyFont="1" applyFill="1" applyBorder="1" applyAlignment="1" applyProtection="1">
      <alignment horizontal="right"/>
      <protection locked="0" hidden="1"/>
    </xf>
    <xf numFmtId="0" fontId="65" fillId="16" borderId="20" xfId="0" applyFont="1" applyFill="1" applyBorder="1" applyProtection="1"/>
    <xf numFmtId="0" fontId="24" fillId="10" borderId="29" xfId="0" applyFont="1" applyFill="1" applyBorder="1" applyProtection="1"/>
    <xf numFmtId="0" fontId="24" fillId="10" borderId="29" xfId="0" applyFont="1" applyFill="1" applyBorder="1" applyAlignment="1" applyProtection="1"/>
    <xf numFmtId="2" fontId="2" fillId="10" borderId="0" xfId="0" applyNumberFormat="1" applyFont="1" applyFill="1" applyBorder="1" applyProtection="1"/>
    <xf numFmtId="167" fontId="2" fillId="10" borderId="0" xfId="0" applyNumberFormat="1" applyFont="1" applyFill="1" applyBorder="1" applyProtection="1"/>
    <xf numFmtId="1" fontId="2" fillId="10" borderId="0" xfId="0" applyNumberFormat="1" applyFont="1" applyFill="1" applyBorder="1" applyProtection="1"/>
    <xf numFmtId="1" fontId="2" fillId="10" borderId="0" xfId="0" applyNumberFormat="1" applyFont="1" applyFill="1" applyBorder="1" applyAlignment="1" applyProtection="1">
      <alignment horizontal="right"/>
    </xf>
    <xf numFmtId="0" fontId="67" fillId="10" borderId="0" xfId="0" applyFont="1" applyFill="1" applyBorder="1" applyAlignment="1" applyProtection="1">
      <alignment horizontal="right"/>
    </xf>
    <xf numFmtId="1" fontId="67" fillId="22" borderId="0" xfId="0" applyNumberFormat="1" applyFont="1" applyFill="1" applyBorder="1" applyAlignment="1" applyProtection="1">
      <alignment horizontal="right"/>
      <protection locked="0"/>
    </xf>
    <xf numFmtId="0" fontId="67" fillId="22" borderId="0" xfId="0" applyNumberFormat="1" applyFont="1" applyFill="1" applyBorder="1" applyProtection="1">
      <protection locked="0"/>
    </xf>
    <xf numFmtId="167" fontId="67" fillId="22" borderId="0" xfId="0" applyNumberFormat="1" applyFont="1" applyFill="1" applyBorder="1" applyAlignment="1" applyProtection="1">
      <alignment horizontal="right" vertical="center"/>
      <protection locked="0" hidden="1"/>
    </xf>
    <xf numFmtId="1" fontId="67" fillId="22" borderId="0" xfId="0" applyNumberFormat="1" applyFont="1" applyFill="1" applyBorder="1" applyAlignment="1" applyProtection="1">
      <alignment horizontal="right" vertical="center"/>
      <protection locked="0" hidden="1"/>
    </xf>
    <xf numFmtId="0" fontId="2" fillId="10" borderId="2" xfId="0" applyFont="1" applyFill="1" applyBorder="1" applyProtection="1"/>
    <xf numFmtId="0" fontId="2" fillId="10" borderId="2" xfId="0" applyFont="1" applyFill="1" applyBorder="1" applyAlignment="1" applyProtection="1">
      <alignment horizontal="right"/>
    </xf>
    <xf numFmtId="0" fontId="67" fillId="10" borderId="2" xfId="0" applyFont="1" applyFill="1" applyBorder="1" applyAlignment="1" applyProtection="1">
      <alignment horizontal="right"/>
    </xf>
    <xf numFmtId="0" fontId="3" fillId="22" borderId="2" xfId="0" applyNumberFormat="1" applyFont="1" applyFill="1" applyBorder="1" applyProtection="1">
      <protection locked="0"/>
    </xf>
    <xf numFmtId="0" fontId="3" fillId="10" borderId="3" xfId="0" applyFont="1" applyFill="1" applyBorder="1" applyProtection="1"/>
    <xf numFmtId="0" fontId="3" fillId="10" borderId="30" xfId="0" applyFont="1" applyFill="1" applyBorder="1" applyProtection="1"/>
    <xf numFmtId="0" fontId="2" fillId="10" borderId="31" xfId="0" applyFont="1" applyFill="1" applyBorder="1" applyProtection="1"/>
    <xf numFmtId="0" fontId="2" fillId="10" borderId="32" xfId="0" applyFont="1" applyFill="1" applyBorder="1" applyProtection="1"/>
    <xf numFmtId="0" fontId="2" fillId="10" borderId="33" xfId="0" applyFont="1" applyFill="1" applyBorder="1" applyProtection="1"/>
    <xf numFmtId="0" fontId="2" fillId="10" borderId="3" xfId="0" applyFont="1" applyFill="1" applyBorder="1" applyProtection="1"/>
    <xf numFmtId="0" fontId="2" fillId="10" borderId="30" xfId="0" applyFont="1" applyFill="1" applyBorder="1" applyProtection="1"/>
    <xf numFmtId="1" fontId="2" fillId="10" borderId="32" xfId="0" applyNumberFormat="1" applyFont="1" applyFill="1" applyBorder="1" applyProtection="1"/>
    <xf numFmtId="167" fontId="2" fillId="10" borderId="32" xfId="0" applyNumberFormat="1" applyFont="1" applyFill="1" applyBorder="1" applyProtection="1"/>
    <xf numFmtId="0" fontId="3" fillId="10" borderId="2" xfId="0" applyFont="1" applyFill="1" applyBorder="1" applyAlignment="1" applyProtection="1"/>
    <xf numFmtId="0" fontId="3" fillId="10" borderId="2" xfId="0" applyFont="1" applyFill="1" applyBorder="1" applyAlignment="1" applyProtection="1">
      <alignment horizontal="right"/>
    </xf>
    <xf numFmtId="1" fontId="3" fillId="22" borderId="2" xfId="0" applyNumberFormat="1" applyFont="1" applyFill="1" applyBorder="1" applyProtection="1">
      <protection locked="0"/>
    </xf>
    <xf numFmtId="0" fontId="3" fillId="10" borderId="2" xfId="0" applyFont="1" applyFill="1" applyBorder="1" applyProtection="1"/>
    <xf numFmtId="0" fontId="3" fillId="10" borderId="3" xfId="0" applyFont="1" applyFill="1" applyBorder="1" applyAlignment="1" applyProtection="1"/>
    <xf numFmtId="0" fontId="2" fillId="10" borderId="33" xfId="0" applyFont="1" applyFill="1" applyBorder="1" applyAlignment="1" applyProtection="1"/>
    <xf numFmtId="0" fontId="67" fillId="19" borderId="2" xfId="0" applyFont="1" applyFill="1" applyBorder="1" applyAlignment="1" applyProtection="1">
      <alignment horizontal="right"/>
    </xf>
    <xf numFmtId="0" fontId="3" fillId="22" borderId="2" xfId="0" applyFont="1" applyFill="1" applyBorder="1" applyProtection="1">
      <protection locked="0"/>
    </xf>
    <xf numFmtId="0" fontId="2" fillId="10" borderId="32" xfId="0" applyNumberFormat="1" applyFont="1" applyFill="1" applyBorder="1" applyAlignment="1" applyProtection="1">
      <alignment horizontal="right"/>
    </xf>
    <xf numFmtId="0" fontId="3" fillId="10" borderId="30" xfId="0" applyFont="1" applyFill="1" applyBorder="1" applyAlignment="1" applyProtection="1">
      <alignment horizontal="left"/>
    </xf>
    <xf numFmtId="167" fontId="2" fillId="10" borderId="2" xfId="0" applyNumberFormat="1" applyFont="1" applyFill="1" applyBorder="1" applyProtection="1"/>
    <xf numFmtId="0" fontId="2" fillId="19" borderId="42" xfId="0" applyFont="1" applyFill="1" applyBorder="1" applyAlignment="1" applyProtection="1">
      <alignment horizontal="left"/>
    </xf>
    <xf numFmtId="0" fontId="61" fillId="22" borderId="42" xfId="0" applyNumberFormat="1" applyFont="1" applyFill="1" applyBorder="1" applyAlignment="1" applyProtection="1">
      <alignment horizontal="right"/>
      <protection locked="0" hidden="1"/>
    </xf>
    <xf numFmtId="0" fontId="61" fillId="10" borderId="43" xfId="0" applyFont="1" applyFill="1" applyBorder="1" applyAlignment="1" applyProtection="1">
      <alignment horizontal="left"/>
    </xf>
    <xf numFmtId="0" fontId="61" fillId="10" borderId="30" xfId="0" applyFont="1" applyFill="1" applyBorder="1" applyAlignment="1" applyProtection="1">
      <alignment horizontal="left"/>
    </xf>
    <xf numFmtId="167" fontId="3" fillId="10" borderId="44" xfId="0" applyNumberFormat="1" applyFont="1" applyFill="1" applyBorder="1" applyAlignment="1" applyProtection="1">
      <alignment horizontal="right"/>
    </xf>
    <xf numFmtId="167" fontId="3" fillId="10" borderId="29" xfId="0" applyNumberFormat="1" applyFont="1" applyFill="1" applyBorder="1" applyAlignment="1" applyProtection="1">
      <alignment horizontal="right"/>
    </xf>
    <xf numFmtId="0" fontId="3" fillId="10" borderId="44" xfId="0" applyFont="1" applyFill="1" applyBorder="1" applyAlignment="1" applyProtection="1">
      <alignment horizontal="center"/>
    </xf>
    <xf numFmtId="0" fontId="3" fillId="10" borderId="29" xfId="0" applyFont="1" applyFill="1" applyBorder="1" applyAlignment="1" applyProtection="1">
      <alignment horizontal="center"/>
    </xf>
    <xf numFmtId="0" fontId="3" fillId="10" borderId="44" xfId="0" applyFont="1" applyFill="1" applyBorder="1" applyProtection="1"/>
    <xf numFmtId="0" fontId="3" fillId="10" borderId="42" xfId="0" applyFont="1" applyFill="1" applyBorder="1" applyProtection="1"/>
    <xf numFmtId="0" fontId="2" fillId="10" borderId="42" xfId="0" applyFont="1" applyFill="1" applyBorder="1" applyProtection="1"/>
    <xf numFmtId="0" fontId="2" fillId="10" borderId="43" xfId="0" applyFont="1" applyFill="1" applyBorder="1" applyProtection="1"/>
    <xf numFmtId="0" fontId="2" fillId="10" borderId="42" xfId="0" applyFont="1" applyFill="1" applyBorder="1" applyAlignment="1" applyProtection="1">
      <alignment vertical="center"/>
    </xf>
    <xf numFmtId="0" fontId="2" fillId="10" borderId="46" xfId="0" applyFont="1" applyFill="1" applyBorder="1" applyProtection="1"/>
    <xf numFmtId="0" fontId="3" fillId="10" borderId="46" xfId="0" applyFont="1" applyFill="1" applyBorder="1" applyAlignment="1" applyProtection="1">
      <alignment horizontal="right"/>
    </xf>
    <xf numFmtId="0" fontId="2" fillId="10" borderId="47" xfId="0" applyFont="1" applyFill="1" applyBorder="1" applyProtection="1"/>
    <xf numFmtId="0" fontId="2" fillId="19" borderId="46" xfId="0" applyFont="1" applyFill="1" applyBorder="1" applyAlignment="1" applyProtection="1">
      <alignment horizontal="left"/>
    </xf>
    <xf numFmtId="0" fontId="61" fillId="22" borderId="46" xfId="0" applyNumberFormat="1" applyFont="1" applyFill="1" applyBorder="1" applyAlignment="1" applyProtection="1">
      <alignment horizontal="right"/>
      <protection locked="0" hidden="1"/>
    </xf>
    <xf numFmtId="0" fontId="61" fillId="10" borderId="47" xfId="0" applyFont="1" applyFill="1" applyBorder="1" applyAlignment="1" applyProtection="1">
      <alignment horizontal="left"/>
    </xf>
    <xf numFmtId="0" fontId="64" fillId="10" borderId="45" xfId="0" applyFont="1" applyFill="1" applyBorder="1" applyAlignment="1" applyProtection="1">
      <alignment horizontal="left"/>
    </xf>
    <xf numFmtId="0" fontId="64" fillId="10" borderId="47" xfId="0" applyFont="1" applyFill="1" applyBorder="1" applyProtection="1"/>
    <xf numFmtId="0" fontId="3" fillId="10" borderId="43" xfId="0" applyFont="1" applyFill="1" applyBorder="1" applyAlignment="1" applyProtection="1">
      <alignment horizontal="left"/>
    </xf>
    <xf numFmtId="167" fontId="2" fillId="10" borderId="42" xfId="0" applyNumberFormat="1" applyFont="1" applyFill="1" applyBorder="1" applyAlignment="1" applyProtection="1">
      <alignment horizontal="left" vertical="center"/>
    </xf>
    <xf numFmtId="1" fontId="2" fillId="10" borderId="0" xfId="0" applyNumberFormat="1" applyFont="1" applyFill="1" applyBorder="1" applyAlignment="1" applyProtection="1">
      <alignment horizontal="left" vertical="center"/>
    </xf>
    <xf numFmtId="1" fontId="2" fillId="10" borderId="46" xfId="0" applyNumberFormat="1" applyFont="1" applyFill="1" applyBorder="1" applyAlignment="1" applyProtection="1">
      <alignment horizontal="left" vertical="center"/>
    </xf>
    <xf numFmtId="1" fontId="3" fillId="19" borderId="46" xfId="0" applyNumberFormat="1" applyFont="1" applyFill="1" applyBorder="1" applyAlignment="1" applyProtection="1">
      <alignment horizontal="right" vertical="center"/>
    </xf>
    <xf numFmtId="1" fontId="67" fillId="22" borderId="46" xfId="0" applyNumberFormat="1" applyFont="1" applyFill="1" applyBorder="1" applyAlignment="1" applyProtection="1">
      <alignment horizontal="right" vertical="center"/>
      <protection locked="0" hidden="1"/>
    </xf>
    <xf numFmtId="0" fontId="3" fillId="10" borderId="47" xfId="0" applyFont="1" applyFill="1" applyBorder="1" applyAlignment="1" applyProtection="1">
      <alignment horizontal="left"/>
    </xf>
    <xf numFmtId="0" fontId="24" fillId="10" borderId="29" xfId="0" applyFont="1" applyFill="1" applyBorder="1" applyAlignment="1" applyProtection="1">
      <alignment vertical="center"/>
    </xf>
    <xf numFmtId="0" fontId="2" fillId="10" borderId="44" xfId="0" applyFont="1" applyFill="1" applyBorder="1" applyProtection="1"/>
    <xf numFmtId="0" fontId="3" fillId="10" borderId="44" xfId="0" applyFont="1" applyFill="1" applyBorder="1" applyAlignment="1" applyProtection="1"/>
    <xf numFmtId="0" fontId="2" fillId="19" borderId="29" xfId="0" applyFont="1" applyFill="1" applyBorder="1" applyProtection="1"/>
    <xf numFmtId="1" fontId="3" fillId="19" borderId="29" xfId="0" applyNumberFormat="1" applyFont="1" applyFill="1" applyBorder="1" applyAlignment="1" applyProtection="1">
      <alignment horizontal="right" vertical="center"/>
    </xf>
    <xf numFmtId="0" fontId="3" fillId="10" borderId="31" xfId="0" applyFont="1" applyFill="1" applyBorder="1" applyAlignment="1" applyProtection="1">
      <alignment horizontal="center"/>
    </xf>
    <xf numFmtId="0" fontId="62" fillId="16" borderId="48" xfId="0" applyFont="1" applyFill="1" applyBorder="1" applyProtection="1"/>
    <xf numFmtId="0" fontId="18" fillId="3" borderId="29" xfId="0" applyFont="1" applyFill="1" applyBorder="1" applyProtection="1"/>
    <xf numFmtId="0" fontId="18" fillId="19" borderId="29" xfId="0" applyFont="1" applyFill="1" applyBorder="1" applyProtection="1"/>
    <xf numFmtId="0" fontId="18" fillId="19" borderId="42" xfId="0" applyFont="1" applyFill="1" applyBorder="1" applyProtection="1"/>
    <xf numFmtId="0" fontId="18" fillId="19" borderId="31" xfId="0" applyFont="1" applyFill="1" applyBorder="1" applyProtection="1"/>
    <xf numFmtId="0" fontId="18" fillId="19" borderId="46" xfId="0" applyFont="1" applyFill="1" applyBorder="1" applyProtection="1"/>
    <xf numFmtId="167" fontId="3" fillId="19" borderId="42" xfId="0" applyNumberFormat="1" applyFont="1" applyFill="1" applyBorder="1" applyAlignment="1" applyProtection="1">
      <alignment horizontal="right" vertical="center"/>
    </xf>
    <xf numFmtId="167" fontId="67" fillId="22" borderId="42" xfId="0" applyNumberFormat="1" applyFont="1" applyFill="1" applyBorder="1" applyAlignment="1" applyProtection="1">
      <alignment horizontal="right" vertical="center"/>
      <protection locked="0" hidden="1"/>
    </xf>
    <xf numFmtId="0" fontId="2" fillId="19" borderId="0" xfId="0" applyFont="1" applyFill="1" applyBorder="1" applyAlignment="1" applyProtection="1">
      <alignment horizontal="right"/>
      <protection locked="0"/>
    </xf>
    <xf numFmtId="0" fontId="3" fillId="0" borderId="43" xfId="0" applyFont="1" applyFill="1" applyBorder="1" applyAlignment="1" applyProtection="1">
      <alignment horizontal="left"/>
    </xf>
    <xf numFmtId="171" fontId="18" fillId="21" borderId="0" xfId="0" applyNumberFormat="1" applyFont="1" applyFill="1" applyBorder="1" applyAlignment="1" applyProtection="1">
      <alignment horizontal="center"/>
    </xf>
    <xf numFmtId="0" fontId="18" fillId="21" borderId="0" xfId="0" applyFont="1" applyFill="1" applyProtection="1"/>
    <xf numFmtId="171" fontId="27" fillId="21" borderId="0" xfId="0" applyNumberFormat="1" applyFont="1" applyFill="1" applyBorder="1" applyAlignment="1" applyProtection="1">
      <alignment horizontal="center"/>
    </xf>
    <xf numFmtId="0" fontId="27" fillId="21" borderId="0" xfId="0" applyFont="1" applyFill="1" applyProtection="1"/>
    <xf numFmtId="0" fontId="2" fillId="19" borderId="0" xfId="0" applyFont="1" applyFill="1" applyBorder="1" applyProtection="1">
      <protection locked="0"/>
    </xf>
    <xf numFmtId="0" fontId="2" fillId="10" borderId="45" xfId="0" applyFont="1" applyFill="1" applyBorder="1" applyProtection="1"/>
    <xf numFmtId="0" fontId="3" fillId="10" borderId="46" xfId="0" applyFont="1" applyFill="1" applyBorder="1" applyProtection="1"/>
    <xf numFmtId="0" fontId="2" fillId="10" borderId="49" xfId="0" applyFont="1" applyFill="1" applyBorder="1" applyProtection="1"/>
    <xf numFmtId="0" fontId="69" fillId="10" borderId="0" xfId="0" applyFont="1" applyFill="1" applyBorder="1" applyAlignment="1" applyProtection="1">
      <alignment horizontal="right"/>
    </xf>
    <xf numFmtId="0" fontId="71" fillId="10" borderId="0" xfId="0" applyFont="1" applyFill="1" applyBorder="1" applyProtection="1"/>
    <xf numFmtId="0" fontId="71" fillId="10" borderId="30" xfId="0" applyFont="1" applyFill="1" applyBorder="1" applyProtection="1"/>
    <xf numFmtId="171" fontId="71" fillId="21" borderId="0" xfId="0" applyNumberFormat="1" applyFont="1" applyFill="1" applyBorder="1" applyAlignment="1" applyProtection="1">
      <alignment horizontal="center"/>
    </xf>
    <xf numFmtId="0" fontId="71" fillId="21" borderId="0" xfId="0" applyFont="1" applyFill="1" applyProtection="1"/>
    <xf numFmtId="171" fontId="71" fillId="3" borderId="0" xfId="0" applyNumberFormat="1" applyFont="1" applyFill="1" applyBorder="1" applyAlignment="1" applyProtection="1">
      <alignment horizontal="center"/>
    </xf>
    <xf numFmtId="0" fontId="71" fillId="3" borderId="0" xfId="0" applyFont="1" applyFill="1" applyProtection="1"/>
    <xf numFmtId="0" fontId="69" fillId="10" borderId="42" xfId="0" applyFont="1" applyFill="1" applyBorder="1" applyAlignment="1" applyProtection="1">
      <alignment horizontal="right"/>
    </xf>
    <xf numFmtId="0" fontId="70" fillId="10" borderId="29" xfId="0" applyFont="1" applyFill="1" applyBorder="1" applyAlignment="1" applyProtection="1">
      <alignment vertical="center"/>
    </xf>
    <xf numFmtId="0" fontId="69" fillId="10" borderId="0" xfId="0" applyFont="1" applyFill="1" applyBorder="1" applyAlignment="1" applyProtection="1">
      <alignment horizontal="right" vertical="center"/>
    </xf>
    <xf numFmtId="167" fontId="69" fillId="10" borderId="46" xfId="0" applyNumberFormat="1" applyFont="1" applyFill="1" applyBorder="1" applyAlignment="1" applyProtection="1">
      <alignment horizontal="center" vertical="center"/>
    </xf>
    <xf numFmtId="167" fontId="69" fillId="10" borderId="46" xfId="0" applyNumberFormat="1" applyFont="1" applyFill="1" applyBorder="1" applyAlignment="1" applyProtection="1">
      <alignment vertical="center"/>
    </xf>
    <xf numFmtId="0" fontId="69" fillId="0" borderId="0" xfId="0" applyFont="1" applyFill="1" applyBorder="1" applyAlignment="1" applyProtection="1">
      <alignment horizontal="left" vertical="center"/>
    </xf>
    <xf numFmtId="0" fontId="2" fillId="0" borderId="1" xfId="0" applyFont="1" applyBorder="1"/>
    <xf numFmtId="0" fontId="2" fillId="0" borderId="29" xfId="0" applyFont="1" applyBorder="1"/>
    <xf numFmtId="0" fontId="2" fillId="0" borderId="0" xfId="0" applyFont="1" applyFill="1" applyBorder="1"/>
    <xf numFmtId="2" fontId="0" fillId="0" borderId="0" xfId="0" applyNumberFormat="1" applyBorder="1" applyAlignment="1">
      <alignment horizontal="right"/>
    </xf>
    <xf numFmtId="0" fontId="2" fillId="10" borderId="0" xfId="0" applyNumberFormat="1" applyFont="1" applyFill="1" applyBorder="1" applyAlignment="1" applyProtection="1">
      <alignment horizontal="right"/>
    </xf>
    <xf numFmtId="0" fontId="3" fillId="22" borderId="0" xfId="0" applyNumberFormat="1" applyFont="1" applyFill="1" applyBorder="1" applyAlignment="1" applyProtection="1">
      <alignment horizontal="right"/>
      <protection locked="0"/>
    </xf>
    <xf numFmtId="0" fontId="74" fillId="0" borderId="0" xfId="0" applyFont="1" applyBorder="1"/>
    <xf numFmtId="0" fontId="2" fillId="10" borderId="0" xfId="2" applyFill="1"/>
    <xf numFmtId="49" fontId="2" fillId="10" borderId="0" xfId="2" applyNumberFormat="1" applyFill="1"/>
    <xf numFmtId="0" fontId="12" fillId="10" borderId="0" xfId="2" applyFont="1" applyFill="1" applyAlignment="1">
      <alignment vertical="center"/>
    </xf>
    <xf numFmtId="0" fontId="2" fillId="23" borderId="17" xfId="2" applyFill="1" applyBorder="1" applyAlignment="1">
      <alignment horizontal="center" vertical="center"/>
    </xf>
    <xf numFmtId="0" fontId="2" fillId="10" borderId="17" xfId="2" applyFill="1" applyBorder="1" applyAlignment="1">
      <alignment horizontal="center" vertical="center"/>
    </xf>
    <xf numFmtId="0" fontId="2" fillId="10" borderId="11" xfId="2" applyFill="1" applyBorder="1" applyAlignment="1">
      <alignment vertical="center" wrapText="1"/>
    </xf>
    <xf numFmtId="0" fontId="2" fillId="10" borderId="11" xfId="2" applyFill="1" applyBorder="1" applyAlignment="1">
      <alignment horizontal="left" vertical="center"/>
    </xf>
    <xf numFmtId="0" fontId="2" fillId="10" borderId="0" xfId="2" applyFill="1" applyAlignment="1">
      <alignment vertical="center"/>
    </xf>
    <xf numFmtId="0" fontId="2" fillId="24" borderId="17" xfId="2" applyFill="1" applyBorder="1" applyAlignment="1">
      <alignment horizontal="center" vertical="center"/>
    </xf>
    <xf numFmtId="0" fontId="2" fillId="24" borderId="11" xfId="2" applyFill="1" applyBorder="1" applyAlignment="1">
      <alignment vertical="center" wrapText="1"/>
    </xf>
    <xf numFmtId="173" fontId="2" fillId="24" borderId="11" xfId="2" applyNumberFormat="1" applyFill="1" applyBorder="1" applyAlignment="1">
      <alignment horizontal="center" vertical="center"/>
    </xf>
    <xf numFmtId="0" fontId="2" fillId="24" borderId="11" xfId="2" quotePrefix="1" applyFill="1" applyBorder="1" applyAlignment="1">
      <alignment horizontal="left" vertical="center"/>
    </xf>
    <xf numFmtId="0" fontId="2" fillId="24" borderId="11" xfId="2" applyFill="1" applyBorder="1" applyAlignment="1">
      <alignment horizontal="left" vertical="center"/>
    </xf>
    <xf numFmtId="0" fontId="2" fillId="24" borderId="11" xfId="2" applyNumberFormat="1" applyFill="1" applyBorder="1" applyAlignment="1">
      <alignment horizontal="center" vertical="center"/>
    </xf>
    <xf numFmtId="0" fontId="2" fillId="19" borderId="17" xfId="2" applyFill="1" applyBorder="1" applyAlignment="1">
      <alignment horizontal="center" vertical="center"/>
    </xf>
    <xf numFmtId="0" fontId="2" fillId="19" borderId="11" xfId="2" applyFill="1" applyBorder="1" applyAlignment="1">
      <alignment vertical="center" wrapText="1"/>
    </xf>
    <xf numFmtId="173" fontId="2" fillId="19" borderId="11" xfId="2" applyNumberFormat="1" applyFill="1" applyBorder="1" applyAlignment="1">
      <alignment horizontal="center" vertical="center"/>
    </xf>
    <xf numFmtId="0" fontId="2" fillId="19" borderId="11" xfId="2" quotePrefix="1" applyFill="1" applyBorder="1" applyAlignment="1">
      <alignment horizontal="left" vertical="center"/>
    </xf>
    <xf numFmtId="0" fontId="2" fillId="19" borderId="11" xfId="2" applyFill="1" applyBorder="1" applyAlignment="1">
      <alignment horizontal="left" vertical="center"/>
    </xf>
    <xf numFmtId="175" fontId="2" fillId="10" borderId="11" xfId="2" applyNumberFormat="1" applyFill="1" applyBorder="1" applyAlignment="1">
      <alignment horizontal="center" vertical="center"/>
    </xf>
    <xf numFmtId="0" fontId="2" fillId="10" borderId="15" xfId="2" applyFill="1" applyBorder="1" applyAlignment="1">
      <alignment horizontal="left" vertical="center"/>
    </xf>
    <xf numFmtId="49" fontId="2" fillId="10" borderId="11" xfId="2" applyNumberFormat="1" applyFill="1" applyBorder="1" applyAlignment="1">
      <alignment horizontal="left" vertical="center"/>
    </xf>
    <xf numFmtId="0" fontId="2" fillId="23" borderId="11" xfId="2" applyFill="1" applyBorder="1" applyAlignment="1">
      <alignment vertical="center" wrapText="1"/>
    </xf>
    <xf numFmtId="174" fontId="2" fillId="23" borderId="11" xfId="2" applyNumberFormat="1" applyFill="1" applyBorder="1" applyAlignment="1">
      <alignment horizontal="center" vertical="center"/>
    </xf>
    <xf numFmtId="0" fontId="2" fillId="23" borderId="15" xfId="2" applyFill="1" applyBorder="1" applyAlignment="1">
      <alignment horizontal="left" vertical="center"/>
    </xf>
    <xf numFmtId="0" fontId="2" fillId="23" borderId="11" xfId="2" quotePrefix="1" applyFill="1" applyBorder="1" applyAlignment="1">
      <alignment horizontal="left" vertical="center"/>
    </xf>
    <xf numFmtId="0" fontId="2" fillId="23" borderId="11" xfId="2" applyFill="1" applyBorder="1" applyAlignment="1">
      <alignment horizontal="left" vertical="center"/>
    </xf>
    <xf numFmtId="0" fontId="2" fillId="19" borderId="15" xfId="2" applyFill="1" applyBorder="1" applyAlignment="1">
      <alignment horizontal="left" vertical="center"/>
    </xf>
    <xf numFmtId="175" fontId="2" fillId="19" borderId="11" xfId="2" applyNumberFormat="1" applyFill="1" applyBorder="1" applyAlignment="1">
      <alignment horizontal="center" vertical="center"/>
    </xf>
    <xf numFmtId="175" fontId="2" fillId="23" borderId="11" xfId="2" applyNumberFormat="1" applyFill="1" applyBorder="1" applyAlignment="1">
      <alignment horizontal="center" vertical="center"/>
    </xf>
    <xf numFmtId="0" fontId="2" fillId="19" borderId="11" xfId="2" applyFill="1" applyBorder="1" applyAlignment="1">
      <alignment horizontal="center" vertical="center"/>
    </xf>
    <xf numFmtId="176" fontId="2" fillId="23" borderId="11" xfId="2" applyNumberFormat="1" applyFill="1" applyBorder="1" applyAlignment="1">
      <alignment horizontal="center" vertical="center"/>
    </xf>
    <xf numFmtId="0" fontId="2" fillId="19" borderId="11" xfId="2" applyNumberFormat="1" applyFill="1" applyBorder="1" applyAlignment="1">
      <alignment horizontal="center" vertical="center"/>
    </xf>
    <xf numFmtId="0" fontId="63" fillId="10" borderId="11" xfId="2" applyFont="1" applyFill="1" applyBorder="1" applyAlignment="1">
      <alignment horizontal="center" vertical="center"/>
    </xf>
    <xf numFmtId="0" fontId="3" fillId="10" borderId="17" xfId="2" applyFont="1" applyFill="1" applyBorder="1" applyAlignment="1">
      <alignment horizontal="center" vertical="center"/>
    </xf>
    <xf numFmtId="0" fontId="3" fillId="10" borderId="11" xfId="2" applyFont="1" applyFill="1" applyBorder="1" applyAlignment="1">
      <alignment vertical="center" wrapText="1"/>
    </xf>
    <xf numFmtId="0" fontId="3" fillId="10" borderId="11" xfId="2" applyFont="1" applyFill="1" applyBorder="1" applyAlignment="1">
      <alignment horizontal="left" vertical="center"/>
    </xf>
    <xf numFmtId="0" fontId="2" fillId="19" borderId="0" xfId="2" applyFill="1"/>
    <xf numFmtId="49" fontId="2" fillId="19" borderId="0" xfId="2" applyNumberFormat="1" applyFill="1"/>
    <xf numFmtId="0" fontId="3" fillId="19" borderId="44" xfId="0" applyFont="1" applyFill="1" applyBorder="1" applyProtection="1"/>
    <xf numFmtId="0" fontId="3" fillId="22" borderId="46" xfId="0" applyFont="1" applyFill="1" applyBorder="1" applyProtection="1">
      <protection locked="0"/>
    </xf>
    <xf numFmtId="0" fontId="3" fillId="22" borderId="0" xfId="0" applyFont="1" applyFill="1" applyBorder="1" applyAlignment="1" applyProtection="1">
      <alignment horizontal="right"/>
      <protection locked="0"/>
    </xf>
    <xf numFmtId="0" fontId="3" fillId="22" borderId="46" xfId="0" applyFont="1" applyFill="1" applyBorder="1" applyAlignment="1" applyProtection="1">
      <alignment horizontal="right"/>
      <protection locked="0"/>
    </xf>
    <xf numFmtId="0" fontId="76" fillId="19" borderId="0" xfId="0" applyFont="1" applyFill="1"/>
    <xf numFmtId="0" fontId="2" fillId="19" borderId="0" xfId="2" applyFont="1" applyFill="1"/>
    <xf numFmtId="0" fontId="3" fillId="10" borderId="0" xfId="2" applyFont="1" applyFill="1"/>
    <xf numFmtId="0" fontId="63" fillId="10" borderId="42" xfId="0" applyFont="1" applyFill="1" applyBorder="1" applyAlignment="1" applyProtection="1">
      <protection locked="0"/>
    </xf>
    <xf numFmtId="1" fontId="0" fillId="4" borderId="0" xfId="0" applyNumberFormat="1" applyFill="1" applyBorder="1"/>
    <xf numFmtId="0" fontId="63" fillId="10" borderId="29" xfId="0" applyFont="1" applyFill="1" applyBorder="1" applyAlignment="1" applyProtection="1">
      <alignment vertical="center"/>
    </xf>
    <xf numFmtId="0" fontId="0" fillId="14" borderId="2" xfId="0" applyNumberFormat="1" applyFill="1" applyBorder="1"/>
    <xf numFmtId="0" fontId="3" fillId="5" borderId="55" xfId="0" applyFont="1" applyFill="1" applyBorder="1" applyAlignment="1"/>
    <xf numFmtId="0" fontId="3" fillId="5" borderId="0" xfId="0" applyFont="1" applyFill="1" applyBorder="1" applyAlignment="1"/>
    <xf numFmtId="2" fontId="7" fillId="13" borderId="0" xfId="0" applyNumberFormat="1" applyFont="1" applyFill="1" applyBorder="1"/>
    <xf numFmtId="167" fontId="7" fillId="13" borderId="0" xfId="0" applyNumberFormat="1" applyFont="1" applyFill="1" applyBorder="1"/>
    <xf numFmtId="11" fontId="7" fillId="13" borderId="0" xfId="0" applyNumberFormat="1" applyFont="1" applyFill="1" applyBorder="1"/>
    <xf numFmtId="0" fontId="22" fillId="25" borderId="48" xfId="0" applyFont="1" applyFill="1" applyBorder="1" applyProtection="1"/>
    <xf numFmtId="0" fontId="22" fillId="25" borderId="49" xfId="0" applyFont="1" applyFill="1" applyBorder="1" applyProtection="1"/>
    <xf numFmtId="0" fontId="18" fillId="25" borderId="49" xfId="0" applyFont="1" applyFill="1" applyBorder="1" applyProtection="1"/>
    <xf numFmtId="171" fontId="18" fillId="25" borderId="46" xfId="0" applyNumberFormat="1" applyFont="1" applyFill="1" applyBorder="1" applyAlignment="1" applyProtection="1">
      <alignment horizontal="center"/>
    </xf>
    <xf numFmtId="0" fontId="18" fillId="25" borderId="0" xfId="0" applyFont="1" applyFill="1" applyBorder="1" applyProtection="1"/>
    <xf numFmtId="171" fontId="18" fillId="25" borderId="0" xfId="0" applyNumberFormat="1" applyFont="1" applyFill="1" applyBorder="1" applyAlignment="1" applyProtection="1">
      <alignment horizontal="center"/>
    </xf>
    <xf numFmtId="171" fontId="71" fillId="25" borderId="0" xfId="0" applyNumberFormat="1" applyFont="1" applyFill="1" applyBorder="1" applyAlignment="1" applyProtection="1">
      <alignment horizontal="center"/>
    </xf>
    <xf numFmtId="171" fontId="27" fillId="25" borderId="0" xfId="0" applyNumberFormat="1" applyFont="1" applyFill="1" applyBorder="1" applyAlignment="1" applyProtection="1">
      <alignment horizontal="center"/>
    </xf>
    <xf numFmtId="0" fontId="28" fillId="25" borderId="0" xfId="0" applyFont="1" applyFill="1" applyBorder="1" applyAlignment="1" applyProtection="1">
      <alignment horizontal="left"/>
    </xf>
    <xf numFmtId="0" fontId="26" fillId="25" borderId="0" xfId="0" applyFont="1" applyFill="1" applyBorder="1" applyAlignment="1" applyProtection="1">
      <alignment horizontal="left" vertical="center"/>
    </xf>
    <xf numFmtId="0" fontId="73" fillId="25" borderId="0" xfId="0" applyFont="1" applyFill="1" applyBorder="1" applyAlignment="1" applyProtection="1">
      <alignment horizontal="left" vertical="center"/>
    </xf>
    <xf numFmtId="0" fontId="22" fillId="25" borderId="0" xfId="0" applyFont="1" applyFill="1" applyBorder="1" applyAlignment="1" applyProtection="1">
      <alignment vertical="center"/>
    </xf>
    <xf numFmtId="0" fontId="26" fillId="25" borderId="0" xfId="0" quotePrefix="1" applyFont="1" applyFill="1" applyBorder="1" applyAlignment="1" applyProtection="1">
      <alignment vertical="center"/>
    </xf>
    <xf numFmtId="0" fontId="30" fillId="25" borderId="0" xfId="0" applyFont="1" applyFill="1" applyBorder="1" applyAlignment="1" applyProtection="1">
      <alignment vertical="center"/>
    </xf>
    <xf numFmtId="0" fontId="30" fillId="25" borderId="0" xfId="0" applyFont="1" applyFill="1" applyBorder="1" applyProtection="1"/>
    <xf numFmtId="0" fontId="32" fillId="25" borderId="31" xfId="0" applyFont="1" applyFill="1" applyBorder="1" applyProtection="1"/>
    <xf numFmtId="0" fontId="32" fillId="25" borderId="32" xfId="0" applyFont="1" applyFill="1" applyBorder="1" applyProtection="1"/>
    <xf numFmtId="0" fontId="22" fillId="25" borderId="32" xfId="0" applyFont="1" applyFill="1" applyBorder="1" applyProtection="1"/>
    <xf numFmtId="0" fontId="26" fillId="25" borderId="56" xfId="0" applyFont="1" applyFill="1" applyBorder="1" applyAlignment="1" applyProtection="1">
      <alignment horizontal="left" vertical="center"/>
    </xf>
    <xf numFmtId="0" fontId="79" fillId="25" borderId="0" xfId="1" applyFont="1" applyFill="1" applyBorder="1" applyAlignment="1" applyProtection="1">
      <alignment horizontal="left" vertical="center"/>
    </xf>
    <xf numFmtId="0" fontId="2" fillId="10" borderId="0" xfId="0" applyFont="1" applyFill="1" applyBorder="1" applyAlignment="1" applyProtection="1">
      <alignment horizontal="right" vertical="center"/>
    </xf>
    <xf numFmtId="0" fontId="2" fillId="10" borderId="56" xfId="0" applyFont="1" applyFill="1" applyBorder="1" applyProtection="1"/>
    <xf numFmtId="0" fontId="0" fillId="0" borderId="0" xfId="0" applyAlignment="1">
      <alignment horizontal="left"/>
    </xf>
    <xf numFmtId="0" fontId="63" fillId="0" borderId="0" xfId="0" applyFont="1" applyBorder="1"/>
    <xf numFmtId="0" fontId="63" fillId="0" borderId="0" xfId="0" applyFont="1" applyAlignment="1">
      <alignment horizontal="left"/>
    </xf>
    <xf numFmtId="0" fontId="2" fillId="0" borderId="0" xfId="2"/>
    <xf numFmtId="0" fontId="2" fillId="19" borderId="0" xfId="2" applyFill="1" applyBorder="1" applyAlignment="1"/>
    <xf numFmtId="0" fontId="2" fillId="0" borderId="0" xfId="2" applyBorder="1"/>
    <xf numFmtId="166" fontId="0" fillId="4" borderId="0" xfId="0" applyNumberFormat="1" applyFill="1" applyBorder="1"/>
    <xf numFmtId="2" fontId="0" fillId="13" borderId="0" xfId="0" applyNumberFormat="1" applyFill="1" applyBorder="1"/>
    <xf numFmtId="0" fontId="0" fillId="0" borderId="56" xfId="0" applyBorder="1"/>
    <xf numFmtId="0" fontId="2" fillId="0" borderId="56" xfId="0" applyFont="1" applyBorder="1"/>
    <xf numFmtId="166" fontId="7" fillId="13" borderId="2" xfId="0" applyNumberFormat="1" applyFont="1" applyFill="1" applyBorder="1"/>
    <xf numFmtId="165" fontId="7" fillId="13" borderId="0" xfId="0" applyNumberFormat="1" applyFont="1" applyFill="1" applyBorder="1"/>
    <xf numFmtId="166" fontId="7" fillId="13" borderId="0" xfId="0" applyNumberFormat="1" applyFont="1" applyFill="1" applyBorder="1"/>
    <xf numFmtId="0" fontId="7" fillId="0" borderId="56" xfId="0" applyFont="1" applyBorder="1"/>
    <xf numFmtId="0" fontId="3" fillId="13" borderId="0" xfId="0" applyNumberFormat="1" applyFont="1" applyFill="1" applyBorder="1" applyAlignment="1">
      <alignment horizontal="right"/>
    </xf>
    <xf numFmtId="167" fontId="0" fillId="4" borderId="0" xfId="0" applyNumberFormat="1" applyFill="1" applyBorder="1"/>
    <xf numFmtId="166" fontId="7" fillId="19" borderId="0" xfId="0" applyNumberFormat="1" applyFont="1" applyFill="1" applyBorder="1"/>
    <xf numFmtId="0" fontId="82" fillId="19" borderId="42" xfId="0" applyFont="1" applyFill="1" applyBorder="1" applyAlignment="1" applyProtection="1">
      <alignment horizontal="left" vertical="center"/>
    </xf>
    <xf numFmtId="0" fontId="2" fillId="19" borderId="42" xfId="0" applyFont="1" applyFill="1" applyBorder="1" applyProtection="1"/>
    <xf numFmtId="0" fontId="66" fillId="10" borderId="46" xfId="0" applyFont="1" applyFill="1" applyBorder="1" applyAlignment="1" applyProtection="1">
      <alignment horizontal="right"/>
    </xf>
    <xf numFmtId="0" fontId="2" fillId="10" borderId="46" xfId="0" applyNumberFormat="1" applyFont="1" applyFill="1" applyBorder="1" applyAlignment="1" applyProtection="1">
      <alignment horizontal="right"/>
    </xf>
    <xf numFmtId="167" fontId="0" fillId="19" borderId="0" xfId="0" applyNumberFormat="1" applyFill="1" applyBorder="1"/>
    <xf numFmtId="0" fontId="67" fillId="10" borderId="42" xfId="0" applyFont="1" applyFill="1" applyBorder="1" applyAlignment="1" applyProtection="1">
      <alignment horizontal="right"/>
    </xf>
    <xf numFmtId="0" fontId="3" fillId="10" borderId="43" xfId="0" applyFont="1" applyFill="1" applyBorder="1" applyProtection="1"/>
    <xf numFmtId="0" fontId="3" fillId="22" borderId="42" xfId="0" applyFont="1" applyFill="1" applyBorder="1" applyProtection="1">
      <protection locked="0"/>
    </xf>
    <xf numFmtId="1" fontId="66" fillId="19" borderId="30" xfId="0" applyNumberFormat="1" applyFont="1" applyFill="1" applyBorder="1" applyAlignment="1" applyProtection="1">
      <alignment horizontal="left"/>
      <protection locked="0"/>
    </xf>
    <xf numFmtId="0" fontId="2" fillId="6" borderId="11" xfId="0" applyFont="1" applyFill="1" applyBorder="1"/>
    <xf numFmtId="165" fontId="0" fillId="0" borderId="0" xfId="0" applyNumberFormat="1"/>
    <xf numFmtId="166" fontId="0" fillId="0" borderId="0" xfId="0" applyNumberFormat="1"/>
    <xf numFmtId="165" fontId="0" fillId="0" borderId="0" xfId="0" applyNumberFormat="1" applyAlignment="1">
      <alignment horizontal="left" indent="1"/>
    </xf>
    <xf numFmtId="166" fontId="16" fillId="7" borderId="0" xfId="0" applyNumberFormat="1" applyFont="1" applyFill="1"/>
    <xf numFmtId="166" fontId="8" fillId="0" borderId="0" xfId="0" applyNumberFormat="1" applyFont="1" applyFill="1" applyBorder="1" applyAlignment="1"/>
    <xf numFmtId="167" fontId="16" fillId="0" borderId="0" xfId="0" applyNumberFormat="1" applyFont="1" applyFill="1" applyBorder="1"/>
    <xf numFmtId="164" fontId="0" fillId="0" borderId="0" xfId="0" applyNumberFormat="1" applyFill="1" applyBorder="1"/>
    <xf numFmtId="164" fontId="16" fillId="0" borderId="0" xfId="0" applyNumberFormat="1" applyFont="1" applyFill="1" applyBorder="1"/>
    <xf numFmtId="0" fontId="2" fillId="4" borderId="43" xfId="0" applyFont="1" applyFill="1" applyBorder="1"/>
    <xf numFmtId="0" fontId="74" fillId="0" borderId="11" xfId="0" applyFont="1" applyBorder="1"/>
    <xf numFmtId="0" fontId="2" fillId="0" borderId="11" xfId="0" applyFont="1" applyBorder="1"/>
    <xf numFmtId="0" fontId="2" fillId="0" borderId="11" xfId="0" applyFont="1" applyFill="1" applyBorder="1"/>
    <xf numFmtId="0" fontId="2" fillId="0" borderId="13" xfId="0" applyFont="1" applyFill="1" applyBorder="1"/>
    <xf numFmtId="0" fontId="2" fillId="0" borderId="15" xfId="0" applyFont="1" applyBorder="1"/>
    <xf numFmtId="0" fontId="2" fillId="0" borderId="15" xfId="0" applyFont="1" applyFill="1" applyBorder="1"/>
    <xf numFmtId="0" fontId="2" fillId="0" borderId="16" xfId="0" applyFont="1" applyBorder="1"/>
    <xf numFmtId="1" fontId="3" fillId="13" borderId="0" xfId="0" applyNumberFormat="1" applyFont="1" applyFill="1" applyBorder="1"/>
    <xf numFmtId="2" fontId="3" fillId="13" borderId="0" xfId="0" applyNumberFormat="1" applyFont="1" applyFill="1" applyBorder="1"/>
    <xf numFmtId="1" fontId="3" fillId="10" borderId="29" xfId="0" applyNumberFormat="1" applyFont="1" applyFill="1" applyBorder="1" applyAlignment="1" applyProtection="1">
      <alignment horizontal="right"/>
    </xf>
    <xf numFmtId="0" fontId="3" fillId="10" borderId="8" xfId="2" applyFont="1" applyFill="1" applyBorder="1" applyAlignment="1">
      <alignment horizontal="left" vertical="center"/>
    </xf>
    <xf numFmtId="177" fontId="2" fillId="19" borderId="8" xfId="2" applyNumberFormat="1" applyFill="1" applyBorder="1" applyAlignment="1">
      <alignment horizontal="left" vertical="center"/>
    </xf>
    <xf numFmtId="177" fontId="2" fillId="19" borderId="9" xfId="2" applyNumberFormat="1" applyFill="1" applyBorder="1" applyAlignment="1">
      <alignment horizontal="left" vertical="center"/>
    </xf>
    <xf numFmtId="177" fontId="2" fillId="19" borderId="15" xfId="2" applyNumberFormat="1" applyFill="1" applyBorder="1" applyAlignment="1">
      <alignment horizontal="left" vertical="center"/>
    </xf>
    <xf numFmtId="0" fontId="2" fillId="0" borderId="0" xfId="0" applyFont="1" applyAlignment="1">
      <alignment horizontal="right"/>
    </xf>
    <xf numFmtId="0" fontId="86" fillId="0" borderId="0" xfId="0" applyFont="1" applyAlignment="1">
      <alignment horizontal="right"/>
    </xf>
    <xf numFmtId="0" fontId="63" fillId="0" borderId="0" xfId="0" applyFont="1"/>
    <xf numFmtId="0" fontId="2" fillId="0" borderId="0" xfId="0" quotePrefix="1" applyFont="1"/>
    <xf numFmtId="0" fontId="2" fillId="0" borderId="0" xfId="0" applyFont="1" applyAlignment="1">
      <alignment horizontal="left"/>
    </xf>
    <xf numFmtId="49" fontId="84" fillId="21" borderId="57" xfId="2" applyNumberFormat="1" applyFont="1" applyFill="1" applyBorder="1" applyAlignment="1">
      <alignment horizontal="center" vertical="center"/>
    </xf>
    <xf numFmtId="0" fontId="84" fillId="21" borderId="51" xfId="2" applyFont="1" applyFill="1" applyBorder="1" applyAlignment="1">
      <alignment horizontal="center" vertical="center"/>
    </xf>
    <xf numFmtId="0" fontId="2" fillId="10" borderId="0" xfId="2" applyNumberFormat="1" applyFill="1"/>
    <xf numFmtId="167" fontId="2" fillId="10" borderId="11" xfId="2" applyNumberFormat="1" applyFill="1" applyBorder="1" applyAlignment="1">
      <alignment horizontal="center" vertical="center"/>
    </xf>
    <xf numFmtId="2" fontId="2" fillId="10" borderId="11" xfId="2" applyNumberFormat="1" applyFill="1" applyBorder="1" applyAlignment="1">
      <alignment horizontal="center" vertical="center"/>
    </xf>
    <xf numFmtId="0" fontId="2" fillId="10" borderId="8" xfId="2" applyFill="1" applyBorder="1" applyAlignment="1">
      <alignment horizontal="left" vertical="center"/>
    </xf>
    <xf numFmtId="0" fontId="2" fillId="23" borderId="8" xfId="2" applyFill="1" applyBorder="1" applyAlignment="1">
      <alignment horizontal="left" vertical="center"/>
    </xf>
    <xf numFmtId="0" fontId="2" fillId="19" borderId="8" xfId="2" applyFill="1" applyBorder="1" applyAlignment="1">
      <alignment horizontal="left" vertical="center"/>
    </xf>
    <xf numFmtId="0" fontId="2" fillId="24" borderId="8" xfId="2" applyFill="1" applyBorder="1" applyAlignment="1">
      <alignment horizontal="left" vertical="center"/>
    </xf>
    <xf numFmtId="0" fontId="2" fillId="10" borderId="58" xfId="2" applyFill="1" applyBorder="1" applyAlignment="1">
      <alignment horizontal="center" vertical="center"/>
    </xf>
    <xf numFmtId="0" fontId="2" fillId="24" borderId="58" xfId="2" applyFill="1" applyBorder="1" applyAlignment="1">
      <alignment horizontal="center" vertical="center"/>
    </xf>
    <xf numFmtId="167" fontId="2" fillId="24" borderId="11" xfId="2" applyNumberFormat="1" applyFill="1" applyBorder="1" applyAlignment="1">
      <alignment horizontal="center" vertical="center"/>
    </xf>
    <xf numFmtId="0" fontId="75" fillId="3" borderId="50" xfId="2" applyFont="1" applyFill="1" applyBorder="1" applyAlignment="1">
      <alignment horizontal="center" vertical="center"/>
    </xf>
    <xf numFmtId="0" fontId="75" fillId="3" borderId="51" xfId="2" applyFont="1" applyFill="1" applyBorder="1" applyAlignment="1">
      <alignment horizontal="center" vertical="center"/>
    </xf>
    <xf numFmtId="167" fontId="88" fillId="0" borderId="0" xfId="2" applyNumberFormat="1" applyFont="1" applyFill="1" applyAlignment="1">
      <alignment horizontal="right" vertical="center"/>
    </xf>
    <xf numFmtId="0" fontId="88" fillId="10" borderId="0" xfId="2" applyFont="1" applyFill="1" applyAlignment="1">
      <alignment horizontal="left"/>
    </xf>
    <xf numFmtId="165" fontId="88" fillId="10" borderId="0" xfId="2" applyNumberFormat="1" applyFont="1" applyFill="1" applyAlignment="1">
      <alignment vertical="center"/>
    </xf>
    <xf numFmtId="164" fontId="0" fillId="4" borderId="32" xfId="0" applyNumberFormat="1" applyFill="1" applyBorder="1"/>
    <xf numFmtId="164" fontId="0" fillId="13" borderId="2" xfId="0" applyNumberFormat="1" applyFill="1" applyBorder="1"/>
    <xf numFmtId="172" fontId="2" fillId="19" borderId="11" xfId="2" applyNumberFormat="1" applyFill="1" applyBorder="1" applyAlignment="1">
      <alignment horizontal="center" vertical="center"/>
    </xf>
    <xf numFmtId="0" fontId="2" fillId="19" borderId="58" xfId="2" applyFill="1" applyBorder="1" applyAlignment="1">
      <alignment horizontal="center" vertical="center"/>
    </xf>
    <xf numFmtId="167" fontId="2" fillId="19" borderId="11" xfId="2" applyNumberFormat="1" applyFill="1" applyBorder="1" applyAlignment="1">
      <alignment horizontal="center" vertical="center"/>
    </xf>
    <xf numFmtId="0" fontId="7" fillId="0" borderId="0" xfId="0" applyFont="1" applyFill="1" applyBorder="1"/>
    <xf numFmtId="166" fontId="2" fillId="0" borderId="0" xfId="0" applyNumberFormat="1" applyFont="1" applyFill="1" applyBorder="1"/>
    <xf numFmtId="0" fontId="8" fillId="0" borderId="32" xfId="0" applyFont="1" applyFill="1" applyBorder="1"/>
    <xf numFmtId="167" fontId="0" fillId="0" borderId="0" xfId="0" applyNumberFormat="1" applyFill="1" applyBorder="1"/>
    <xf numFmtId="1" fontId="0" fillId="13" borderId="0" xfId="0" applyNumberFormat="1" applyFill="1" applyBorder="1"/>
    <xf numFmtId="1" fontId="8" fillId="13" borderId="0" xfId="0" applyNumberFormat="1" applyFont="1" applyFill="1" applyBorder="1"/>
    <xf numFmtId="0" fontId="85" fillId="10" borderId="0" xfId="2" applyFont="1" applyFill="1" applyAlignment="1">
      <alignment vertical="center"/>
    </xf>
    <xf numFmtId="0" fontId="2" fillId="19" borderId="0" xfId="2" applyFill="1" applyProtection="1">
      <protection locked="0" hidden="1"/>
    </xf>
    <xf numFmtId="0" fontId="2" fillId="10" borderId="0" xfId="2" applyFill="1" applyProtection="1">
      <protection locked="0" hidden="1"/>
    </xf>
    <xf numFmtId="0" fontId="85" fillId="10" borderId="0" xfId="2" applyFont="1" applyFill="1" applyAlignment="1" applyProtection="1">
      <alignment vertical="center"/>
      <protection locked="0" hidden="1"/>
    </xf>
    <xf numFmtId="167" fontId="2" fillId="10" borderId="42" xfId="0" applyNumberFormat="1" applyFont="1" applyFill="1" applyBorder="1" applyProtection="1"/>
    <xf numFmtId="0" fontId="3" fillId="0" borderId="56" xfId="0" applyFont="1" applyBorder="1"/>
    <xf numFmtId="0" fontId="0" fillId="0" borderId="0" xfId="0" applyNumberFormat="1" applyAlignment="1">
      <alignment horizontal="right"/>
    </xf>
    <xf numFmtId="166" fontId="0" fillId="13" borderId="0" xfId="0" applyNumberFormat="1" applyFill="1" applyBorder="1"/>
    <xf numFmtId="1" fontId="0" fillId="0" borderId="0" xfId="0" applyNumberFormat="1" applyBorder="1" applyAlignment="1">
      <alignment horizontal="right"/>
    </xf>
    <xf numFmtId="11" fontId="3" fillId="13" borderId="0" xfId="0" applyNumberFormat="1" applyFont="1" applyFill="1" applyBorder="1" applyAlignment="1">
      <alignment horizontal="right"/>
    </xf>
    <xf numFmtId="0" fontId="85" fillId="10" borderId="0" xfId="2" applyFont="1" applyFill="1"/>
    <xf numFmtId="0" fontId="85" fillId="10" borderId="0" xfId="2" applyFont="1" applyFill="1" applyProtection="1">
      <protection locked="0" hidden="1"/>
    </xf>
    <xf numFmtId="0" fontId="2" fillId="0" borderId="0" xfId="2" applyFont="1" applyAlignment="1">
      <alignment horizontal="right"/>
    </xf>
    <xf numFmtId="0" fontId="3" fillId="0" borderId="0" xfId="2" applyFont="1"/>
    <xf numFmtId="0" fontId="2" fillId="0" borderId="0" xfId="2" applyAlignment="1">
      <alignment horizontal="left"/>
    </xf>
    <xf numFmtId="0" fontId="86" fillId="0" borderId="0" xfId="2" applyFont="1" applyAlignment="1">
      <alignment horizontal="right"/>
    </xf>
    <xf numFmtId="0" fontId="63" fillId="0" borderId="0" xfId="2" applyFont="1"/>
    <xf numFmtId="0" fontId="90" fillId="10" borderId="0" xfId="2" applyFont="1" applyFill="1" applyProtection="1">
      <protection locked="0" hidden="1"/>
    </xf>
    <xf numFmtId="0" fontId="2" fillId="0" borderId="0" xfId="0" applyNumberFormat="1" applyFont="1" applyBorder="1" applyAlignment="1">
      <alignment horizontal="right"/>
    </xf>
    <xf numFmtId="0" fontId="91" fillId="19" borderId="11" xfId="2" quotePrefix="1" applyFont="1" applyFill="1" applyBorder="1" applyAlignment="1">
      <alignment horizontal="left" vertical="center"/>
    </xf>
    <xf numFmtId="178" fontId="2" fillId="19" borderId="11" xfId="2" applyNumberFormat="1" applyFill="1" applyBorder="1" applyAlignment="1">
      <alignment horizontal="center" vertical="center"/>
    </xf>
    <xf numFmtId="165" fontId="0" fillId="0" borderId="11" xfId="0" applyNumberFormat="1" applyBorder="1"/>
    <xf numFmtId="164" fontId="0" fillId="7" borderId="11" xfId="0" applyNumberFormat="1" applyFill="1" applyBorder="1"/>
    <xf numFmtId="0" fontId="3" fillId="5" borderId="59" xfId="0" applyFont="1" applyFill="1" applyBorder="1"/>
    <xf numFmtId="0" fontId="92" fillId="0" borderId="29" xfId="0" applyFont="1" applyBorder="1"/>
    <xf numFmtId="0" fontId="7" fillId="4" borderId="42" xfId="0" applyFont="1" applyFill="1" applyBorder="1" applyAlignment="1"/>
    <xf numFmtId="0" fontId="93" fillId="25" borderId="0" xfId="0" applyFont="1" applyFill="1" applyBorder="1" applyAlignment="1" applyProtection="1">
      <alignment horizontal="left"/>
    </xf>
    <xf numFmtId="0" fontId="94" fillId="25" borderId="0" xfId="0" applyFont="1" applyFill="1" applyBorder="1" applyProtection="1"/>
    <xf numFmtId="0" fontId="95" fillId="25" borderId="32" xfId="0" applyFont="1" applyFill="1" applyBorder="1" applyProtection="1"/>
    <xf numFmtId="0" fontId="94" fillId="10" borderId="0" xfId="0" applyFont="1" applyFill="1" applyBorder="1" applyProtection="1"/>
    <xf numFmtId="0" fontId="94" fillId="10" borderId="30" xfId="0" applyFont="1" applyFill="1" applyBorder="1" applyProtection="1"/>
    <xf numFmtId="0" fontId="96" fillId="25" borderId="0" xfId="0" applyFont="1" applyFill="1" applyBorder="1" applyAlignment="1" applyProtection="1">
      <alignment horizontal="left"/>
    </xf>
    <xf numFmtId="0" fontId="97" fillId="25" borderId="0" xfId="1" applyFont="1" applyFill="1" applyBorder="1" applyAlignment="1" applyProtection="1"/>
    <xf numFmtId="0" fontId="19" fillId="25" borderId="32" xfId="0" applyFont="1" applyFill="1" applyBorder="1" applyProtection="1"/>
    <xf numFmtId="0" fontId="19" fillId="25" borderId="46" xfId="0" applyFont="1" applyFill="1" applyBorder="1" applyProtection="1"/>
    <xf numFmtId="0" fontId="98" fillId="25" borderId="0" xfId="0" applyFont="1" applyFill="1" applyBorder="1" applyProtection="1"/>
    <xf numFmtId="166" fontId="2" fillId="19" borderId="46" xfId="0" applyNumberFormat="1" applyFont="1" applyFill="1" applyBorder="1" applyProtection="1"/>
    <xf numFmtId="0" fontId="28" fillId="25" borderId="56" xfId="0" applyFont="1" applyFill="1" applyBorder="1" applyAlignment="1" applyProtection="1">
      <alignment horizontal="left" vertical="center"/>
    </xf>
    <xf numFmtId="0" fontId="18" fillId="19" borderId="0" xfId="2" applyFont="1" applyFill="1" applyBorder="1" applyProtection="1"/>
    <xf numFmtId="0" fontId="18" fillId="19" borderId="0" xfId="2" applyFont="1" applyFill="1" applyProtection="1"/>
    <xf numFmtId="0" fontId="2" fillId="21" borderId="0" xfId="2" applyFill="1"/>
    <xf numFmtId="0" fontId="102" fillId="21" borderId="0" xfId="2" applyFont="1" applyFill="1"/>
    <xf numFmtId="0" fontId="102" fillId="21" borderId="0" xfId="2" applyFont="1" applyFill="1" applyAlignment="1">
      <alignment horizontal="center" vertical="center"/>
    </xf>
    <xf numFmtId="0" fontId="102" fillId="21" borderId="0" xfId="2" applyFont="1" applyFill="1" applyAlignment="1">
      <alignment horizontal="left" vertical="center"/>
    </xf>
    <xf numFmtId="0" fontId="0" fillId="4" borderId="42" xfId="0" applyFill="1" applyBorder="1"/>
    <xf numFmtId="0" fontId="3" fillId="2" borderId="60" xfId="0" applyFont="1" applyFill="1" applyBorder="1" applyAlignment="1">
      <alignment horizontal="center" vertical="top" wrapText="1"/>
    </xf>
    <xf numFmtId="0" fontId="63" fillId="2" borderId="60" xfId="0" applyFont="1" applyFill="1" applyBorder="1" applyAlignment="1">
      <alignment horizontal="center" vertical="top" wrapText="1"/>
    </xf>
    <xf numFmtId="0" fontId="3" fillId="0" borderId="0" xfId="2" applyFont="1" applyFill="1"/>
    <xf numFmtId="0" fontId="2" fillId="0" borderId="0" xfId="0" applyFont="1" applyBorder="1" applyAlignment="1">
      <alignment horizontal="right"/>
    </xf>
    <xf numFmtId="0" fontId="3" fillId="0" borderId="0" xfId="0" applyFont="1" applyBorder="1" applyAlignment="1">
      <alignment horizontal="left"/>
    </xf>
    <xf numFmtId="0" fontId="3" fillId="0" borderId="0" xfId="0" applyFont="1" applyAlignment="1">
      <alignment horizontal="left"/>
    </xf>
    <xf numFmtId="0" fontId="63" fillId="0" borderId="0" xfId="0" applyFont="1" applyBorder="1" applyAlignment="1">
      <alignment horizontal="left"/>
    </xf>
    <xf numFmtId="0" fontId="3" fillId="0" borderId="0" xfId="0" applyFont="1" applyAlignment="1">
      <alignment horizontal="right"/>
    </xf>
    <xf numFmtId="0" fontId="3" fillId="0" borderId="0" xfId="0" applyNumberFormat="1" applyFont="1" applyAlignment="1">
      <alignment horizontal="right"/>
    </xf>
    <xf numFmtId="0" fontId="69" fillId="10" borderId="0" xfId="0" applyFont="1" applyFill="1" applyBorder="1" applyAlignment="1" applyProtection="1">
      <alignment horizontal="left" vertical="center"/>
    </xf>
    <xf numFmtId="0" fontId="99" fillId="25" borderId="0" xfId="0" applyFont="1" applyFill="1" applyBorder="1" applyAlignment="1" applyProtection="1">
      <alignment horizontal="center" vertical="center"/>
    </xf>
    <xf numFmtId="0" fontId="103" fillId="20" borderId="44" xfId="0" applyFont="1" applyFill="1" applyBorder="1" applyAlignment="1" applyProtection="1">
      <alignment horizontal="left" vertical="center"/>
    </xf>
    <xf numFmtId="0" fontId="103" fillId="20" borderId="42" xfId="0" applyFont="1" applyFill="1" applyBorder="1" applyAlignment="1" applyProtection="1">
      <alignment horizontal="left" vertical="center"/>
    </xf>
    <xf numFmtId="0" fontId="75" fillId="3" borderId="52" xfId="2" applyFont="1" applyFill="1" applyBorder="1" applyAlignment="1">
      <alignment horizontal="center" vertical="center"/>
    </xf>
    <xf numFmtId="0" fontId="75" fillId="3" borderId="53" xfId="2" applyFont="1" applyFill="1" applyBorder="1" applyAlignment="1">
      <alignment horizontal="center" vertical="center"/>
    </xf>
    <xf numFmtId="0" fontId="75" fillId="3" borderId="54" xfId="2" applyFont="1" applyFill="1" applyBorder="1" applyAlignment="1">
      <alignment horizontal="center" vertical="center"/>
    </xf>
    <xf numFmtId="0" fontId="3" fillId="10" borderId="8" xfId="2" applyFont="1" applyFill="1" applyBorder="1" applyAlignment="1">
      <alignment horizontal="left" vertical="center"/>
    </xf>
    <xf numFmtId="0" fontId="3" fillId="10" borderId="9" xfId="2" applyFont="1" applyFill="1" applyBorder="1" applyAlignment="1">
      <alignment horizontal="left" vertical="center"/>
    </xf>
    <xf numFmtId="0" fontId="3" fillId="10" borderId="15" xfId="2" applyFont="1" applyFill="1" applyBorder="1" applyAlignment="1">
      <alignment horizontal="left" vertical="center"/>
    </xf>
    <xf numFmtId="184" fontId="2" fillId="19" borderId="8" xfId="2" applyNumberFormat="1" applyFill="1" applyBorder="1" applyAlignment="1">
      <alignment horizontal="left" vertical="center"/>
    </xf>
    <xf numFmtId="184" fontId="2" fillId="19" borderId="9" xfId="2" applyNumberFormat="1" applyFill="1" applyBorder="1" applyAlignment="1">
      <alignment horizontal="left" vertical="center"/>
    </xf>
    <xf numFmtId="184" fontId="2" fillId="19" borderId="15" xfId="2" applyNumberFormat="1" applyFill="1" applyBorder="1" applyAlignment="1">
      <alignment horizontal="left" vertical="center"/>
    </xf>
    <xf numFmtId="184" fontId="2" fillId="24" borderId="8" xfId="2" applyNumberFormat="1" applyFill="1" applyBorder="1" applyAlignment="1">
      <alignment horizontal="left" vertical="center"/>
    </xf>
    <xf numFmtId="184" fontId="2" fillId="24" borderId="9" xfId="2" applyNumberFormat="1" applyFill="1" applyBorder="1" applyAlignment="1">
      <alignment horizontal="left" vertical="center"/>
    </xf>
    <xf numFmtId="184" fontId="2" fillId="24" borderId="15" xfId="2" applyNumberFormat="1" applyFill="1" applyBorder="1" applyAlignment="1">
      <alignment horizontal="left" vertical="center"/>
    </xf>
    <xf numFmtId="187" fontId="2" fillId="19" borderId="8" xfId="2" applyNumberFormat="1" applyFill="1" applyBorder="1" applyAlignment="1">
      <alignment horizontal="left" vertical="center"/>
    </xf>
    <xf numFmtId="187" fontId="2" fillId="19" borderId="9" xfId="2" applyNumberFormat="1" applyFill="1" applyBorder="1" applyAlignment="1">
      <alignment horizontal="left" vertical="center"/>
    </xf>
    <xf numFmtId="187" fontId="2" fillId="19" borderId="15" xfId="2" applyNumberFormat="1" applyFill="1" applyBorder="1" applyAlignment="1">
      <alignment horizontal="left" vertical="center"/>
    </xf>
    <xf numFmtId="185" fontId="2" fillId="19" borderId="8" xfId="2" applyNumberFormat="1" applyFill="1" applyBorder="1" applyAlignment="1">
      <alignment horizontal="left" vertical="center"/>
    </xf>
    <xf numFmtId="185" fontId="2" fillId="19" borderId="9" xfId="2" applyNumberFormat="1" applyFill="1" applyBorder="1" applyAlignment="1">
      <alignment horizontal="left" vertical="center"/>
    </xf>
    <xf numFmtId="185" fontId="2" fillId="19" borderId="15" xfId="2" applyNumberFormat="1" applyFill="1" applyBorder="1" applyAlignment="1">
      <alignment horizontal="left" vertical="center"/>
    </xf>
    <xf numFmtId="186" fontId="2" fillId="19" borderId="8" xfId="2" applyNumberFormat="1" applyFill="1" applyBorder="1" applyAlignment="1">
      <alignment horizontal="left" vertical="center"/>
    </xf>
    <xf numFmtId="186" fontId="2" fillId="19" borderId="9" xfId="2" applyNumberFormat="1" applyFill="1" applyBorder="1" applyAlignment="1">
      <alignment horizontal="left" vertical="center"/>
    </xf>
    <xf numFmtId="186" fontId="2" fillId="19" borderId="15" xfId="2" applyNumberFormat="1" applyFill="1" applyBorder="1" applyAlignment="1">
      <alignment horizontal="left" vertical="center"/>
    </xf>
    <xf numFmtId="181" fontId="2" fillId="10" borderId="8" xfId="2" applyNumberFormat="1" applyFill="1" applyBorder="1" applyAlignment="1">
      <alignment horizontal="left" vertical="center"/>
    </xf>
    <xf numFmtId="181" fontId="2" fillId="10" borderId="9" xfId="2" applyNumberFormat="1" applyFill="1" applyBorder="1" applyAlignment="1">
      <alignment horizontal="left" vertical="center"/>
    </xf>
    <xf numFmtId="180" fontId="2" fillId="23" borderId="8" xfId="2" applyNumberFormat="1" applyFill="1" applyBorder="1" applyAlignment="1">
      <alignment horizontal="left" vertical="center"/>
    </xf>
    <xf numFmtId="180" fontId="2" fillId="23" borderId="9" xfId="2" applyNumberFormat="1" applyFill="1" applyBorder="1" applyAlignment="1">
      <alignment horizontal="left" vertical="center"/>
    </xf>
    <xf numFmtId="179" fontId="2" fillId="23" borderId="8" xfId="2" applyNumberFormat="1" applyFill="1" applyBorder="1" applyAlignment="1">
      <alignment horizontal="left" vertical="center"/>
    </xf>
    <xf numFmtId="179" fontId="2" fillId="23" borderId="9" xfId="2" applyNumberFormat="1" applyFill="1" applyBorder="1" applyAlignment="1">
      <alignment horizontal="left" vertical="center"/>
    </xf>
    <xf numFmtId="0" fontId="2" fillId="19" borderId="8" xfId="2" applyNumberFormat="1" applyFill="1" applyBorder="1" applyAlignment="1">
      <alignment horizontal="left" vertical="center"/>
    </xf>
    <xf numFmtId="0" fontId="2" fillId="19" borderId="9" xfId="2" applyNumberFormat="1" applyFill="1" applyBorder="1" applyAlignment="1">
      <alignment horizontal="left" vertical="center"/>
    </xf>
    <xf numFmtId="181" fontId="2" fillId="19" borderId="8" xfId="2" applyNumberFormat="1" applyFill="1" applyBorder="1" applyAlignment="1">
      <alignment horizontal="left" vertical="center"/>
    </xf>
    <xf numFmtId="181" fontId="2" fillId="19" borderId="9" xfId="2" applyNumberFormat="1" applyFill="1" applyBorder="1" applyAlignment="1">
      <alignment horizontal="left" vertical="center"/>
    </xf>
    <xf numFmtId="0" fontId="2" fillId="23" borderId="8" xfId="2" applyFill="1" applyBorder="1" applyAlignment="1">
      <alignment horizontal="left" vertical="center"/>
    </xf>
    <xf numFmtId="0" fontId="2" fillId="23" borderId="9" xfId="2" applyFill="1" applyBorder="1" applyAlignment="1">
      <alignment horizontal="left" vertical="center"/>
    </xf>
    <xf numFmtId="185" fontId="2" fillId="24" borderId="8" xfId="2" applyNumberFormat="1" applyFill="1" applyBorder="1" applyAlignment="1">
      <alignment horizontal="left" vertical="center"/>
    </xf>
    <xf numFmtId="185" fontId="2" fillId="24" borderId="9" xfId="2" applyNumberFormat="1" applyFill="1" applyBorder="1" applyAlignment="1">
      <alignment horizontal="left" vertical="center"/>
    </xf>
    <xf numFmtId="185" fontId="2" fillId="24" borderId="15" xfId="2" applyNumberFormat="1" applyFill="1" applyBorder="1" applyAlignment="1">
      <alignment horizontal="left" vertical="center"/>
    </xf>
    <xf numFmtId="0" fontId="88" fillId="10" borderId="0" xfId="2" applyFont="1" applyFill="1" applyAlignment="1">
      <alignment horizontal="right" wrapText="1"/>
    </xf>
    <xf numFmtId="0" fontId="2" fillId="23" borderId="15" xfId="2" applyFill="1" applyBorder="1" applyAlignment="1">
      <alignment horizontal="left" vertical="center"/>
    </xf>
    <xf numFmtId="182" fontId="2" fillId="19" borderId="8" xfId="2" applyNumberFormat="1" applyFill="1" applyBorder="1" applyAlignment="1">
      <alignment horizontal="left" vertical="center"/>
    </xf>
    <xf numFmtId="182" fontId="2" fillId="19" borderId="9" xfId="2" applyNumberFormat="1" applyFill="1" applyBorder="1" applyAlignment="1">
      <alignment horizontal="left" vertical="center"/>
    </xf>
    <xf numFmtId="183" fontId="2" fillId="19" borderId="8" xfId="2" applyNumberFormat="1" applyFill="1" applyBorder="1" applyAlignment="1">
      <alignment horizontal="left" vertical="center"/>
    </xf>
    <xf numFmtId="183" fontId="2" fillId="19" borderId="9" xfId="2" applyNumberFormat="1" applyFill="1" applyBorder="1" applyAlignment="1">
      <alignment horizontal="left" vertical="center"/>
    </xf>
    <xf numFmtId="0" fontId="101" fillId="19" borderId="56" xfId="2" applyFont="1" applyFill="1" applyBorder="1" applyAlignment="1" applyProtection="1">
      <alignment horizontal="left" vertical="center"/>
    </xf>
    <xf numFmtId="0" fontId="101" fillId="19" borderId="0" xfId="2" applyFont="1" applyFill="1" applyBorder="1" applyAlignment="1" applyProtection="1">
      <alignment horizontal="left" vertical="center"/>
    </xf>
    <xf numFmtId="0" fontId="3" fillId="0" borderId="0" xfId="0" applyFont="1" applyAlignment="1">
      <alignment horizontal="center"/>
    </xf>
    <xf numFmtId="0" fontId="4" fillId="3" borderId="0" xfId="0" applyFont="1" applyFill="1" applyAlignment="1">
      <alignment horizontal="center"/>
    </xf>
    <xf numFmtId="0" fontId="9" fillId="3" borderId="0" xfId="0" applyFont="1" applyFill="1" applyAlignment="1">
      <alignment horizontal="center"/>
    </xf>
    <xf numFmtId="0" fontId="3" fillId="2" borderId="0" xfId="0" applyFont="1" applyFill="1" applyAlignment="1">
      <alignment horizontal="center"/>
    </xf>
    <xf numFmtId="0" fontId="14" fillId="3" borderId="0" xfId="0" applyFont="1" applyFill="1" applyAlignment="1">
      <alignment horizontal="left"/>
    </xf>
    <xf numFmtId="0" fontId="3" fillId="0" borderId="0" xfId="0" applyFont="1" applyAlignment="1">
      <alignment horizontal="left" wrapText="1"/>
    </xf>
  </cellXfs>
  <cellStyles count="5">
    <cellStyle name="Comma 2" xfId="4" xr:uid="{00000000-0005-0000-0000-000000000000}"/>
    <cellStyle name="Hyperlink" xfId="1" builtinId="8"/>
    <cellStyle name="Normal" xfId="0" builtinId="0"/>
    <cellStyle name="Normal 2" xfId="2" xr:uid="{00000000-0005-0000-0000-000003000000}"/>
    <cellStyle name="Normal 3" xfId="3" xr:uid="{00000000-0005-0000-0000-000004000000}"/>
  </cellStyles>
  <dxfs count="25">
    <dxf>
      <font>
        <color theme="0"/>
      </font>
    </dxf>
    <dxf>
      <font>
        <color theme="0"/>
      </font>
    </dxf>
    <dxf>
      <font>
        <color theme="0"/>
      </font>
    </dxf>
    <dxf>
      <font>
        <color theme="0"/>
      </font>
    </dxf>
    <dxf>
      <font>
        <color theme="0"/>
      </font>
    </dxf>
    <dxf>
      <font>
        <color theme="0"/>
      </font>
    </dxf>
    <dxf>
      <font>
        <color rgb="FFFF0000"/>
      </font>
    </dxf>
    <dxf>
      <font>
        <color rgb="FFFF0000"/>
      </font>
    </dxf>
    <dxf>
      <font>
        <color theme="0"/>
      </font>
      <fill>
        <patternFill>
          <bgColor theme="0"/>
        </patternFill>
      </fill>
    </dxf>
    <dxf>
      <font>
        <b/>
        <i val="0"/>
        <condense val="0"/>
        <extend val="0"/>
        <color indexed="1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ndense val="0"/>
        <extend val="0"/>
        <color indexed="12"/>
      </font>
    </dxf>
    <dxf>
      <font>
        <b/>
        <i val="0"/>
        <condense val="0"/>
        <extend val="0"/>
        <color indexed="10"/>
      </font>
    </dxf>
    <dxf>
      <font>
        <b/>
        <i val="0"/>
        <color rgb="FFFF0000"/>
      </font>
    </dxf>
    <dxf>
      <font>
        <b/>
        <i val="0"/>
        <condense val="0"/>
        <extend val="0"/>
        <color indexed="10"/>
      </font>
    </dxf>
  </dxfs>
  <tableStyles count="0" defaultTableStyle="TableStyleMedium9" defaultPivotStyle="PivotStyleLight16"/>
  <colors>
    <mruColors>
      <color rgb="FF7DC4D6"/>
      <color rgb="FF0099FF"/>
      <color rgb="FF0000FF"/>
      <color rgb="FFFFFF99"/>
      <color rgb="FF003366"/>
      <color rgb="FFCCFFFF"/>
      <color rgb="FF7030A0"/>
      <color rgb="FFD1979B"/>
      <color rgb="FFDBEEF4"/>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theme" Target="theme/theme1.xml" /><Relationship Id="rId5" Type="http://schemas.openxmlformats.org/officeDocument/2006/relationships/worksheet" Target="worksheets/sheet5.xml" /><Relationship Id="rId15" Type="http://schemas.microsoft.com/office/2006/relationships/vbaProject" Target="vbaProject.bin"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calcChain" Target="calcChain.xml"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Arial" pitchFamily="34" charset="0"/>
                <a:ea typeface="Calibri"/>
                <a:cs typeface="Arial" pitchFamily="34" charset="0"/>
              </a:defRPr>
            </a:pPr>
            <a:r>
              <a:rPr lang="en-US" sz="1800" u="none">
                <a:latin typeface="Arial" pitchFamily="34" charset="0"/>
                <a:cs typeface="Arial" pitchFamily="34" charset="0"/>
              </a:rPr>
              <a:t>Bode Plot </a:t>
            </a:r>
          </a:p>
        </c:rich>
      </c:tx>
      <c:layout>
        <c:manualLayout>
          <c:xMode val="edge"/>
          <c:yMode val="edge"/>
          <c:x val="0.10050639430091837"/>
          <c:y val="2.3290736067608779E-2"/>
        </c:manualLayout>
      </c:layout>
      <c:overlay val="0"/>
      <c:spPr>
        <a:noFill/>
        <a:ln w="25400">
          <a:noFill/>
        </a:ln>
      </c:spPr>
    </c:title>
    <c:autoTitleDeleted val="0"/>
    <c:plotArea>
      <c:layout>
        <c:manualLayout>
          <c:layoutTarget val="inner"/>
          <c:xMode val="edge"/>
          <c:yMode val="edge"/>
          <c:x val="8.6865550467700392E-2"/>
          <c:y val="0.11264619116931211"/>
          <c:w val="0.82929752780099952"/>
          <c:h val="0.76205184354221722"/>
        </c:manualLayout>
      </c:layout>
      <c:scatterChart>
        <c:scatterStyle val="smoothMarker"/>
        <c:varyColors val="0"/>
        <c:ser>
          <c:idx val="2"/>
          <c:order val="0"/>
          <c:tx>
            <c:v>Loop Gain</c:v>
          </c:tx>
          <c:spPr>
            <a:ln w="31750">
              <a:solidFill>
                <a:srgbClr val="FF0000"/>
              </a:solidFill>
              <a:prstDash val="solid"/>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Calculations'!$BF$9:$BF$676</c:f>
              <c:numCache>
                <c:formatCode>General</c:formatCode>
                <c:ptCount val="668"/>
                <c:pt idx="0">
                  <c:v>81.634597069710708</c:v>
                </c:pt>
                <c:pt idx="1">
                  <c:v>76.56120527493934</c:v>
                </c:pt>
                <c:pt idx="2">
                  <c:v>73.239953945861359</c:v>
                </c:pt>
                <c:pt idx="3">
                  <c:v>70.81363396803178</c:v>
                </c:pt>
                <c:pt idx="4">
                  <c:v>68.909390925181839</c:v>
                </c:pt>
                <c:pt idx="5">
                  <c:v>67.344331631653446</c:v>
                </c:pt>
                <c:pt idx="6">
                  <c:v>66.016636989183326</c:v>
                </c:pt>
                <c:pt idx="7">
                  <c:v>64.864118041310689</c:v>
                </c:pt>
                <c:pt idx="8">
                  <c:v>63.846101952017122</c:v>
                </c:pt>
                <c:pt idx="9">
                  <c:v>62.93456559812747</c:v>
                </c:pt>
                <c:pt idx="10">
                  <c:v>56.925848985506668</c:v>
                </c:pt>
                <c:pt idx="11">
                  <c:v>53.406803245340299</c:v>
                </c:pt>
                <c:pt idx="12">
                  <c:v>50.9096813055436</c:v>
                </c:pt>
                <c:pt idx="13">
                  <c:v>48.972991786489295</c:v>
                </c:pt>
                <c:pt idx="14">
                  <c:v>47.390978560932524</c:v>
                </c:pt>
                <c:pt idx="15">
                  <c:v>46.053838633926119</c:v>
                </c:pt>
                <c:pt idx="16">
                  <c:v>44.896014425959663</c:v>
                </c:pt>
                <c:pt idx="17">
                  <c:v>43.875214079738186</c:v>
                </c:pt>
                <c:pt idx="18">
                  <c:v>42.962558362415059</c:v>
                </c:pt>
                <c:pt idx="19">
                  <c:v>36.980820967221938</c:v>
                </c:pt>
                <c:pt idx="20">
                  <c:v>33.523330310637775</c:v>
                </c:pt>
                <c:pt idx="21">
                  <c:v>31.114054181226933</c:v>
                </c:pt>
                <c:pt idx="22">
                  <c:v>29.290003746919385</c:v>
                </c:pt>
                <c:pt idx="23">
                  <c:v>27.844543484799708</c:v>
                </c:pt>
                <c:pt idx="24">
                  <c:v>26.667054874821755</c:v>
                </c:pt>
                <c:pt idx="25">
                  <c:v>25.691142133296374</c:v>
                </c:pt>
                <c:pt idx="26">
                  <c:v>24.873646646745321</c:v>
                </c:pt>
                <c:pt idx="27">
                  <c:v>24.184807241618223</c:v>
                </c:pt>
                <c:pt idx="28">
                  <c:v>22.076273948095121</c:v>
                </c:pt>
                <c:pt idx="29">
                  <c:v>21.397144672426293</c:v>
                </c:pt>
                <c:pt idx="30">
                  <c:v>21.637703262771314</c:v>
                </c:pt>
                <c:pt idx="31">
                  <c:v>22.598235145372591</c:v>
                </c:pt>
                <c:pt idx="32">
                  <c:v>24.215727233687808</c:v>
                </c:pt>
                <c:pt idx="33">
                  <c:v>26.417305304592293</c:v>
                </c:pt>
                <c:pt idx="34">
                  <c:v>28.569898572714244</c:v>
                </c:pt>
                <c:pt idx="35">
                  <c:v>28.580241558721514</c:v>
                </c:pt>
                <c:pt idx="36">
                  <c:v>26.133860665884242</c:v>
                </c:pt>
                <c:pt idx="37">
                  <c:v>23.352110528689497</c:v>
                </c:pt>
                <c:pt idx="38">
                  <c:v>20.98205309636618</c:v>
                </c:pt>
                <c:pt idx="39">
                  <c:v>19.031608735273338</c:v>
                </c:pt>
                <c:pt idx="40">
                  <c:v>17.407421350486324</c:v>
                </c:pt>
                <c:pt idx="41">
                  <c:v>16.029487843332944</c:v>
                </c:pt>
                <c:pt idx="42">
                  <c:v>14.839774388679693</c:v>
                </c:pt>
                <c:pt idx="43">
                  <c:v>13.796904255678692</c:v>
                </c:pt>
                <c:pt idx="44">
                  <c:v>12.870958471375422</c:v>
                </c:pt>
                <c:pt idx="45">
                  <c:v>12.039843676102391</c:v>
                </c:pt>
                <c:pt idx="46">
                  <c:v>11.286894415027852</c:v>
                </c:pt>
                <c:pt idx="47">
                  <c:v>10.599290130399543</c:v>
                </c:pt>
                <c:pt idx="48">
                  <c:v>9.9669928037441462</c:v>
                </c:pt>
                <c:pt idx="49">
                  <c:v>9.382019016273409</c:v>
                </c:pt>
                <c:pt idx="50">
                  <c:v>8.8379304725159997</c:v>
                </c:pt>
                <c:pt idx="51">
                  <c:v>8.3294701807641314</c:v>
                </c:pt>
                <c:pt idx="52">
                  <c:v>7.8522977841030066</c:v>
                </c:pt>
                <c:pt idx="53">
                  <c:v>7.4027937377640596</c:v>
                </c:pt>
                <c:pt idx="54">
                  <c:v>6.9779121831681223</c:v>
                </c:pt>
                <c:pt idx="55">
                  <c:v>6.575068858019196</c:v>
                </c:pt>
                <c:pt idx="56">
                  <c:v>6.1920546104263305</c:v>
                </c:pt>
                <c:pt idx="57">
                  <c:v>5.8269678933191891</c:v>
                </c:pt>
                <c:pt idx="58">
                  <c:v>5.4781615141440687</c:v>
                </c:pt>
                <c:pt idx="59">
                  <c:v>5.144200220259294</c:v>
                </c:pt>
                <c:pt idx="60">
                  <c:v>4.8238266120665694</c:v>
                </c:pt>
                <c:pt idx="61">
                  <c:v>4.5159335217892673</c:v>
                </c:pt>
                <c:pt idx="62">
                  <c:v>4.21954145957889</c:v>
                </c:pt>
                <c:pt idx="63">
                  <c:v>3.9337800658064959</c:v>
                </c:pt>
                <c:pt idx="64">
                  <c:v>3.6578727563787794</c:v>
                </c:pt>
                <c:pt idx="65">
                  <c:v>3.391123932271181</c:v>
                </c:pt>
                <c:pt idx="66">
                  <c:v>3.1329082628972409</c:v>
                </c:pt>
                <c:pt idx="67">
                  <c:v>2.8826616578506883</c:v>
                </c:pt>
                <c:pt idx="68">
                  <c:v>2.6398736217735346</c:v>
                </c:pt>
                <c:pt idx="69">
                  <c:v>2.4040807489391098</c:v>
                </c:pt>
                <c:pt idx="70">
                  <c:v>2.1748611621733422</c:v>
                </c:pt>
                <c:pt idx="71">
                  <c:v>1.9518297383218237</c:v>
                </c:pt>
                <c:pt idx="72">
                  <c:v>1.7346339920792175</c:v>
                </c:pt>
                <c:pt idx="73">
                  <c:v>1.5229505134740431</c:v>
                </c:pt>
                <c:pt idx="74">
                  <c:v>1.3164818730303787</c:v>
                </c:pt>
                <c:pt idx="75">
                  <c:v>1.1149539236546402</c:v>
                </c:pt>
                <c:pt idx="76">
                  <c:v>0.91811344041907494</c:v>
                </c:pt>
                <c:pt idx="77">
                  <c:v>0.72572604924519435</c:v>
                </c:pt>
                <c:pt idx="78">
                  <c:v>0.53757440350381747</c:v>
                </c:pt>
                <c:pt idx="79">
                  <c:v>0.35345657411014592</c:v>
                </c:pt>
                <c:pt idx="80">
                  <c:v>0.17318462409020549</c:v>
                </c:pt>
                <c:pt idx="81">
                  <c:v>-3.4166569455248213E-3</c:v>
                </c:pt>
                <c:pt idx="82">
                  <c:v>-0.17651087928604606</c:v>
                </c:pt>
                <c:pt idx="83">
                  <c:v>-0.34625105834494968</c:v>
                </c:pt>
                <c:pt idx="84">
                  <c:v>-0.51278051383425716</c:v>
                </c:pt>
                <c:pt idx="85">
                  <c:v>-0.67623367593319372</c:v>
                </c:pt>
                <c:pt idx="86">
                  <c:v>-0.83673680967807318</c:v>
                </c:pt>
                <c:pt idx="87">
                  <c:v>-0.99440866726190746</c:v>
                </c:pt>
                <c:pt idx="88">
                  <c:v>-1.1493610766287639</c:v>
                </c:pt>
                <c:pt idx="89">
                  <c:v>-1.3016994736402296</c:v>
                </c:pt>
                <c:pt idx="90">
                  <c:v>-1.4515233841457855</c:v>
                </c:pt>
                <c:pt idx="91">
                  <c:v>-1.5989268614809116</c:v>
                </c:pt>
                <c:pt idx="92">
                  <c:v>-1.7439988842234992</c:v>
                </c:pt>
                <c:pt idx="93">
                  <c:v>-1.8868237184426588</c:v>
                </c:pt>
                <c:pt idx="94">
                  <c:v>-2.0274812481602802</c:v>
                </c:pt>
                <c:pt idx="95">
                  <c:v>-2.1660472773009474</c:v>
                </c:pt>
                <c:pt idx="96">
                  <c:v>-2.3025938060209601</c:v>
                </c:pt>
                <c:pt idx="97">
                  <c:v>-2.4371892839725899</c:v>
                </c:pt>
                <c:pt idx="98">
                  <c:v>-2.569898842768346</c:v>
                </c:pt>
                <c:pt idx="99">
                  <c:v>-2.7007845096561738</c:v>
                </c:pt>
                <c:pt idx="100">
                  <c:v>-2.8299054041939926</c:v>
                </c:pt>
                <c:pt idx="101">
                  <c:v>-2.9573179195174788</c:v>
                </c:pt>
                <c:pt idx="102">
                  <c:v>-3.0830758896238719</c:v>
                </c:pt>
                <c:pt idx="103">
                  <c:v>-3.2072307439442058</c:v>
                </c:pt>
                <c:pt idx="104">
                  <c:v>-3.3298316503438299</c:v>
                </c:pt>
                <c:pt idx="105">
                  <c:v>-3.4509256475737504</c:v>
                </c:pt>
                <c:pt idx="106">
                  <c:v>-3.5705577680920819</c:v>
                </c:pt>
                <c:pt idx="107">
                  <c:v>-3.6887711520826332</c:v>
                </c:pt>
                <c:pt idx="108">
                  <c:v>-3.8056071534165299</c:v>
                </c:pt>
                <c:pt idx="109">
                  <c:v>-3.9211054382299313</c:v>
                </c:pt>
                <c:pt idx="110">
                  <c:v>-4.0353040767265922</c:v>
                </c:pt>
                <c:pt idx="111">
                  <c:v>-4.1482396287561683</c:v>
                </c:pt>
                <c:pt idx="112">
                  <c:v>-4.2599472236678846</c:v>
                </c:pt>
                <c:pt idx="113">
                  <c:v>-4.3704606348929014</c:v>
                </c:pt>
                <c:pt idx="114">
                  <c:v>-4.4798123496676538</c:v>
                </c:pt>
                <c:pt idx="115">
                  <c:v>-4.5880336342731178</c:v>
                </c:pt>
                <c:pt idx="116">
                  <c:v>-4.6951545951318749</c:v>
                </c:pt>
                <c:pt idx="117">
                  <c:v>-4.8012042360747316</c:v>
                </c:pt>
                <c:pt idx="118">
                  <c:v>-4.9062105120617723</c:v>
                </c:pt>
                <c:pt idx="119">
                  <c:v>-5.0102003796180519</c:v>
                </c:pt>
                <c:pt idx="120">
                  <c:v>-5.113199844222577</c:v>
                </c:pt>
                <c:pt idx="121">
                  <c:v>-5.2152340048688561</c:v>
                </c:pt>
                <c:pt idx="122">
                  <c:v>-5.31632709599746</c:v>
                </c:pt>
                <c:pt idx="123">
                  <c:v>-5.416502526984762</c:v>
                </c:pt>
                <c:pt idx="124">
                  <c:v>-5.5157829193569032</c:v>
                </c:pt>
                <c:pt idx="125">
                  <c:v>-5.6141901418847713</c:v>
                </c:pt>
                <c:pt idx="126">
                  <c:v>-5.7117453437034733</c:v>
                </c:pt>
                <c:pt idx="127">
                  <c:v>-5.8084689855883109</c:v>
                </c:pt>
                <c:pt idx="128">
                  <c:v>-5.9043808695095308</c:v>
                </c:pt>
                <c:pt idx="129">
                  <c:v>-5.9995001665784269</c:v>
                </c:pt>
                <c:pt idx="130">
                  <c:v>-6.0938454434889602</c:v>
                </c:pt>
                <c:pt idx="131">
                  <c:v>-6.1874346875514625</c:v>
                </c:pt>
                <c:pt idx="132">
                  <c:v>-6.2802853304075512</c:v>
                </c:pt>
                <c:pt idx="133">
                  <c:v>-6.3724142705091333</c:v>
                </c:pt>
                <c:pt idx="134">
                  <c:v>-6.4638378944382078</c:v>
                </c:pt>
                <c:pt idx="135">
                  <c:v>-6.5545720971387977</c:v>
                </c:pt>
                <c:pt idx="136">
                  <c:v>-6.644632301127178</c:v>
                </c:pt>
                <c:pt idx="137">
                  <c:v>-6.734033474741997</c:v>
                </c:pt>
                <c:pt idx="138">
                  <c:v>-6.8227901494916345</c:v>
                </c:pt>
                <c:pt idx="139">
                  <c:v>-6.9109164365520375</c:v>
                </c:pt>
                <c:pt idx="140">
                  <c:v>-6.9984260424649145</c:v>
                </c:pt>
                <c:pt idx="141">
                  <c:v>-7.0853322840825026</c:v>
                </c:pt>
                <c:pt idx="142">
                  <c:v>-7.1716481028022914</c:v>
                </c:pt>
                <c:pt idx="143">
                  <c:v>-7.2573860781320496</c:v>
                </c:pt>
                <c:pt idx="144">
                  <c:v>-7.3425584406229314</c:v>
                </c:pt>
                <c:pt idx="145">
                  <c:v>-7.4271770842060105</c:v>
                </c:pt>
                <c:pt idx="146">
                  <c:v>-7.511253577965153</c:v>
                </c:pt>
                <c:pt idx="147">
                  <c:v>-7.5947991773774026</c:v>
                </c:pt>
                <c:pt idx="148">
                  <c:v>-7.6778248350495462</c:v>
                </c:pt>
                <c:pt idx="149">
                  <c:v>-7.7603412109782743</c:v>
                </c:pt>
                <c:pt idx="150">
                  <c:v>-7.8423586823593165</c:v>
                </c:pt>
                <c:pt idx="151">
                  <c:v>-7.9238873529694782</c:v>
                </c:pt>
                <c:pt idx="152">
                  <c:v>-8.0049370621440108</c:v>
                </c:pt>
                <c:pt idx="153">
                  <c:v>-8.0855173933704343</c:v>
                </c:pt>
                <c:pt idx="154">
                  <c:v>-8.1656376825187031</c:v>
                </c:pt>
                <c:pt idx="155">
                  <c:v>-8.2453070257262731</c:v>
                </c:pt>
                <c:pt idx="156">
                  <c:v>-8.3245342869556644</c:v>
                </c:pt>
                <c:pt idx="157">
                  <c:v>-8.403328105241135</c:v>
                </c:pt>
                <c:pt idx="158">
                  <c:v>-8.4816969016399124</c:v>
                </c:pt>
                <c:pt idx="159">
                  <c:v>-8.559648885902714</c:v>
                </c:pt>
                <c:pt idx="160">
                  <c:v>-8.6371920628774781</c:v>
                </c:pt>
                <c:pt idx="161">
                  <c:v>-8.7143342386592391</c:v>
                </c:pt>
                <c:pt idx="162">
                  <c:v>-8.7910830264985389</c:v>
                </c:pt>
                <c:pt idx="163">
                  <c:v>-8.8674458524800244</c:v>
                </c:pt>
                <c:pt idx="164">
                  <c:v>-8.9434299609822645</c:v>
                </c:pt>
                <c:pt idx="165">
                  <c:v>-9.0190424199290256</c:v>
                </c:pt>
                <c:pt idx="166">
                  <c:v>-9.094290125842047</c:v>
                </c:pt>
                <c:pt idx="167">
                  <c:v>-9.1691798087044667</c:v>
                </c:pt>
                <c:pt idx="168">
                  <c:v>-9.2437180366437417</c:v>
                </c:pt>
                <c:pt idx="169">
                  <c:v>-9.3179112204424257</c:v>
                </c:pt>
                <c:pt idx="170">
                  <c:v>-9.3917656178846585</c:v>
                </c:pt>
                <c:pt idx="171">
                  <c:v>-9.4652873379457851</c:v>
                </c:pt>
                <c:pt idx="172">
                  <c:v>-9.5384823448324116</c:v>
                </c:pt>
                <c:pt idx="173">
                  <c:v>-9.6113564618792822</c:v>
                </c:pt>
                <c:pt idx="174">
                  <c:v>-9.6839153753096916</c:v>
                </c:pt>
                <c:pt idx="175">
                  <c:v>-9.7561646378651847</c:v>
                </c:pt>
                <c:pt idx="176">
                  <c:v>-9.8281096723105765</c:v>
                </c:pt>
                <c:pt idx="177">
                  <c:v>-9.8997557748194271</c:v>
                </c:pt>
                <c:pt idx="178">
                  <c:v>-9.9711081182454624</c:v>
                </c:pt>
                <c:pt idx="179">
                  <c:v>-10.042171755284588</c:v>
                </c:pt>
                <c:pt idx="180">
                  <c:v>-10.112951621532391</c:v>
                </c:pt>
                <c:pt idx="181">
                  <c:v>-10.183452538441433</c:v>
                </c:pt>
                <c:pt idx="182">
                  <c:v>-10.253679216182608</c:v>
                </c:pt>
                <c:pt idx="183">
                  <c:v>-10.323636256414623</c:v>
                </c:pt>
                <c:pt idx="184">
                  <c:v>-10.39332815496534</c:v>
                </c:pt>
                <c:pt idx="185">
                  <c:v>-10.462759304428779</c:v>
                </c:pt>
                <c:pt idx="186">
                  <c:v>-10.53193399668103</c:v>
                </c:pt>
                <c:pt idx="187">
                  <c:v>-10.600856425318577</c:v>
                </c:pt>
                <c:pt idx="188">
                  <c:v>-10.669530688022084</c:v>
                </c:pt>
                <c:pt idx="189">
                  <c:v>-10.73796078884868</c:v>
                </c:pt>
                <c:pt idx="190">
                  <c:v>-10.806150640455538</c:v>
                </c:pt>
                <c:pt idx="191">
                  <c:v>-10.874104066257555</c:v>
                </c:pt>
                <c:pt idx="192">
                  <c:v>-10.941824802521719</c:v>
                </c:pt>
                <c:pt idx="193">
                  <c:v>-11.009316500400498</c:v>
                </c:pt>
                <c:pt idx="194">
                  <c:v>-11.076582727906946</c:v>
                </c:pt>
                <c:pt idx="195">
                  <c:v>-11.143626971833292</c:v>
                </c:pt>
                <c:pt idx="196">
                  <c:v>-11.210452639615745</c:v>
                </c:pt>
                <c:pt idx="197">
                  <c:v>-11.277063061147004</c:v>
                </c:pt>
                <c:pt idx="198">
                  <c:v>-11.343461490538886</c:v>
                </c:pt>
                <c:pt idx="199">
                  <c:v>-11.409651107836643</c:v>
                </c:pt>
                <c:pt idx="200">
                  <c:v>-11.47563502068695</c:v>
                </c:pt>
                <c:pt idx="201">
                  <c:v>-11.54141626596115</c:v>
                </c:pt>
                <c:pt idx="202">
                  <c:v>-11.606997811335493</c:v>
                </c:pt>
                <c:pt idx="203">
                  <c:v>-11.67238255682981</c:v>
                </c:pt>
                <c:pt idx="204">
                  <c:v>-11.737573336306237</c:v>
                </c:pt>
                <c:pt idx="205">
                  <c:v>-11.802572918929348</c:v>
                </c:pt>
                <c:pt idx="206">
                  <c:v>-11.86738401058906</c:v>
                </c:pt>
                <c:pt idx="207">
                  <c:v>-11.932009255287657</c:v>
                </c:pt>
                <c:pt idx="208">
                  <c:v>-11.996451236492117</c:v>
                </c:pt>
                <c:pt idx="209">
                  <c:v>-12.060712478453038</c:v>
                </c:pt>
                <c:pt idx="210">
                  <c:v>-12.12479544749119</c:v>
                </c:pt>
                <c:pt idx="211">
                  <c:v>-12.188702553252828</c:v>
                </c:pt>
                <c:pt idx="212">
                  <c:v>-12.252436149934917</c:v>
                </c:pt>
                <c:pt idx="213">
                  <c:v>-12.31599853748107</c:v>
                </c:pt>
                <c:pt idx="214">
                  <c:v>-12.379391962749327</c:v>
                </c:pt>
                <c:pt idx="215">
                  <c:v>-12.442618620652642</c:v>
                </c:pt>
                <c:pt idx="216">
                  <c:v>-12.505680655272922</c:v>
                </c:pt>
                <c:pt idx="217">
                  <c:v>-12.568580160949523</c:v>
                </c:pt>
                <c:pt idx="218">
                  <c:v>-12.631319183342963</c:v>
                </c:pt>
                <c:pt idx="219">
                  <c:v>-12.69389972047464</c:v>
                </c:pt>
                <c:pt idx="220">
                  <c:v>-12.7563237237433</c:v>
                </c:pt>
                <c:pt idx="221">
                  <c:v>-12.818593098919003</c:v>
                </c:pt>
                <c:pt idx="222">
                  <c:v>-12.880709707115187</c:v>
                </c:pt>
                <c:pt idx="223">
                  <c:v>-12.942675365739563</c:v>
                </c:pt>
                <c:pt idx="224">
                  <c:v>-13.004491849424396</c:v>
                </c:pt>
                <c:pt idx="225">
                  <c:v>-13.06616089093688</c:v>
                </c:pt>
                <c:pt idx="226">
                  <c:v>-13.675094990685563</c:v>
                </c:pt>
                <c:pt idx="227">
                  <c:v>-14.270912113712784</c:v>
                </c:pt>
                <c:pt idx="228">
                  <c:v>-14.854778025749319</c:v>
                </c:pt>
                <c:pt idx="229">
                  <c:v>-15.42759734907446</c:v>
                </c:pt>
                <c:pt idx="230">
                  <c:v>-15.990066543670935</c:v>
                </c:pt>
                <c:pt idx="231">
                  <c:v>-16.542717724033505</c:v>
                </c:pt>
                <c:pt idx="232">
                  <c:v>-17.085954874469394</c:v>
                </c:pt>
                <c:pt idx="233">
                  <c:v>-17.620083660447104</c:v>
                </c:pt>
                <c:pt idx="234">
                  <c:v>-18.145335798724403</c:v>
                </c:pt>
                <c:pt idx="235">
                  <c:v>-18.661888792665913</c:v>
                </c:pt>
                <c:pt idx="236">
                  <c:v>-19.16988172845188</c:v>
                </c:pt>
                <c:pt idx="237">
                  <c:v>-19.669427742666731</c:v>
                </c:pt>
                <c:pt idx="238">
                  <c:v>-20.160623700386413</c:v>
                </c:pt>
                <c:pt idx="239">
                  <c:v>-20.643557559145734</c:v>
                </c:pt>
                <c:pt idx="240">
                  <c:v>-21.118313835183148</c:v>
                </c:pt>
                <c:pt idx="241">
                  <c:v>-21.584977533146951</c:v>
                </c:pt>
                <c:pt idx="242">
                  <c:v>-22.043636848968141</c:v>
                </c:pt>
                <c:pt idx="243">
                  <c:v>-22.494384908192838</c:v>
                </c:pt>
                <c:pt idx="244">
                  <c:v>-22.937320759088728</c:v>
                </c:pt>
                <c:pt idx="245">
                  <c:v>-23.372549801536881</c:v>
                </c:pt>
                <c:pt idx="246">
                  <c:v>-23.800183799152897</c:v>
                </c:pt>
                <c:pt idx="247">
                  <c:v>-24.220340593133727</c:v>
                </c:pt>
                <c:pt idx="248">
                  <c:v>-24.633143611736365</c:v>
                </c:pt>
                <c:pt idx="249">
                  <c:v>-25.038721248702739</c:v>
                </c:pt>
                <c:pt idx="250">
                  <c:v>-25.437206166930331</c:v>
                </c:pt>
                <c:pt idx="251">
                  <c:v>-25.828734569809821</c:v>
                </c:pt>
                <c:pt idx="252">
                  <c:v>-26.213445471471818</c:v>
                </c:pt>
                <c:pt idx="253">
                  <c:v>-26.591479988291734</c:v>
                </c:pt>
                <c:pt idx="254">
                  <c:v>-26.962980667017966</c:v>
                </c:pt>
                <c:pt idx="255">
                  <c:v>-27.32809085947769</c:v>
                </c:pt>
                <c:pt idx="256">
                  <c:v>-27.686954149685178</c:v>
                </c:pt>
                <c:pt idx="257">
                  <c:v>-28.039713836079731</c:v>
                </c:pt>
                <c:pt idx="258">
                  <c:v>-28.386512469343863</c:v>
                </c:pt>
                <c:pt idx="259">
                  <c:v>-28.727491444623286</c:v>
                </c:pt>
                <c:pt idx="260">
                  <c:v>-29.062790645844771</c:v>
                </c:pt>
                <c:pt idx="261">
                  <c:v>-29.392548139090408</c:v>
                </c:pt>
                <c:pt idx="262">
                  <c:v>-29.716899911543674</c:v>
                </c:pt>
                <c:pt idx="263">
                  <c:v>-30.035979652299496</c:v>
                </c:pt>
                <c:pt idx="264">
                  <c:v>-30.349918571268582</c:v>
                </c:pt>
                <c:pt idx="265">
                  <c:v>-30.658845252460722</c:v>
                </c:pt>
                <c:pt idx="266">
                  <c:v>-30.962885538065169</c:v>
                </c:pt>
                <c:pt idx="267">
                  <c:v>-31.262162439934272</c:v>
                </c:pt>
                <c:pt idx="268">
                  <c:v>-31.556796075295903</c:v>
                </c:pt>
                <c:pt idx="269">
                  <c:v>-31.846903623757832</c:v>
                </c:pt>
                <c:pt idx="270">
                  <c:v>-32.132599302910606</c:v>
                </c:pt>
                <c:pt idx="271">
                  <c:v>-32.41399436007714</c:v>
                </c:pt>
                <c:pt idx="272">
                  <c:v>-32.691197077991362</c:v>
                </c:pt>
                <c:pt idx="273">
                  <c:v>-32.964312792411377</c:v>
                </c:pt>
                <c:pt idx="274">
                  <c:v>-33.233443919881907</c:v>
                </c:pt>
                <c:pt idx="275">
                  <c:v>-33.498689994055603</c:v>
                </c:pt>
                <c:pt idx="276">
                  <c:v>-33.76014770916192</c:v>
                </c:pt>
                <c:pt idx="277">
                  <c:v>-34.017910969376402</c:v>
                </c:pt>
                <c:pt idx="278">
                  <c:v>-34.272070942992002</c:v>
                </c:pt>
                <c:pt idx="279">
                  <c:v>-34.52271612042901</c:v>
                </c:pt>
                <c:pt idx="280">
                  <c:v>-34.769932375241261</c:v>
                </c:pt>
                <c:pt idx="281">
                  <c:v>-35.013803027385016</c:v>
                </c:pt>
                <c:pt idx="282">
                  <c:v>-35.25440890811398</c:v>
                </c:pt>
                <c:pt idx="283">
                  <c:v>-35.491828425950644</c:v>
                </c:pt>
                <c:pt idx="284">
                  <c:v>-35.726137633260393</c:v>
                </c:pt>
                <c:pt idx="285">
                  <c:v>-35.957410293023429</c:v>
                </c:pt>
                <c:pt idx="286">
                  <c:v>-36.185717945459089</c:v>
                </c:pt>
                <c:pt idx="287">
                  <c:v>-36.411129974210326</c:v>
                </c:pt>
                <c:pt idx="288">
                  <c:v>-36.633713671842585</c:v>
                </c:pt>
                <c:pt idx="289">
                  <c:v>-36.853534304452062</c:v>
                </c:pt>
                <c:pt idx="290">
                  <c:v>-37.070655175214014</c:v>
                </c:pt>
                <c:pt idx="291">
                  <c:v>-37.28513768673303</c:v>
                </c:pt>
                <c:pt idx="292">
                  <c:v>-37.497041402084193</c:v>
                </c:pt>
                <c:pt idx="293">
                  <c:v>-37.706424104457739</c:v>
                </c:pt>
                <c:pt idx="294">
                  <c:v>-37.913341855340107</c:v>
                </c:pt>
                <c:pt idx="295">
                  <c:v>-38.117849051181949</c:v>
                </c:pt>
                <c:pt idx="296">
                  <c:v>-38.319998478518997</c:v>
                </c:pt>
                <c:pt idx="297">
                  <c:v>-38.519841367524272</c:v>
                </c:pt>
                <c:pt idx="298">
                  <c:v>-38.717427443981812</c:v>
                </c:pt>
                <c:pt idx="299">
                  <c:v>-38.912804979680864</c:v>
                </c:pt>
                <c:pt idx="300">
                  <c:v>-39.106020841238241</c:v>
                </c:pt>
                <c:pt idx="301">
                  <c:v>-39.297120537362431</c:v>
                </c:pt>
                <c:pt idx="302">
                  <c:v>-39.486148264579413</c:v>
                </c:pt>
                <c:pt idx="303">
                  <c:v>-39.673146951444068</c:v>
                </c:pt>
                <c:pt idx="304">
                  <c:v>-39.858158301265526</c:v>
                </c:pt>
                <c:pt idx="305">
                  <c:v>-40.041222833377091</c:v>
                </c:pt>
                <c:pt idx="306">
                  <c:v>-40.222379922984686</c:v>
                </c:pt>
                <c:pt idx="307">
                  <c:v>-40.401667839628566</c:v>
                </c:pt>
                <c:pt idx="308">
                  <c:v>-40.579123784295533</c:v>
                </c:pt>
                <c:pt idx="309">
                  <c:v>-40.754783925219016</c:v>
                </c:pt>
                <c:pt idx="310">
                  <c:v>-40.928683432405357</c:v>
                </c:pt>
                <c:pt idx="311">
                  <c:v>-41.100856510925155</c:v>
                </c:pt>
                <c:pt idx="312">
                  <c:v>-41.271336433008194</c:v>
                </c:pt>
                <c:pt idx="313">
                  <c:v>-41.440155568980629</c:v>
                </c:pt>
                <c:pt idx="314">
                  <c:v>-41.607345417082769</c:v>
                </c:pt>
                <c:pt idx="315">
                  <c:v>-41.772936632205308</c:v>
                </c:pt>
                <c:pt idx="316">
                  <c:v>-41.936959053581155</c:v>
                </c:pt>
                <c:pt idx="317">
                  <c:v>-42.099441731469589</c:v>
                </c:pt>
                <c:pt idx="318">
                  <c:v>-42.2604129528684</c:v>
                </c:pt>
                <c:pt idx="319">
                  <c:v>-42.41990026628909</c:v>
                </c:pt>
                <c:pt idx="320">
                  <c:v>-42.577930505629269</c:v>
                </c:pt>
                <c:pt idx="321">
                  <c:v>-42.734529813175286</c:v>
                </c:pt>
                <c:pt idx="322">
                  <c:v>-42.889723661767491</c:v>
                </c:pt>
                <c:pt idx="323">
                  <c:v>-43.04353687615928</c:v>
                </c:pt>
                <c:pt idx="324">
                  <c:v>-43.195993653600326</c:v>
                </c:pt>
                <c:pt idx="325">
                  <c:v>-43.347117583673267</c:v>
                </c:pt>
                <c:pt idx="326">
                  <c:v>-43.496931667412213</c:v>
                </c:pt>
                <c:pt idx="327">
                  <c:v>-43.645458335730495</c:v>
                </c:pt>
                <c:pt idx="328">
                  <c:v>-43.792719467184035</c:v>
                </c:pt>
                <c:pt idx="329">
                  <c:v>-43.938736405095973</c:v>
                </c:pt>
                <c:pt idx="330">
                  <c:v>-44.08352997406687</c:v>
                </c:pt>
                <c:pt idx="331">
                  <c:v>-44.227120495894468</c:v>
                </c:pt>
                <c:pt idx="332">
                  <c:v>-44.369527804925681</c:v>
                </c:pt>
                <c:pt idx="333">
                  <c:v>-44.510771262862505</c:v>
                </c:pt>
                <c:pt idx="334">
                  <c:v>-44.65086977304346</c:v>
                </c:pt>
                <c:pt idx="335">
                  <c:v>-44.789841794220351</c:v>
                </c:pt>
                <c:pt idx="336">
                  <c:v>-44.927705353850193</c:v>
                </c:pt>
                <c:pt idx="337">
                  <c:v>-45.064478060920806</c:v>
                </c:pt>
                <c:pt idx="338">
                  <c:v>-45.200177118328291</c:v>
                </c:pt>
                <c:pt idx="339">
                  <c:v>-45.334819334823528</c:v>
                </c:pt>
                <c:pt idx="340">
                  <c:v>-45.468421136544336</c:v>
                </c:pt>
                <c:pt idx="341">
                  <c:v>-45.600998578149273</c:v>
                </c:pt>
                <c:pt idx="342">
                  <c:v>-45.732567353568463</c:v>
                </c:pt>
                <c:pt idx="343">
                  <c:v>-45.863142806385795</c:v>
                </c:pt>
                <c:pt idx="344">
                  <c:v>-45.992739939867192</c:v>
                </c:pt>
                <c:pt idx="345">
                  <c:v>-46.121373426647793</c:v>
                </c:pt>
                <c:pt idx="346">
                  <c:v>-46.249057618091626</c:v>
                </c:pt>
                <c:pt idx="347">
                  <c:v>-46.375806553335849</c:v>
                </c:pt>
                <c:pt idx="348">
                  <c:v>-46.50163396803169</c:v>
                </c:pt>
                <c:pt idx="349">
                  <c:v>-46.626553302793525</c:v>
                </c:pt>
                <c:pt idx="350">
                  <c:v>-46.750577711367029</c:v>
                </c:pt>
                <c:pt idx="351">
                  <c:v>-46.873720068527113</c:v>
                </c:pt>
                <c:pt idx="352">
                  <c:v>-46.995992977715623</c:v>
                </c:pt>
                <c:pt idx="353">
                  <c:v>-47.117408778428604</c:v>
                </c:pt>
                <c:pt idx="354">
                  <c:v>-47.23797955336245</c:v>
                </c:pt>
                <c:pt idx="355">
                  <c:v>-47.357717135327903</c:v>
                </c:pt>
                <c:pt idx="356">
                  <c:v>-47.476633113940416</c:v>
                </c:pt>
                <c:pt idx="357">
                  <c:v>-47.594738842095268</c:v>
                </c:pt>
                <c:pt idx="358">
                  <c:v>-47.712045442235194</c:v>
                </c:pt>
                <c:pt idx="359">
                  <c:v>-47.828563812418246</c:v>
                </c:pt>
                <c:pt idx="360">
                  <c:v>-47.944304632193031</c:v>
                </c:pt>
                <c:pt idx="361">
                  <c:v>-48.059278368288531</c:v>
                </c:pt>
                <c:pt idx="362">
                  <c:v>-48.173495280124989</c:v>
                </c:pt>
                <c:pt idx="363">
                  <c:v>-48.286965425152559</c:v>
                </c:pt>
                <c:pt idx="364">
                  <c:v>-48.399698664023639</c:v>
                </c:pt>
                <c:pt idx="365">
                  <c:v>-48.511704665605144</c:v>
                </c:pt>
                <c:pt idx="366">
                  <c:v>-48.622992911836064</c:v>
                </c:pt>
                <c:pt idx="367">
                  <c:v>-48.733572702436206</c:v>
                </c:pt>
                <c:pt idx="368">
                  <c:v>-48.843453159471082</c:v>
                </c:pt>
                <c:pt idx="369">
                  <c:v>-48.952643231778111</c:v>
                </c:pt>
                <c:pt idx="370">
                  <c:v>-49.061151699259007</c:v>
                </c:pt>
                <c:pt idx="371">
                  <c:v>-49.168987177043057</c:v>
                </c:pt>
                <c:pt idx="372">
                  <c:v>-49.276158119525718</c:v>
                </c:pt>
                <c:pt idx="373">
                  <c:v>-49.382672824286928</c:v>
                </c:pt>
                <c:pt idx="374">
                  <c:v>-49.488539435893131</c:v>
                </c:pt>
                <c:pt idx="375">
                  <c:v>-49.593765949587308</c:v>
                </c:pt>
                <c:pt idx="376">
                  <c:v>-49.698360214870469</c:v>
                </c:pt>
                <c:pt idx="377">
                  <c:v>-49.802329938978652</c:v>
                </c:pt>
                <c:pt idx="378">
                  <c:v>-49.905682690258715</c:v>
                </c:pt>
                <c:pt idx="379">
                  <c:v>-50.008425901446515</c:v>
                </c:pt>
                <c:pt idx="380">
                  <c:v>-50.110566872850654</c:v>
                </c:pt>
                <c:pt idx="381">
                  <c:v>-50.212112775445028</c:v>
                </c:pt>
                <c:pt idx="382">
                  <c:v>-50.313070653873162</c:v>
                </c:pt>
                <c:pt idx="383">
                  <c:v>-50.413447429367295</c:v>
                </c:pt>
                <c:pt idx="384">
                  <c:v>-50.513249902585017</c:v>
                </c:pt>
                <c:pt idx="385">
                  <c:v>-50.61248475636625</c:v>
                </c:pt>
                <c:pt idx="386">
                  <c:v>-50.71115855841299</c:v>
                </c:pt>
                <c:pt idx="387">
                  <c:v>-50.809277763894592</c:v>
                </c:pt>
                <c:pt idx="388">
                  <c:v>-50.906848717980822</c:v>
                </c:pt>
                <c:pt idx="389">
                  <c:v>-51.003877658305086</c:v>
                </c:pt>
                <c:pt idx="390">
                  <c:v>-51.1003707173601</c:v>
                </c:pt>
                <c:pt idx="391">
                  <c:v>-51.196333924828117</c:v>
                </c:pt>
                <c:pt idx="392">
                  <c:v>-51.291773209847875</c:v>
                </c:pt>
                <c:pt idx="393">
                  <c:v>-51.386694403220233</c:v>
                </c:pt>
                <c:pt idx="394">
                  <c:v>-51.481103239554393</c:v>
                </c:pt>
                <c:pt idx="395">
                  <c:v>-51.57500535935668</c:v>
                </c:pt>
                <c:pt idx="396">
                  <c:v>-51.668406311063649</c:v>
                </c:pt>
                <c:pt idx="397">
                  <c:v>-51.761311553021194</c:v>
                </c:pt>
                <c:pt idx="398">
                  <c:v>-51.853726455411426</c:v>
                </c:pt>
                <c:pt idx="399">
                  <c:v>-51.945656302128882</c:v>
                </c:pt>
                <c:pt idx="400">
                  <c:v>-52.037106292607717</c:v>
                </c:pt>
                <c:pt idx="401">
                  <c:v>-52.128081543601176</c:v>
                </c:pt>
                <c:pt idx="402">
                  <c:v>-52.218587090915143</c:v>
                </c:pt>
                <c:pt idx="403">
                  <c:v>-52.308627891096798</c:v>
                </c:pt>
                <c:pt idx="404">
                  <c:v>-52.398208823080026</c:v>
                </c:pt>
                <c:pt idx="405">
                  <c:v>-52.487334689788696</c:v>
                </c:pt>
                <c:pt idx="406">
                  <c:v>-52.576010219699249</c:v>
                </c:pt>
                <c:pt idx="407">
                  <c:v>-52.664240068363632</c:v>
                </c:pt>
                <c:pt idx="408">
                  <c:v>-52.752028819893901</c:v>
                </c:pt>
                <c:pt idx="409">
                  <c:v>-52.839380988409566</c:v>
                </c:pt>
                <c:pt idx="410">
                  <c:v>-52.926301019448758</c:v>
                </c:pt>
                <c:pt idx="411">
                  <c:v>-53.012793291344366</c:v>
                </c:pt>
                <c:pt idx="412">
                  <c:v>-53.09886211656611</c:v>
                </c:pt>
                <c:pt idx="413">
                  <c:v>-53.184511743029518</c:v>
                </c:pt>
                <c:pt idx="414">
                  <c:v>-53.269746355372824</c:v>
                </c:pt>
                <c:pt idx="415">
                  <c:v>-53.354570076202734</c:v>
                </c:pt>
                <c:pt idx="416">
                  <c:v>-53.438986967309845</c:v>
                </c:pt>
                <c:pt idx="417">
                  <c:v>-53.523001030854715</c:v>
                </c:pt>
                <c:pt idx="418">
                  <c:v>-53.606616210525353</c:v>
                </c:pt>
                <c:pt idx="419">
                  <c:v>-53.689836392666948</c:v>
                </c:pt>
                <c:pt idx="420">
                  <c:v>-53.772665407384636</c:v>
                </c:pt>
                <c:pt idx="421">
                  <c:v>-53.855107029620079</c:v>
                </c:pt>
                <c:pt idx="422">
                  <c:v>-53.937164980202546</c:v>
                </c:pt>
                <c:pt idx="423">
                  <c:v>-54.018842926875259</c:v>
                </c:pt>
                <c:pt idx="424">
                  <c:v>-54.100144485297619</c:v>
                </c:pt>
                <c:pt idx="425">
                  <c:v>-54.18107322002416</c:v>
                </c:pt>
                <c:pt idx="426">
                  <c:v>-54.261632645460551</c:v>
                </c:pt>
                <c:pt idx="427">
                  <c:v>-54.341826226797679</c:v>
                </c:pt>
                <c:pt idx="428">
                  <c:v>-54.421657380924046</c:v>
                </c:pt>
                <c:pt idx="429">
                  <c:v>-54.501129477317306</c:v>
                </c:pt>
                <c:pt idx="430">
                  <c:v>-54.580245838915459</c:v>
                </c:pt>
                <c:pt idx="431">
                  <c:v>-54.659009742968145</c:v>
                </c:pt>
                <c:pt idx="432">
                  <c:v>-54.737424421868752</c:v>
                </c:pt>
                <c:pt idx="433">
                  <c:v>-54.815493063967658</c:v>
                </c:pt>
                <c:pt idx="434">
                  <c:v>-54.893218814367309</c:v>
                </c:pt>
                <c:pt idx="435">
                  <c:v>-54.970604775699464</c:v>
                </c:pt>
                <c:pt idx="436">
                  <c:v>-55.047654008885118</c:v>
                </c:pt>
                <c:pt idx="437">
                  <c:v>-55.124369533877626</c:v>
                </c:pt>
                <c:pt idx="438">
                  <c:v>-55.200754330389408</c:v>
                </c:pt>
                <c:pt idx="439">
                  <c:v>-55.27681133860262</c:v>
                </c:pt>
                <c:pt idx="440">
                  <c:v>-55.352543459864364</c:v>
                </c:pt>
                <c:pt idx="441">
                  <c:v>-55.427953557366642</c:v>
                </c:pt>
                <c:pt idx="442">
                  <c:v>-55.503044456811622</c:v>
                </c:pt>
                <c:pt idx="443">
                  <c:v>-55.577818947062482</c:v>
                </c:pt>
                <c:pt idx="444">
                  <c:v>-55.652279780780241</c:v>
                </c:pt>
                <c:pt idx="445">
                  <c:v>-55.72642967504693</c:v>
                </c:pt>
                <c:pt idx="446">
                  <c:v>-55.800271311975521</c:v>
                </c:pt>
                <c:pt idx="447">
                  <c:v>-55.873807339306737</c:v>
                </c:pt>
                <c:pt idx="448">
                  <c:v>-55.947040370993399</c:v>
                </c:pt>
                <c:pt idx="449">
                  <c:v>-56.019972987772306</c:v>
                </c:pt>
                <c:pt idx="450">
                  <c:v>-56.092607737724137</c:v>
                </c:pt>
                <c:pt idx="451">
                  <c:v>-56.164947136821759</c:v>
                </c:pt>
                <c:pt idx="452">
                  <c:v>-56.236993669466841</c:v>
                </c:pt>
                <c:pt idx="453">
                  <c:v>-56.308749789015607</c:v>
                </c:pt>
                <c:pt idx="454">
                  <c:v>-56.38021791829356</c:v>
                </c:pt>
                <c:pt idx="455">
                  <c:v>-56.451400450099655</c:v>
                </c:pt>
                <c:pt idx="456">
                  <c:v>-56.522299747700089</c:v>
                </c:pt>
                <c:pt idx="457">
                  <c:v>-56.592918145312119</c:v>
                </c:pt>
                <c:pt idx="458">
                  <c:v>-56.663257948577865</c:v>
                </c:pt>
                <c:pt idx="459">
                  <c:v>-56.733321435028643</c:v>
                </c:pt>
                <c:pt idx="460">
                  <c:v>-56.803110854539881</c:v>
                </c:pt>
                <c:pt idx="461">
                  <c:v>-56.872628429776881</c:v>
                </c:pt>
                <c:pt idx="462">
                  <c:v>-56.941876356631639</c:v>
                </c:pt>
                <c:pt idx="463">
                  <c:v>-57.010856804650984</c:v>
                </c:pt>
                <c:pt idx="464">
                  <c:v>-57.079571917456178</c:v>
                </c:pt>
                <c:pt idx="465">
                  <c:v>-57.148023813154239</c:v>
                </c:pt>
                <c:pt idx="466">
                  <c:v>-57.216214584741103</c:v>
                </c:pt>
                <c:pt idx="467">
                  <c:v>-57.2841463004969</c:v>
                </c:pt>
                <c:pt idx="468">
                  <c:v>-57.351821004373498</c:v>
                </c:pt>
                <c:pt idx="469">
                  <c:v>-57.41924071637446</c:v>
                </c:pt>
                <c:pt idx="470">
                  <c:v>-57.48640743292767</c:v>
                </c:pt>
                <c:pt idx="471">
                  <c:v>-57.553323127250664</c:v>
                </c:pt>
                <c:pt idx="472">
                  <c:v>-57.619989749709013</c:v>
                </c:pt>
                <c:pt idx="473">
                  <c:v>-57.686409228167797</c:v>
                </c:pt>
                <c:pt idx="474">
                  <c:v>-57.752583468336269</c:v>
                </c:pt>
                <c:pt idx="475">
                  <c:v>-57.818514354106071</c:v>
                </c:pt>
                <c:pt idx="476">
                  <c:v>-57.884203747882978</c:v>
                </c:pt>
                <c:pt idx="477">
                  <c:v>-57.94965349091234</c:v>
                </c:pt>
                <c:pt idx="478">
                  <c:v>-58.014865403598399</c:v>
                </c:pt>
                <c:pt idx="479">
                  <c:v>-58.079841285817679</c:v>
                </c:pt>
                <c:pt idx="480">
                  <c:v>-58.144582917226373</c:v>
                </c:pt>
                <c:pt idx="481">
                  <c:v>-58.209092057562124</c:v>
                </c:pt>
                <c:pt idx="482">
                  <c:v>-58.273370446940177</c:v>
                </c:pt>
                <c:pt idx="483">
                  <c:v>-58.33741980614397</c:v>
                </c:pt>
                <c:pt idx="484">
                  <c:v>-58.401241836910472</c:v>
                </c:pt>
                <c:pt idx="485">
                  <c:v>-58.464838222210233</c:v>
                </c:pt>
                <c:pt idx="486">
                  <c:v>-58.528210626522259</c:v>
                </c:pt>
                <c:pt idx="487">
                  <c:v>-58.591360696103969</c:v>
                </c:pt>
                <c:pt idx="488">
                  <c:v>-58.654290059256191</c:v>
                </c:pt>
                <c:pt idx="489">
                  <c:v>-58.717000326583303</c:v>
                </c:pt>
                <c:pt idx="490">
                  <c:v>-58.779493091248831</c:v>
                </c:pt>
                <c:pt idx="491">
                  <c:v>-58.841769929226288</c:v>
                </c:pt>
                <c:pt idx="492">
                  <c:v>-58.903832399545628</c:v>
                </c:pt>
                <c:pt idx="493">
                  <c:v>-58.965682044535228</c:v>
                </c:pt>
                <c:pt idx="494">
                  <c:v>-59.027320390059622</c:v>
                </c:pt>
                <c:pt idx="495">
                  <c:v>-59.088748945753018</c:v>
                </c:pt>
                <c:pt idx="496">
                  <c:v>-59.149969205248603</c:v>
                </c:pt>
                <c:pt idx="497">
                  <c:v>-59.210982646403892</c:v>
                </c:pt>
                <c:pt idx="498">
                  <c:v>-59.271790731522167</c:v>
                </c:pt>
                <c:pt idx="499">
                  <c:v>-59.332394907569878</c:v>
                </c:pt>
                <c:pt idx="500">
                  <c:v>-59.392796606390455</c:v>
                </c:pt>
                <c:pt idx="501">
                  <c:v>-59.452997244914272</c:v>
                </c:pt>
                <c:pt idx="502">
                  <c:v>-59.512998225364981</c:v>
                </c:pt>
                <c:pt idx="503">
                  <c:v>-59.572800935462382</c:v>
                </c:pt>
                <c:pt idx="504">
                  <c:v>-59.632406748621712</c:v>
                </c:pt>
                <c:pt idx="505">
                  <c:v>-59.691817024149579</c:v>
                </c:pt>
                <c:pt idx="506">
                  <c:v>-59.751033107436484</c:v>
                </c:pt>
                <c:pt idx="507">
                  <c:v>-59.810056330146196</c:v>
                </c:pt>
                <c:pt idx="508">
                  <c:v>-59.868888010401733</c:v>
                </c:pt>
                <c:pt idx="509">
                  <c:v>-59.927529452968365</c:v>
                </c:pt>
                <c:pt idx="510">
                  <c:v>-59.985981949433437</c:v>
                </c:pt>
                <c:pt idx="511">
                  <c:v>-60.044246778383211</c:v>
                </c:pt>
                <c:pt idx="512">
                  <c:v>-60.102325205576761</c:v>
                </c:pt>
                <c:pt idx="513">
                  <c:v>-60.160218484116925</c:v>
                </c:pt>
                <c:pt idx="514">
                  <c:v>-60.217927854618445</c:v>
                </c:pt>
                <c:pt idx="515">
                  <c:v>-60.275454545373357</c:v>
                </c:pt>
                <c:pt idx="516">
                  <c:v>-60.332799772513539</c:v>
                </c:pt>
                <c:pt idx="517">
                  <c:v>-60.389964740170711</c:v>
                </c:pt>
                <c:pt idx="518">
                  <c:v>-60.446950640633744</c:v>
                </c:pt>
                <c:pt idx="519">
                  <c:v>-60.503758654503386</c:v>
                </c:pt>
                <c:pt idx="520">
                  <c:v>-60.560389950844552</c:v>
                </c:pt>
                <c:pt idx="521">
                  <c:v>-60.61684568733596</c:v>
                </c:pt>
                <c:pt idx="522">
                  <c:v>-60.673127010417602</c:v>
                </c:pt>
                <c:pt idx="523">
                  <c:v>-60.729235055435574</c:v>
                </c:pt>
                <c:pt idx="524">
                  <c:v>-60.785170946784802</c:v>
                </c:pt>
                <c:pt idx="525">
                  <c:v>-60.840935798049259</c:v>
                </c:pt>
                <c:pt idx="526">
                  <c:v>-60.896530712140155</c:v>
                </c:pt>
                <c:pt idx="527">
                  <c:v>-60.951956781431782</c:v>
                </c:pt>
                <c:pt idx="528">
                  <c:v>-61.007215087895233</c:v>
                </c:pt>
                <c:pt idx="529">
                  <c:v>-61.06230670323005</c:v>
                </c:pt>
                <c:pt idx="530">
                  <c:v>-61.117232688993724</c:v>
                </c:pt>
                <c:pt idx="531">
                  <c:v>-61.171994096729215</c:v>
                </c:pt>
                <c:pt idx="532">
                  <c:v>-61.22659196809046</c:v>
                </c:pt>
                <c:pt idx="533">
                  <c:v>-61.281027334965863</c:v>
                </c:pt>
                <c:pt idx="534">
                  <c:v>-61.335301219599955</c:v>
                </c:pt>
                <c:pt idx="535">
                  <c:v>-61.389414634713077</c:v>
                </c:pt>
                <c:pt idx="536">
                  <c:v>-61.443368583619282</c:v>
                </c:pt>
                <c:pt idx="537">
                  <c:v>-61.497164060342364</c:v>
                </c:pt>
                <c:pt idx="538">
                  <c:v>-61.550802049730095</c:v>
                </c:pt>
                <c:pt idx="539">
                  <c:v>-61.604283527566757</c:v>
                </c:pt>
                <c:pt idx="540">
                  <c:v>-61.657609460683943</c:v>
                </c:pt>
                <c:pt idx="541">
                  <c:v>-61.710780807069582</c:v>
                </c:pt>
                <c:pt idx="542">
                  <c:v>-61.763798515975459</c:v>
                </c:pt>
                <c:pt idx="543">
                  <c:v>-61.816663528022971</c:v>
                </c:pt>
                <c:pt idx="544">
                  <c:v>-61.869376775307359</c:v>
                </c:pt>
                <c:pt idx="545">
                  <c:v>-61.921939181500292</c:v>
                </c:pt>
                <c:pt idx="546">
                  <c:v>-61.974351661951054</c:v>
                </c:pt>
                <c:pt idx="547">
                  <c:v>-62.026615123786002</c:v>
                </c:pt>
                <c:pt idx="548">
                  <c:v>-62.07873046600681</c:v>
                </c:pt>
                <c:pt idx="549">
                  <c:v>-62.130698579586941</c:v>
                </c:pt>
                <c:pt idx="550">
                  <c:v>-62.182520347566978</c:v>
                </c:pt>
                <c:pt idx="551">
                  <c:v>-62.23419664514833</c:v>
                </c:pt>
                <c:pt idx="552">
                  <c:v>-62.28572833978567</c:v>
                </c:pt>
                <c:pt idx="553">
                  <c:v>-62.337116291277965</c:v>
                </c:pt>
                <c:pt idx="554">
                  <c:v>-62.388361351858208</c:v>
                </c:pt>
                <c:pt idx="555">
                  <c:v>-62.43946436628179</c:v>
                </c:pt>
                <c:pt idx="556">
                  <c:v>-62.490426171913626</c:v>
                </c:pt>
                <c:pt idx="557">
                  <c:v>-62.541247598813939</c:v>
                </c:pt>
                <c:pt idx="558">
                  <c:v>-62.591929469822993</c:v>
                </c:pt>
                <c:pt idx="559">
                  <c:v>-62.642472600644297</c:v>
                </c:pt>
                <c:pt idx="560">
                  <c:v>-62.692877799926883</c:v>
                </c:pt>
                <c:pt idx="561">
                  <c:v>-62.743145869346264</c:v>
                </c:pt>
                <c:pt idx="562">
                  <c:v>-62.793277603684274</c:v>
                </c:pt>
                <c:pt idx="563">
                  <c:v>-62.843273790907723</c:v>
                </c:pt>
                <c:pt idx="564">
                  <c:v>-62.893135212246008</c:v>
                </c:pt>
                <c:pt idx="565">
                  <c:v>-62.942862642267563</c:v>
                </c:pt>
                <c:pt idx="566">
                  <c:v>-62.992456848955207</c:v>
                </c:pt>
                <c:pt idx="567">
                  <c:v>-63.041918593780501</c:v>
                </c:pt>
                <c:pt idx="568">
                  <c:v>-63.091248631776978</c:v>
                </c:pt>
                <c:pt idx="569">
                  <c:v>-63.140447711612431</c:v>
                </c:pt>
                <c:pt idx="570">
                  <c:v>-63.1895165756601</c:v>
                </c:pt>
                <c:pt idx="571">
                  <c:v>-63.238455960068904</c:v>
                </c:pt>
                <c:pt idx="572">
                  <c:v>-63.287266594832715</c:v>
                </c:pt>
                <c:pt idx="573">
                  <c:v>-63.335949203858625</c:v>
                </c:pt>
                <c:pt idx="574">
                  <c:v>-63.384504505034315</c:v>
                </c:pt>
                <c:pt idx="575">
                  <c:v>-63.432933210294458</c:v>
                </c:pt>
                <c:pt idx="576">
                  <c:v>-63.481236025686201</c:v>
                </c:pt>
                <c:pt idx="577">
                  <c:v>-63.529413651433792</c:v>
                </c:pt>
                <c:pt idx="578">
                  <c:v>-63.577466782002261</c:v>
                </c:pt>
                <c:pt idx="579">
                  <c:v>-63.625396106160316</c:v>
                </c:pt>
                <c:pt idx="580">
                  <c:v>-63.67320230704226</c:v>
                </c:pt>
                <c:pt idx="581">
                  <c:v>-63.720886062209196</c:v>
                </c:pt>
                <c:pt idx="582">
                  <c:v>-63.768448043709299</c:v>
                </c:pt>
                <c:pt idx="583">
                  <c:v>-63.815888918137354</c:v>
                </c:pt>
                <c:pt idx="584">
                  <c:v>-63.863209346693417</c:v>
                </c:pt>
                <c:pt idx="585">
                  <c:v>-63.910409985240754</c:v>
                </c:pt>
                <c:pt idx="586">
                  <c:v>-63.957491484362954</c:v>
                </c:pt>
                <c:pt idx="587">
                  <c:v>-64.004454489420311</c:v>
                </c:pt>
                <c:pt idx="588">
                  <c:v>-64.051299640605436</c:v>
                </c:pt>
                <c:pt idx="589">
                  <c:v>-64.09802757299812</c:v>
                </c:pt>
                <c:pt idx="590">
                  <c:v>-64.144638916619527</c:v>
                </c:pt>
                <c:pt idx="591">
                  <c:v>-64.191134296485572</c:v>
                </c:pt>
                <c:pt idx="592">
                  <c:v>-64.237514332659686</c:v>
                </c:pt>
                <c:pt idx="593">
                  <c:v>-64.283779640304843</c:v>
                </c:pt>
                <c:pt idx="594">
                  <c:v>-64.329930829734892</c:v>
                </c:pt>
                <c:pt idx="595">
                  <c:v>-64.37596850646527</c:v>
                </c:pt>
                <c:pt idx="596">
                  <c:v>-64.421893271263016</c:v>
                </c:pt>
                <c:pt idx="597">
                  <c:v>-64.467705720196093</c:v>
                </c:pt>
                <c:pt idx="598">
                  <c:v>-64.513406444682161</c:v>
                </c:pt>
                <c:pt idx="599">
                  <c:v>-64.558996031536665</c:v>
                </c:pt>
                <c:pt idx="600">
                  <c:v>-64.604475063020274</c:v>
                </c:pt>
                <c:pt idx="601">
                  <c:v>-64.649844116885788</c:v>
                </c:pt>
                <c:pt idx="602">
                  <c:v>-64.69510376642441</c:v>
                </c:pt>
                <c:pt idx="603">
                  <c:v>-64.740254580511277</c:v>
                </c:pt>
                <c:pt idx="604">
                  <c:v>-64.78529712365075</c:v>
                </c:pt>
                <c:pt idx="605">
                  <c:v>-64.830231956020796</c:v>
                </c:pt>
                <c:pt idx="606">
                  <c:v>-66.950881332144661</c:v>
                </c:pt>
                <c:pt idx="607">
                  <c:v>-68.86017358128322</c:v>
                </c:pt>
                <c:pt idx="608">
                  <c:v>-70.599724545479916</c:v>
                </c:pt>
                <c:pt idx="609">
                  <c:v>-72.200056924650141</c:v>
                </c:pt>
                <c:pt idx="610">
                  <c:v>-73.684195782849415</c:v>
                </c:pt>
                <c:pt idx="611">
                  <c:v>-75.069916078041842</c:v>
                </c:pt>
                <c:pt idx="612">
                  <c:v>-76.371207387952609</c:v>
                </c:pt>
                <c:pt idx="613">
                  <c:v>-77.599262279593788</c:v>
                </c:pt>
                <c:pt idx="614">
                  <c:v>-78.763163188273012</c:v>
                </c:pt>
                <c:pt idx="615">
                  <c:v>-79.870371976676822</c:v>
                </c:pt>
                <c:pt idx="616">
                  <c:v>-80.927086558348336</c:v>
                </c:pt>
                <c:pt idx="617">
                  <c:v>-81.938505670173939</c:v>
                </c:pt>
                <c:pt idx="618">
                  <c:v>-82.330181024315209</c:v>
                </c:pt>
                <c:pt idx="619">
                  <c:v>-82.715582964889762</c:v>
                </c:pt>
                <c:pt idx="620">
                  <c:v>-83.094948832374968</c:v>
                </c:pt>
                <c:pt idx="621">
                  <c:v>-83.468501802981606</c:v>
                </c:pt>
                <c:pt idx="622">
                  <c:v>-83.836451975384151</c:v>
                </c:pt>
                <c:pt idx="623">
                  <c:v>-84.198997357863291</c:v>
                </c:pt>
                <c:pt idx="624">
                  <c:v>-84.556324766504943</c:v>
                </c:pt>
                <c:pt idx="625">
                  <c:v>-84.908610643793452</c:v>
                </c:pt>
                <c:pt idx="626">
                  <c:v>-85.256021805809098</c:v>
                </c:pt>
                <c:pt idx="627">
                  <c:v>-85.59871612526922</c:v>
                </c:pt>
                <c:pt idx="628">
                  <c:v>-85.936843156808479</c:v>
                </c:pt>
                <c:pt idx="629">
                  <c:v>-86.270544710163392</c:v>
                </c:pt>
                <c:pt idx="630">
                  <c:v>-86.599955376288761</c:v>
                </c:pt>
                <c:pt idx="631">
                  <c:v>-86.925203010878306</c:v>
                </c:pt>
                <c:pt idx="632">
                  <c:v>-87.246409179275091</c:v>
                </c:pt>
                <c:pt idx="633">
                  <c:v>-87.563689566331377</c:v>
                </c:pt>
                <c:pt idx="634">
                  <c:v>-87.877154354402052</c:v>
                </c:pt>
                <c:pt idx="635">
                  <c:v>-88.186908572326374</c:v>
                </c:pt>
                <c:pt idx="636">
                  <c:v>-88.493052417960669</c:v>
                </c:pt>
                <c:pt idx="637">
                  <c:v>-88.795681556567274</c:v>
                </c:pt>
                <c:pt idx="638">
                  <c:v>-89.09488739713629</c:v>
                </c:pt>
                <c:pt idx="639">
                  <c:v>-89.390757348513745</c:v>
                </c:pt>
                <c:pt idx="640">
                  <c:v>-89.683375057029679</c:v>
                </c:pt>
                <c:pt idx="641">
                  <c:v>-89.972820627158001</c:v>
                </c:pt>
                <c:pt idx="642">
                  <c:v>-90.259170826597341</c:v>
                </c:pt>
                <c:pt idx="643">
                  <c:v>-90.54249927703232</c:v>
                </c:pt>
                <c:pt idx="644">
                  <c:v>-90.822876631720987</c:v>
                </c:pt>
                <c:pt idx="645">
                  <c:v>-91.100370740949842</c:v>
                </c:pt>
                <c:pt idx="646">
                  <c:v>-91.375046806305363</c:v>
                </c:pt>
                <c:pt idx="647">
                  <c:v>-91.646967524627598</c:v>
                </c:pt>
                <c:pt idx="648">
                  <c:v>-91.916193222435851</c:v>
                </c:pt>
                <c:pt idx="649">
                  <c:v>-92.182781981548771</c:v>
                </c:pt>
                <c:pt idx="650">
                  <c:v>-92.446789756559326</c:v>
                </c:pt>
                <c:pt idx="651">
                  <c:v>-92.708270484770182</c:v>
                </c:pt>
                <c:pt idx="652">
                  <c:v>-92.967276189143959</c:v>
                </c:pt>
                <c:pt idx="653">
                  <c:v>-93.223857074777655</c:v>
                </c:pt>
                <c:pt idx="654">
                  <c:v>-93.478061619368944</c:v>
                </c:pt>
                <c:pt idx="655">
                  <c:v>-93.729936658103895</c:v>
                </c:pt>
                <c:pt idx="656">
                  <c:v>-93.979527463361904</c:v>
                </c:pt>
                <c:pt idx="657">
                  <c:v>-94.226877819601981</c:v>
                </c:pt>
                <c:pt idx="658">
                  <c:v>-94.472030093765909</c:v>
                </c:pt>
                <c:pt idx="659">
                  <c:v>-94.715025301508078</c:v>
                </c:pt>
                <c:pt idx="660">
                  <c:v>-94.955903169537308</c:v>
                </c:pt>
                <c:pt idx="661">
                  <c:v>-95.194702194335079</c:v>
                </c:pt>
                <c:pt idx="662">
                  <c:v>-95.431459697493537</c:v>
                </c:pt>
                <c:pt idx="663">
                  <c:v>-95.666211877899471</c:v>
                </c:pt>
                <c:pt idx="664">
                  <c:v>-95.898993860972439</c:v>
                </c:pt>
                <c:pt idx="665">
                  <c:v>-96.129839745151159</c:v>
                </c:pt>
                <c:pt idx="666">
                  <c:v>-96.358782645806755</c:v>
                </c:pt>
                <c:pt idx="667">
                  <c:v>-96.585854736749582</c:v>
                </c:pt>
              </c:numCache>
            </c:numRef>
          </c:yVal>
          <c:smooth val="1"/>
          <c:extLst>
            <c:ext xmlns:c16="http://schemas.microsoft.com/office/drawing/2014/chart" uri="{C3380CC4-5D6E-409C-BE32-E72D297353CC}">
              <c16:uniqueId val="{00000000-BED3-43CF-9D4A-81AF6A44D307}"/>
            </c:ext>
          </c:extLst>
        </c:ser>
        <c:ser>
          <c:idx val="5"/>
          <c:order val="2"/>
          <c:tx>
            <c:v>LC Double Pole</c:v>
          </c:tx>
          <c:spPr>
            <a:ln w="28575">
              <a:solidFill>
                <a:schemeClr val="tx1"/>
              </a:solidFill>
            </a:ln>
          </c:spPr>
          <c:marker>
            <c:symbol val="x"/>
            <c:size val="8"/>
            <c:spPr>
              <a:noFill/>
              <a:ln w="22225">
                <a:solidFill>
                  <a:schemeClr val="tx1"/>
                </a:solidFill>
              </a:ln>
            </c:spPr>
          </c:marker>
          <c:dLbls>
            <c:dLbl>
              <c:idx val="0"/>
              <c:layout>
                <c:manualLayout>
                  <c:x val="5.9616632195422774E-3"/>
                  <c:y val="0"/>
                </c:manualLayout>
              </c:layout>
              <c:dLblPos val="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BED3-43CF-9D4A-81AF6A44D307}"/>
                </c:ext>
              </c:extLst>
            </c:dLbl>
            <c:spPr>
              <a:noFill/>
              <a:ln w="25400">
                <a:noFill/>
              </a:ln>
            </c:spPr>
            <c:txPr>
              <a:bodyPr rot="0"/>
              <a:lstStyle/>
              <a:p>
                <a:pPr algn="ctr" rtl="0">
                  <a:defRPr sz="1000" b="1" i="0" u="none" strike="noStrike" baseline="0">
                    <a:solidFill>
                      <a:srgbClr val="000000"/>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Calculations'!$B$683</c:f>
              <c:numCache>
                <c:formatCode>General</c:formatCode>
                <c:ptCount val="1"/>
                <c:pt idx="0">
                  <c:v>4.8514458215256937</c:v>
                </c:pt>
              </c:numCache>
            </c:numRef>
          </c:xVal>
          <c:yVal>
            <c:numRef>
              <c:f>'Bode Plots Calculations'!$BF$683</c:f>
              <c:numCache>
                <c:formatCode>General</c:formatCode>
                <c:ptCount val="1"/>
                <c:pt idx="0">
                  <c:v>28.916384856556263</c:v>
                </c:pt>
              </c:numCache>
            </c:numRef>
          </c:yVal>
          <c:smooth val="1"/>
          <c:extLst>
            <c:ext xmlns:c16="http://schemas.microsoft.com/office/drawing/2014/chart" uri="{C3380CC4-5D6E-409C-BE32-E72D297353CC}">
              <c16:uniqueId val="{00000002-BED3-43CF-9D4A-81AF6A44D307}"/>
            </c:ext>
          </c:extLst>
        </c:ser>
        <c:ser>
          <c:idx val="6"/>
          <c:order val="3"/>
          <c:tx>
            <c:v>Fz1</c:v>
          </c:tx>
          <c:spPr>
            <a:ln w="28575">
              <a:noFill/>
            </a:ln>
          </c:spPr>
          <c:marker>
            <c:symbol val="circle"/>
            <c:size val="8"/>
            <c:spPr>
              <a:noFill/>
              <a:ln w="19050">
                <a:solidFill>
                  <a:srgbClr val="000000"/>
                </a:solidFill>
                <a:prstDash val="solid"/>
              </a:ln>
            </c:spPr>
          </c:marker>
          <c:dLbls>
            <c:dLbl>
              <c:idx val="0"/>
              <c:tx>
                <c:rich>
                  <a:bodyPr/>
                  <a:lstStyle/>
                  <a:p>
                    <a:r>
                      <a:rPr lang="en-US">
                        <a:solidFill>
                          <a:srgbClr val="0000FF"/>
                        </a:solidFill>
                      </a:rPr>
                      <a:t>F</a:t>
                    </a:r>
                    <a:r>
                      <a:rPr lang="en-US" baseline="-25000"/>
                      <a:t>Z1</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Calculations'!$B$684</c:f>
              <c:numCache>
                <c:formatCode>General</c:formatCode>
                <c:ptCount val="1"/>
                <c:pt idx="0">
                  <c:v>2.3526229604398576</c:v>
                </c:pt>
              </c:numCache>
            </c:numRef>
          </c:xVal>
          <c:yVal>
            <c:numRef>
              <c:f>'Bode Plots Calculations'!$BF$684</c:f>
              <c:numCache>
                <c:formatCode>General</c:formatCode>
                <c:ptCount val="1"/>
                <c:pt idx="0">
                  <c:v>21.486556622067017</c:v>
                </c:pt>
              </c:numCache>
            </c:numRef>
          </c:yVal>
          <c:smooth val="1"/>
          <c:extLst>
            <c:ext xmlns:c16="http://schemas.microsoft.com/office/drawing/2014/chart" uri="{C3380CC4-5D6E-409C-BE32-E72D297353CC}">
              <c16:uniqueId val="{00000004-BED3-43CF-9D4A-81AF6A44D307}"/>
            </c:ext>
          </c:extLst>
        </c:ser>
        <c:ser>
          <c:idx val="7"/>
          <c:order val="4"/>
          <c:tx>
            <c:v>Fz2</c:v>
          </c:tx>
          <c:spPr>
            <a:ln w="28575">
              <a:noFill/>
            </a:ln>
          </c:spPr>
          <c:marker>
            <c:symbol val="circle"/>
            <c:size val="8"/>
            <c:spPr>
              <a:noFill/>
              <a:ln w="19050" cap="rnd">
                <a:solidFill>
                  <a:srgbClr val="000000"/>
                </a:solidFill>
                <a:prstDash val="solid"/>
                <a:round/>
              </a:ln>
            </c:spPr>
          </c:marker>
          <c:dLbls>
            <c:dLbl>
              <c:idx val="0"/>
              <c:tx>
                <c:rich>
                  <a:bodyPr/>
                  <a:lstStyle/>
                  <a:p>
                    <a:r>
                      <a:rPr lang="en-US">
                        <a:solidFill>
                          <a:srgbClr val="0000FF"/>
                        </a:solidFill>
                      </a:rPr>
                      <a:t>F</a:t>
                    </a:r>
                    <a:r>
                      <a:rPr lang="en-US" baseline="-25000"/>
                      <a:t>Z2</a:t>
                    </a:r>
                  </a:p>
                </c:rich>
              </c:tx>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Calculations'!$B$685</c:f>
              <c:numCache>
                <c:formatCode>General</c:formatCode>
                <c:ptCount val="1"/>
                <c:pt idx="0">
                  <c:v>5.1980842404388383</c:v>
                </c:pt>
              </c:numCache>
            </c:numRef>
          </c:xVal>
          <c:yVal>
            <c:numRef>
              <c:f>'Bode Plots Calculations'!$BF$685</c:f>
              <c:numCache>
                <c:formatCode>General</c:formatCode>
                <c:ptCount val="1"/>
                <c:pt idx="0">
                  <c:v>27.772278337993338</c:v>
                </c:pt>
              </c:numCache>
            </c:numRef>
          </c:yVal>
          <c:smooth val="1"/>
          <c:extLst>
            <c:ext xmlns:c16="http://schemas.microsoft.com/office/drawing/2014/chart" uri="{C3380CC4-5D6E-409C-BE32-E72D297353CC}">
              <c16:uniqueId val="{00000006-BED3-43CF-9D4A-81AF6A44D307}"/>
            </c:ext>
          </c:extLst>
        </c:ser>
        <c:ser>
          <c:idx val="8"/>
          <c:order val="5"/>
          <c:tx>
            <c:v>Fp1</c:v>
          </c:tx>
          <c:spPr>
            <a:ln w="28575">
              <a:noFill/>
            </a:ln>
          </c:spPr>
          <c:marker>
            <c:symbol val="x"/>
            <c:size val="8"/>
            <c:spPr>
              <a:noFill/>
              <a:ln w="22225">
                <a:solidFill>
                  <a:srgbClr val="000000"/>
                </a:solidFill>
                <a:prstDash val="solid"/>
              </a:ln>
            </c:spPr>
          </c:marker>
          <c:dLbls>
            <c:dLbl>
              <c:idx val="0"/>
              <c:tx>
                <c:rich>
                  <a:bodyPr/>
                  <a:lstStyle/>
                  <a:p>
                    <a:r>
                      <a:rPr lang="en-US">
                        <a:solidFill>
                          <a:srgbClr val="0000FF"/>
                        </a:solidFill>
                      </a:rPr>
                      <a:t>F</a:t>
                    </a:r>
                    <a:r>
                      <a:rPr lang="en-US" baseline="-25000"/>
                      <a:t>P1</a:t>
                    </a:r>
                  </a:p>
                </c:rich>
              </c:tx>
              <c:dLblPos val="r"/>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Calculations'!$B$686</c:f>
              <c:numCache>
                <c:formatCode>General</c:formatCode>
                <c:ptCount val="1"/>
                <c:pt idx="0">
                  <c:v>257.5322706695087</c:v>
                </c:pt>
              </c:numCache>
            </c:numRef>
          </c:xVal>
          <c:yVal>
            <c:numRef>
              <c:f>'Bode Plots Calculations'!$BF$686</c:f>
              <c:numCache>
                <c:formatCode>General</c:formatCode>
                <c:ptCount val="1"/>
                <c:pt idx="0">
                  <c:v>-27.866364605649672</c:v>
                </c:pt>
              </c:numCache>
            </c:numRef>
          </c:yVal>
          <c:smooth val="1"/>
          <c:extLst>
            <c:ext xmlns:c16="http://schemas.microsoft.com/office/drawing/2014/chart" uri="{C3380CC4-5D6E-409C-BE32-E72D297353CC}">
              <c16:uniqueId val="{00000008-BED3-43CF-9D4A-81AF6A44D307}"/>
            </c:ext>
          </c:extLst>
        </c:ser>
        <c:ser>
          <c:idx val="9"/>
          <c:order val="6"/>
          <c:tx>
            <c:v>Fp2</c:v>
          </c:tx>
          <c:spPr>
            <a:ln w="28575">
              <a:solidFill>
                <a:schemeClr val="tx1"/>
              </a:solidFill>
            </a:ln>
          </c:spPr>
          <c:marker>
            <c:symbol val="x"/>
            <c:size val="8"/>
            <c:spPr>
              <a:noFill/>
              <a:ln w="22225">
                <a:solidFill>
                  <a:schemeClr val="tx1"/>
                </a:solidFill>
              </a:ln>
            </c:spPr>
          </c:marker>
          <c:dLbls>
            <c:dLbl>
              <c:idx val="0"/>
              <c:tx>
                <c:rich>
                  <a:bodyPr/>
                  <a:lstStyle/>
                  <a:p>
                    <a:r>
                      <a:rPr lang="en-US">
                        <a:solidFill>
                          <a:srgbClr val="0000FF"/>
                        </a:solidFill>
                      </a:rPr>
                      <a:t>F</a:t>
                    </a:r>
                    <a:r>
                      <a:rPr lang="en-US" baseline="-25000"/>
                      <a:t>P2</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Calculations'!$B$687</c:f>
              <c:numCache>
                <c:formatCode>General</c:formatCode>
                <c:ptCount val="1"/>
                <c:pt idx="0">
                  <c:v>130.96267813115207</c:v>
                </c:pt>
              </c:numCache>
            </c:numRef>
          </c:xVal>
          <c:yVal>
            <c:numRef>
              <c:f>'Bode Plots Calculations'!$BF$687</c:f>
              <c:numCache>
                <c:formatCode>General</c:formatCode>
                <c:ptCount val="1"/>
                <c:pt idx="0">
                  <c:v>-16.648031354072764</c:v>
                </c:pt>
              </c:numCache>
            </c:numRef>
          </c:yVal>
          <c:smooth val="1"/>
          <c:extLst>
            <c:ext xmlns:c16="http://schemas.microsoft.com/office/drawing/2014/chart" uri="{C3380CC4-5D6E-409C-BE32-E72D297353CC}">
              <c16:uniqueId val="{0000000A-BED3-43CF-9D4A-81AF6A44D307}"/>
            </c:ext>
          </c:extLst>
        </c:ser>
        <c:ser>
          <c:idx val="4"/>
          <c:order val="7"/>
          <c:tx>
            <c:v>F_ESR</c:v>
          </c:tx>
          <c:spPr>
            <a:ln w="28575">
              <a:noFill/>
            </a:ln>
          </c:spPr>
          <c:marker>
            <c:symbol val="circle"/>
            <c:size val="8"/>
            <c:spPr>
              <a:noFill/>
              <a:ln w="19050">
                <a:solidFill>
                  <a:srgbClr val="000000"/>
                </a:solidFill>
                <a:prstDash val="solid"/>
              </a:ln>
            </c:spPr>
          </c:marker>
          <c:dLbls>
            <c:dLbl>
              <c:idx val="0"/>
              <c:tx>
                <c:rich>
                  <a:bodyPr/>
                  <a:lstStyle/>
                  <a:p>
                    <a:r>
                      <a:rPr lang="en-US" b="1"/>
                      <a:t>F</a:t>
                    </a:r>
                    <a:r>
                      <a:rPr lang="en-US" baseline="-25000"/>
                      <a:t>ESR</a:t>
                    </a:r>
                  </a:p>
                </c:rich>
              </c:tx>
              <c:dLblPos val="l"/>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B-BED3-43CF-9D4A-81AF6A44D307}"/>
                </c:ext>
              </c:extLst>
            </c:dLbl>
            <c:spPr>
              <a:noFill/>
              <a:ln w="25400">
                <a:noFill/>
              </a:ln>
            </c:spPr>
            <c:txPr>
              <a:bodyPr/>
              <a:lstStyle/>
              <a:p>
                <a:pPr>
                  <a:defRPr sz="1000" b="1" i="0" u="none" strike="noStrike" baseline="0">
                    <a:solidFill>
                      <a:srgbClr val="000000"/>
                    </a:solidFill>
                    <a:latin typeface="Arial"/>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Calculations'!$B$682</c:f>
              <c:numCache>
                <c:formatCode>General</c:formatCode>
                <c:ptCount val="1"/>
                <c:pt idx="0">
                  <c:v>241.1438534450854</c:v>
                </c:pt>
              </c:numCache>
            </c:numRef>
          </c:xVal>
          <c:yVal>
            <c:numRef>
              <c:f>'Bode Plots Calculations'!$BF$682</c:f>
              <c:numCache>
                <c:formatCode>General</c:formatCode>
                <c:ptCount val="1"/>
                <c:pt idx="0">
                  <c:v>-26.677039681179643</c:v>
                </c:pt>
              </c:numCache>
            </c:numRef>
          </c:yVal>
          <c:smooth val="1"/>
          <c:extLst>
            <c:ext xmlns:c16="http://schemas.microsoft.com/office/drawing/2014/chart" uri="{C3380CC4-5D6E-409C-BE32-E72D297353CC}">
              <c16:uniqueId val="{0000000C-BED3-43CF-9D4A-81AF6A44D307}"/>
            </c:ext>
          </c:extLst>
        </c:ser>
        <c:dLbls>
          <c:showLegendKey val="0"/>
          <c:showVal val="0"/>
          <c:showCatName val="0"/>
          <c:showSerName val="0"/>
          <c:showPercent val="0"/>
          <c:showBubbleSize val="0"/>
        </c:dLbls>
        <c:axId val="315151872"/>
        <c:axId val="315545856"/>
      </c:scatterChart>
      <c:scatterChart>
        <c:scatterStyle val="lineMarker"/>
        <c:varyColors val="0"/>
        <c:ser>
          <c:idx val="3"/>
          <c:order val="1"/>
          <c:tx>
            <c:v>Loop Phase</c:v>
          </c:tx>
          <c:spPr>
            <a:ln w="34925">
              <a:solidFill>
                <a:srgbClr val="002060"/>
              </a:solidFill>
              <a:prstDash val="sysDash"/>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Calculations'!$BG$9:$BG$676</c:f>
              <c:numCache>
                <c:formatCode>General</c:formatCode>
                <c:ptCount val="668"/>
                <c:pt idx="0">
                  <c:v>-59.228404207399414</c:v>
                </c:pt>
                <c:pt idx="1">
                  <c:v>-73.377650429428058</c:v>
                </c:pt>
                <c:pt idx="2">
                  <c:v>-78.693959670646592</c:v>
                </c:pt>
                <c:pt idx="3">
                  <c:v>-81.419010111383983</c:v>
                </c:pt>
                <c:pt idx="4">
                  <c:v>-83.061583342248227</c:v>
                </c:pt>
                <c:pt idx="5">
                  <c:v>-84.152950474468824</c:v>
                </c:pt>
                <c:pt idx="6">
                  <c:v>-84.926348385749634</c:v>
                </c:pt>
                <c:pt idx="7">
                  <c:v>-85.499908006274453</c:v>
                </c:pt>
                <c:pt idx="8">
                  <c:v>-85.939768448820857</c:v>
                </c:pt>
                <c:pt idx="9">
                  <c:v>-86.285813927175184</c:v>
                </c:pt>
                <c:pt idx="10">
                  <c:v>-87.67530906680777</c:v>
                </c:pt>
                <c:pt idx="11">
                  <c:v>-87.932159838521457</c:v>
                </c:pt>
                <c:pt idx="12">
                  <c:v>-87.905354633795696</c:v>
                </c:pt>
                <c:pt idx="13">
                  <c:v>-87.765065097209302</c:v>
                </c:pt>
                <c:pt idx="14">
                  <c:v>-87.568054452335346</c:v>
                </c:pt>
                <c:pt idx="15">
                  <c:v>-87.338661777955693</c:v>
                </c:pt>
                <c:pt idx="16">
                  <c:v>-87.089063453829326</c:v>
                </c:pt>
                <c:pt idx="17">
                  <c:v>-86.826029326382042</c:v>
                </c:pt>
                <c:pt idx="18">
                  <c:v>-86.55362569751793</c:v>
                </c:pt>
                <c:pt idx="19">
                  <c:v>-83.628876387116165</c:v>
                </c:pt>
                <c:pt idx="20">
                  <c:v>-80.611392807380327</c:v>
                </c:pt>
                <c:pt idx="21">
                  <c:v>-77.596332049763447</c:v>
                </c:pt>
                <c:pt idx="22">
                  <c:v>-74.610193559698558</c:v>
                </c:pt>
                <c:pt idx="23">
                  <c:v>-71.667479880769207</c:v>
                </c:pt>
                <c:pt idx="24">
                  <c:v>-68.778713336420225</c:v>
                </c:pt>
                <c:pt idx="25">
                  <c:v>-65.952402083947732</c:v>
                </c:pt>
                <c:pt idx="26">
                  <c:v>-63.19568800692636</c:v>
                </c:pt>
                <c:pt idx="27">
                  <c:v>-60.514620844206057</c:v>
                </c:pt>
                <c:pt idx="28">
                  <c:v>-48.396459690829076</c:v>
                </c:pt>
                <c:pt idx="29">
                  <c:v>-38.668443385169248</c:v>
                </c:pt>
                <c:pt idx="30">
                  <c:v>-31.569479553319493</c:v>
                </c:pt>
                <c:pt idx="31">
                  <c:v>-27.523236952206997</c:v>
                </c:pt>
                <c:pt idx="32">
                  <c:v>-27.635639510638743</c:v>
                </c:pt>
                <c:pt idx="33">
                  <c:v>-34.679669556840544</c:v>
                </c:pt>
                <c:pt idx="34">
                  <c:v>-54.001274751002356</c:v>
                </c:pt>
                <c:pt idx="35">
                  <c:v>-84.217015657875905</c:v>
                </c:pt>
                <c:pt idx="36">
                  <c:v>-106.89107869733827</c:v>
                </c:pt>
                <c:pt idx="37">
                  <c:v>-117.93163140971696</c:v>
                </c:pt>
                <c:pt idx="38">
                  <c:v>-122.87846736690878</c:v>
                </c:pt>
                <c:pt idx="39">
                  <c:v>-125.00586667352751</c:v>
                </c:pt>
                <c:pt idx="40">
                  <c:v>-125.76155447826734</c:v>
                </c:pt>
                <c:pt idx="41">
                  <c:v>-125.81276061799244</c:v>
                </c:pt>
                <c:pt idx="42">
                  <c:v>-125.49151872340572</c:v>
                </c:pt>
                <c:pt idx="43">
                  <c:v>-124.97423406733486</c:v>
                </c:pt>
                <c:pt idx="44">
                  <c:v>-124.35932031972453</c:v>
                </c:pt>
                <c:pt idx="45">
                  <c:v>-123.70355111809626</c:v>
                </c:pt>
                <c:pt idx="46">
                  <c:v>-123.04032145260935</c:v>
                </c:pt>
                <c:pt idx="47">
                  <c:v>-122.38937583094362</c:v>
                </c:pt>
                <c:pt idx="48">
                  <c:v>-121.76224656471899</c:v>
                </c:pt>
                <c:pt idx="49">
                  <c:v>-121.16541612837423</c:v>
                </c:pt>
                <c:pt idx="50">
                  <c:v>-120.60221612451313</c:v>
                </c:pt>
                <c:pt idx="51">
                  <c:v>-120.07399768406745</c:v>
                </c:pt>
                <c:pt idx="52">
                  <c:v>-119.58086800875596</c:v>
                </c:pt>
                <c:pt idx="53">
                  <c:v>-119.12216145657025</c:v>
                </c:pt>
                <c:pt idx="54">
                  <c:v>-118.69674445540431</c:v>
                </c:pt>
                <c:pt idx="55">
                  <c:v>-118.3032143841439</c:v>
                </c:pt>
                <c:pt idx="56">
                  <c:v>-117.94002971065314</c:v>
                </c:pt>
                <c:pt idx="57">
                  <c:v>-117.60559498075888</c:v>
                </c:pt>
                <c:pt idx="58">
                  <c:v>-117.29831585049185</c:v>
                </c:pt>
                <c:pt idx="59">
                  <c:v>-117.01663409249458</c:v>
                </c:pt>
                <c:pt idx="60">
                  <c:v>-116.75904915248033</c:v>
                </c:pt>
                <c:pt idx="61">
                  <c:v>-116.52413065765046</c:v>
                </c:pt>
                <c:pt idx="62">
                  <c:v>-116.31052485024952</c:v>
                </c:pt>
                <c:pt idx="63">
                  <c:v>-116.11695696873417</c:v>
                </c:pt>
                <c:pt idx="64">
                  <c:v>-115.94223095950731</c:v>
                </c:pt>
                <c:pt idx="65">
                  <c:v>-115.78522746789542</c:v>
                </c:pt>
                <c:pt idx="66">
                  <c:v>-115.64490075978289</c:v>
                </c:pt>
                <c:pt idx="67">
                  <c:v>-115.52027502046603</c:v>
                </c:pt>
                <c:pt idx="68">
                  <c:v>-115.41044033537594</c:v>
                </c:pt>
                <c:pt idx="69">
                  <c:v>-115.31454855861837</c:v>
                </c:pt>
                <c:pt idx="70">
                  <c:v>-115.23180920646656</c:v>
                </c:pt>
                <c:pt idx="71">
                  <c:v>-115.16148546493801</c:v>
                </c:pt>
                <c:pt idx="72">
                  <c:v>-115.10289036713122</c:v>
                </c:pt>
                <c:pt idx="73">
                  <c:v>-115.05538317277767</c:v>
                </c:pt>
                <c:pt idx="74">
                  <c:v>-115.01836596644628</c:v>
                </c:pt>
                <c:pt idx="75">
                  <c:v>-114.99128047991454</c:v>
                </c:pt>
                <c:pt idx="76">
                  <c:v>-114.97360513689036</c:v>
                </c:pt>
                <c:pt idx="77">
                  <c:v>-114.96485231348304</c:v>
                </c:pt>
                <c:pt idx="78">
                  <c:v>-114.96456580482025</c:v>
                </c:pt>
                <c:pt idx="79">
                  <c:v>-114.9723184864613</c:v>
                </c:pt>
                <c:pt idx="80">
                  <c:v>-114.98771015838007</c:v>
                </c:pt>
                <c:pt idx="81">
                  <c:v>-115.01036555901287</c:v>
                </c:pt>
                <c:pt idx="82">
                  <c:v>-115.0399325369897</c:v>
                </c:pt>
                <c:pt idx="83">
                  <c:v>-115.07608036855609</c:v>
                </c:pt>
                <c:pt idx="84">
                  <c:v>-115.11849820924726</c:v>
                </c:pt>
                <c:pt idx="85">
                  <c:v>-115.16689366902602</c:v>
                </c:pt>
                <c:pt idx="86">
                  <c:v>-115.22099150079494</c:v>
                </c:pt>
                <c:pt idx="87">
                  <c:v>-115.28053239290614</c:v>
                </c:pt>
                <c:pt idx="88">
                  <c:v>-115.34527185699602</c:v>
                </c:pt>
                <c:pt idx="89">
                  <c:v>-115.41497920315433</c:v>
                </c:pt>
                <c:pt idx="90">
                  <c:v>-115.48943659508515</c:v>
                </c:pt>
                <c:pt idx="91">
                  <c:v>-115.56843817852941</c:v>
                </c:pt>
                <c:pt idx="92">
                  <c:v>-115.65178927678782</c:v>
                </c:pt>
                <c:pt idx="93">
                  <c:v>-115.73930564771311</c:v>
                </c:pt>
                <c:pt idx="94">
                  <c:v>-115.83081279702819</c:v>
                </c:pt>
                <c:pt idx="95">
                  <c:v>-115.92614534327586</c:v>
                </c:pt>
                <c:pt idx="96">
                  <c:v>-116.02514643011806</c:v>
                </c:pt>
                <c:pt idx="97">
                  <c:v>-116.12766718207686</c:v>
                </c:pt>
                <c:pt idx="98">
                  <c:v>-116.23356620015507</c:v>
                </c:pt>
                <c:pt idx="99">
                  <c:v>-116.34270909408568</c:v>
                </c:pt>
                <c:pt idx="100">
                  <c:v>-116.45496804824572</c:v>
                </c:pt>
                <c:pt idx="101">
                  <c:v>-116.57022141852728</c:v>
                </c:pt>
                <c:pt idx="102">
                  <c:v>-116.68835335769728</c:v>
                </c:pt>
                <c:pt idx="103">
                  <c:v>-116.80925346698881</c:v>
                </c:pt>
                <c:pt idx="104">
                  <c:v>-116.93281647186386</c:v>
                </c:pt>
                <c:pt idx="105">
                  <c:v>-117.05894192006339</c:v>
                </c:pt>
                <c:pt idx="106">
                  <c:v>-117.18753390022167</c:v>
                </c:pt>
                <c:pt idx="107">
                  <c:v>-117.31850077946797</c:v>
                </c:pt>
                <c:pt idx="108">
                  <c:v>-117.45175495857274</c:v>
                </c:pt>
                <c:pt idx="109">
                  <c:v>-117.58721264331496</c:v>
                </c:pt>
                <c:pt idx="110">
                  <c:v>-117.7247936308579</c:v>
                </c:pt>
                <c:pt idx="111">
                  <c:v>-117.86442111002214</c:v>
                </c:pt>
                <c:pt idx="112">
                  <c:v>-118.00602147443365</c:v>
                </c:pt>
                <c:pt idx="113">
                  <c:v>-118.14952414760964</c:v>
                </c:pt>
                <c:pt idx="114">
                  <c:v>-118.29486141912059</c:v>
                </c:pt>
                <c:pt idx="115">
                  <c:v>-118.44196829103454</c:v>
                </c:pt>
                <c:pt idx="116">
                  <c:v>-118.59078233391556</c:v>
                </c:pt>
                <c:pt idx="117">
                  <c:v>-118.74124355170292</c:v>
                </c:pt>
                <c:pt idx="118">
                  <c:v>-118.89329425485279</c:v>
                </c:pt>
                <c:pt idx="119">
                  <c:v>-119.04687894117076</c:v>
                </c:pt>
                <c:pt idx="120">
                  <c:v>-119.20194418380837</c:v>
                </c:pt>
                <c:pt idx="121">
                  <c:v>-119.35843852593699</c:v>
                </c:pt>
                <c:pt idx="122">
                  <c:v>-119.51631238164971</c:v>
                </c:pt>
                <c:pt idx="123">
                  <c:v>-119.67551794267443</c:v>
                </c:pt>
                <c:pt idx="124">
                  <c:v>-119.83600909051516</c:v>
                </c:pt>
                <c:pt idx="125">
                  <c:v>-119.9977413136635</c:v>
                </c:pt>
                <c:pt idx="126">
                  <c:v>-120.16067162955173</c:v>
                </c:pt>
                <c:pt idx="127">
                  <c:v>-120.32475851094118</c:v>
                </c:pt>
                <c:pt idx="128">
                  <c:v>-120.48996181646193</c:v>
                </c:pt>
                <c:pt idx="129">
                  <c:v>-120.65624272504091</c:v>
                </c:pt>
                <c:pt idx="130">
                  <c:v>-120.82356367397357</c:v>
                </c:pt>
                <c:pt idx="131">
                  <c:v>-120.99188830041184</c:v>
                </c:pt>
                <c:pt idx="132">
                  <c:v>-121.16118138605745</c:v>
                </c:pt>
                <c:pt idx="133">
                  <c:v>-121.33140880486292</c:v>
                </c:pt>
                <c:pt idx="134">
                  <c:v>-121.50253747355862</c:v>
                </c:pt>
                <c:pt idx="135">
                  <c:v>-121.67453530483404</c:v>
                </c:pt>
                <c:pt idx="136">
                  <c:v>-121.84737116301496</c:v>
                </c:pt>
                <c:pt idx="137">
                  <c:v>-122.0210148220882</c:v>
                </c:pt>
                <c:pt idx="138">
                  <c:v>-122.19543692593547</c:v>
                </c:pt>
                <c:pt idx="139">
                  <c:v>-122.37060895064721</c:v>
                </c:pt>
                <c:pt idx="140">
                  <c:v>-122.54650316879558</c:v>
                </c:pt>
                <c:pt idx="141">
                  <c:v>-122.72309261555446</c:v>
                </c:pt>
                <c:pt idx="142">
                  <c:v>-122.90035105655959</c:v>
                </c:pt>
                <c:pt idx="143">
                  <c:v>-123.07825295741186</c:v>
                </c:pt>
                <c:pt idx="144">
                  <c:v>-123.25677345472972</c:v>
                </c:pt>
                <c:pt idx="145">
                  <c:v>-123.4358883286653</c:v>
                </c:pt>
                <c:pt idx="146">
                  <c:v>-123.6155739768023</c:v>
                </c:pt>
                <c:pt idx="147">
                  <c:v>-123.79580738936001</c:v>
                </c:pt>
                <c:pt idx="148">
                  <c:v>-123.97656612563175</c:v>
                </c:pt>
                <c:pt idx="149">
                  <c:v>-124.1578282915909</c:v>
                </c:pt>
                <c:pt idx="150">
                  <c:v>-124.33957251860141</c:v>
                </c:pt>
                <c:pt idx="151">
                  <c:v>-124.52177794317369</c:v>
                </c:pt>
                <c:pt idx="152">
                  <c:v>-124.70442418771012</c:v>
                </c:pt>
                <c:pt idx="153">
                  <c:v>-124.8874913421884</c:v>
                </c:pt>
                <c:pt idx="154">
                  <c:v>-125.07095994673233</c:v>
                </c:pt>
                <c:pt idx="155">
                  <c:v>-125.25481097502498</c:v>
                </c:pt>
                <c:pt idx="156">
                  <c:v>-125.43902581851981</c:v>
                </c:pt>
                <c:pt idx="157">
                  <c:v>-125.62358627140863</c:v>
                </c:pt>
                <c:pt idx="158">
                  <c:v>-125.80847451630764</c:v>
                </c:pt>
                <c:pt idx="159">
                  <c:v>-125.99367311062534</c:v>
                </c:pt>
                <c:pt idx="160">
                  <c:v>-126.17916497357669</c:v>
                </c:pt>
                <c:pt idx="161">
                  <c:v>-126.36493337381246</c:v>
                </c:pt>
                <c:pt idx="162">
                  <c:v>-126.55096191763111</c:v>
                </c:pt>
                <c:pt idx="163">
                  <c:v>-126.73723453774593</c:v>
                </c:pt>
                <c:pt idx="164">
                  <c:v>-126.92373548257821</c:v>
                </c:pt>
                <c:pt idx="165">
                  <c:v>-127.11044930605141</c:v>
                </c:pt>
                <c:pt idx="166">
                  <c:v>-127.29736085786176</c:v>
                </c:pt>
                <c:pt idx="167">
                  <c:v>-127.48445527420084</c:v>
                </c:pt>
                <c:pt idx="168">
                  <c:v>-127.67171796890955</c:v>
                </c:pt>
                <c:pt idx="169">
                  <c:v>-127.85913462504107</c:v>
                </c:pt>
                <c:pt idx="170">
                  <c:v>-128.04669118681409</c:v>
                </c:pt>
                <c:pt idx="171">
                  <c:v>-128.23437385193671</c:v>
                </c:pt>
                <c:pt idx="172">
                  <c:v>-128.42216906428342</c:v>
                </c:pt>
                <c:pt idx="173">
                  <c:v>-128.6100635069086</c:v>
                </c:pt>
                <c:pt idx="174">
                  <c:v>-128.79804409537942</c:v>
                </c:pt>
                <c:pt idx="175">
                  <c:v>-128.98609797141395</c:v>
                </c:pt>
                <c:pt idx="176">
                  <c:v>-129.17421249680928</c:v>
                </c:pt>
                <c:pt idx="177">
                  <c:v>-129.36237524764599</c:v>
                </c:pt>
                <c:pt idx="178">
                  <c:v>-129.55057400875612</c:v>
                </c:pt>
                <c:pt idx="179">
                  <c:v>-129.73879676844126</c:v>
                </c:pt>
                <c:pt idx="180">
                  <c:v>-129.92703171343058</c:v>
                </c:pt>
                <c:pt idx="181">
                  <c:v>-130.11526722406526</c:v>
                </c:pt>
                <c:pt idx="182">
                  <c:v>-130.30349186970048</c:v>
                </c:pt>
                <c:pt idx="183">
                  <c:v>-130.49169440431368</c:v>
                </c:pt>
                <c:pt idx="184">
                  <c:v>-130.67986376230954</c:v>
                </c:pt>
                <c:pt idx="185">
                  <c:v>-130.86798905451244</c:v>
                </c:pt>
                <c:pt idx="186">
                  <c:v>-131.05605956433749</c:v>
                </c:pt>
                <c:pt idx="187">
                  <c:v>-131.24406474413178</c:v>
                </c:pt>
                <c:pt idx="188">
                  <c:v>-131.43199421167722</c:v>
                </c:pt>
                <c:pt idx="189">
                  <c:v>-131.61983774684811</c:v>
                </c:pt>
                <c:pt idx="190">
                  <c:v>-131.80758528841574</c:v>
                </c:pt>
                <c:pt idx="191">
                  <c:v>-131.99522693099232</c:v>
                </c:pt>
                <c:pt idx="192">
                  <c:v>-132.18275292210876</c:v>
                </c:pt>
                <c:pt idx="193">
                  <c:v>-132.37015365941923</c:v>
                </c:pt>
                <c:pt idx="194">
                  <c:v>-132.55741968802582</c:v>
                </c:pt>
                <c:pt idx="195">
                  <c:v>-132.74454169791906</c:v>
                </c:pt>
                <c:pt idx="196">
                  <c:v>-132.93151052152695</c:v>
                </c:pt>
                <c:pt idx="197">
                  <c:v>-133.11831713136849</c:v>
                </c:pt>
                <c:pt idx="198">
                  <c:v>-133.3049526378056</c:v>
                </c:pt>
                <c:pt idx="199">
                  <c:v>-133.49140828688971</c:v>
                </c:pt>
                <c:pt idx="200">
                  <c:v>-133.67767545829707</c:v>
                </c:pt>
                <c:pt idx="201">
                  <c:v>-133.86374566334956</c:v>
                </c:pt>
                <c:pt idx="202">
                  <c:v>-134.04961054311545</c:v>
                </c:pt>
                <c:pt idx="203">
                  <c:v>-134.23526186658765</c:v>
                </c:pt>
                <c:pt idx="204">
                  <c:v>-134.42069152893404</c:v>
                </c:pt>
                <c:pt idx="205">
                  <c:v>-134.60589154981682</c:v>
                </c:pt>
                <c:pt idx="206">
                  <c:v>-134.79085407177749</c:v>
                </c:pt>
                <c:pt idx="207">
                  <c:v>-134.97557135868396</c:v>
                </c:pt>
                <c:pt idx="208">
                  <c:v>-135.16003579423608</c:v>
                </c:pt>
                <c:pt idx="209">
                  <c:v>-135.34423988052708</c:v>
                </c:pt>
                <c:pt idx="210">
                  <c:v>-135.5281762366578</c:v>
                </c:pt>
                <c:pt idx="211">
                  <c:v>-135.71183759740029</c:v>
                </c:pt>
                <c:pt idx="212">
                  <c:v>-135.89521681190919</c:v>
                </c:pt>
                <c:pt idx="213">
                  <c:v>-136.07830684247725</c:v>
                </c:pt>
                <c:pt idx="214">
                  <c:v>-136.26110076333288</c:v>
                </c:pt>
                <c:pt idx="215">
                  <c:v>-136.4435917594775</c:v>
                </c:pt>
                <c:pt idx="216">
                  <c:v>-136.62577312556033</c:v>
                </c:pt>
                <c:pt idx="217">
                  <c:v>-136.80763826478827</c:v>
                </c:pt>
                <c:pt idx="218">
                  <c:v>-136.98918068786907</c:v>
                </c:pt>
                <c:pt idx="219">
                  <c:v>-137.17039401198571</c:v>
                </c:pt>
                <c:pt idx="220">
                  <c:v>-137.35127195979999</c:v>
                </c:pt>
                <c:pt idx="221">
                  <c:v>-137.53180835848369</c:v>
                </c:pt>
                <c:pt idx="222">
                  <c:v>-137.71199713877544</c:v>
                </c:pt>
                <c:pt idx="223">
                  <c:v>-137.891832334062</c:v>
                </c:pt>
                <c:pt idx="224">
                  <c:v>-138.07130807948172</c:v>
                </c:pt>
                <c:pt idx="225">
                  <c:v>-138.25041861104955</c:v>
                </c:pt>
                <c:pt idx="226">
                  <c:v>-140.02023955300268</c:v>
                </c:pt>
                <c:pt idx="227">
                  <c:v>-141.74791676342915</c:v>
                </c:pt>
                <c:pt idx="228">
                  <c:v>-143.42922935926066</c:v>
                </c:pt>
                <c:pt idx="229">
                  <c:v>-145.06080399444153</c:v>
                </c:pt>
                <c:pt idx="230">
                  <c:v>-146.64004806193503</c:v>
                </c:pt>
                <c:pt idx="231">
                  <c:v>-148.16508270071338</c:v>
                </c:pt>
                <c:pt idx="232">
                  <c:v>-149.634674741982</c:v>
                </c:pt>
                <c:pt idx="233">
                  <c:v>-151.04816790240767</c:v>
                </c:pt>
                <c:pt idx="234">
                  <c:v>-152.40541416127678</c:v>
                </c:pt>
                <c:pt idx="235">
                  <c:v>-153.70670650847467</c:v>
                </c:pt>
                <c:pt idx="236">
                  <c:v>-154.95271424958534</c:v>
                </c:pt>
                <c:pt idx="237">
                  <c:v>-156.14442190223588</c:v>
                </c:pt>
                <c:pt idx="238">
                  <c:v>-157.28307248775997</c:v>
                </c:pt>
                <c:pt idx="239">
                  <c:v>-158.37011576653177</c:v>
                </c:pt>
                <c:pt idx="240">
                  <c:v>-159.40716171839796</c:v>
                </c:pt>
                <c:pt idx="241">
                  <c:v>-160.39593935196947</c:v>
                </c:pt>
                <c:pt idx="242">
                  <c:v>-161.33826074813635</c:v>
                </c:pt>
                <c:pt idx="243">
                  <c:v>-162.23599010673024</c:v>
                </c:pt>
                <c:pt idx="244">
                  <c:v>-163.0910174687499</c:v>
                </c:pt>
                <c:pt idx="245">
                  <c:v>-163.90523672525129</c:v>
                </c:pt>
                <c:pt idx="246">
                  <c:v>-164.68052749193234</c:v>
                </c:pt>
                <c:pt idx="247">
                  <c:v>-165.41874041941503</c:v>
                </c:pt>
                <c:pt idx="248">
                  <c:v>-166.12168551743642</c:v>
                </c:pt>
                <c:pt idx="249">
                  <c:v>-166.79112309152163</c:v>
                </c:pt>
                <c:pt idx="250">
                  <c:v>-167.42875691898686</c:v>
                </c:pt>
                <c:pt idx="251">
                  <c:v>-168.03622932394475</c:v>
                </c:pt>
                <c:pt idx="252">
                  <c:v>-168.6151178457863</c:v>
                </c:pt>
                <c:pt idx="253">
                  <c:v>-169.16693323050882</c:v>
                </c:pt>
                <c:pt idx="254">
                  <c:v>-169.6931185079394</c:v>
                </c:pt>
                <c:pt idx="255">
                  <c:v>-170.19504894951797</c:v>
                </c:pt>
                <c:pt idx="256">
                  <c:v>-170.67403273034111</c:v>
                </c:pt>
                <c:pt idx="257">
                  <c:v>-171.13131214539573</c:v>
                </c:pt>
                <c:pt idx="258">
                  <c:v>-171.56806525326462</c:v>
                </c:pt>
                <c:pt idx="259">
                  <c:v>-171.98540784114306</c:v>
                </c:pt>
                <c:pt idx="260">
                  <c:v>-172.38439562292041</c:v>
                </c:pt>
                <c:pt idx="261">
                  <c:v>-172.76602659755775</c:v>
                </c:pt>
                <c:pt idx="262">
                  <c:v>-173.1312435082601</c:v>
                </c:pt>
                <c:pt idx="263">
                  <c:v>-173.48093635423885</c:v>
                </c:pt>
                <c:pt idx="264">
                  <c:v>-173.81594491641607</c:v>
                </c:pt>
                <c:pt idx="265">
                  <c:v>-174.13706126645693</c:v>
                </c:pt>
                <c:pt idx="266">
                  <c:v>-174.44503223523347</c:v>
                </c:pt>
                <c:pt idx="267">
                  <c:v>-174.74056182240318</c:v>
                </c:pt>
                <c:pt idx="268">
                  <c:v>-175.02431353340174</c:v>
                </c:pt>
                <c:pt idx="269">
                  <c:v>-175.29691263393306</c:v>
                </c:pt>
                <c:pt idx="270">
                  <c:v>-175.55894831513143</c:v>
                </c:pt>
                <c:pt idx="271">
                  <c:v>-175.81097576507338</c:v>
                </c:pt>
                <c:pt idx="272">
                  <c:v>-176.05351814432672</c:v>
                </c:pt>
                <c:pt idx="273">
                  <c:v>-176.28706846482419</c:v>
                </c:pt>
                <c:pt idx="274">
                  <c:v>-176.51209137260699</c:v>
                </c:pt>
                <c:pt idx="275">
                  <c:v>-176.72902483596189</c:v>
                </c:pt>
                <c:pt idx="276">
                  <c:v>-176.9382817412162</c:v>
                </c:pt>
                <c:pt idx="277">
                  <c:v>-177.14025139901156</c:v>
                </c:pt>
                <c:pt idx="278">
                  <c:v>-177.33530096427307</c:v>
                </c:pt>
                <c:pt idx="279">
                  <c:v>-177.52377677336492</c:v>
                </c:pt>
                <c:pt idx="280">
                  <c:v>-177.70600560209189</c:v>
                </c:pt>
                <c:pt idx="281">
                  <c:v>-177.88229584829995</c:v>
                </c:pt>
                <c:pt idx="282">
                  <c:v>-178.05293864285105</c:v>
                </c:pt>
                <c:pt idx="283">
                  <c:v>-178.21820889272689</c:v>
                </c:pt>
                <c:pt idx="284">
                  <c:v>-178.37836625995158</c:v>
                </c:pt>
                <c:pt idx="285">
                  <c:v>-178.5336560799316</c:v>
                </c:pt>
                <c:pt idx="286">
                  <c:v>-178.68431022269843</c:v>
                </c:pt>
                <c:pt idx="287">
                  <c:v>-178.83054790040902</c:v>
                </c:pt>
                <c:pt idx="288">
                  <c:v>-178.97257642432137</c:v>
                </c:pt>
                <c:pt idx="289">
                  <c:v>-179.11059191431431</c:v>
                </c:pt>
                <c:pt idx="290">
                  <c:v>-179.24477996387398</c:v>
                </c:pt>
                <c:pt idx="291">
                  <c:v>-179.37531626331679</c:v>
                </c:pt>
                <c:pt idx="292">
                  <c:v>-179.50236718387262</c:v>
                </c:pt>
                <c:pt idx="293">
                  <c:v>-179.62609032510389</c:v>
                </c:pt>
                <c:pt idx="294">
                  <c:v>-179.74663502799521</c:v>
                </c:pt>
                <c:pt idx="295">
                  <c:v>-179.86414285591067</c:v>
                </c:pt>
                <c:pt idx="296">
                  <c:v>-179.9787480454834</c:v>
                </c:pt>
                <c:pt idx="297">
                  <c:v>-180.09057792937608</c:v>
                </c:pt>
                <c:pt idx="298">
                  <c:v>-180.19975333272984</c:v>
                </c:pt>
                <c:pt idx="299">
                  <c:v>-180.30638894500532</c:v>
                </c:pt>
                <c:pt idx="300">
                  <c:v>-180.41059366881024</c:v>
                </c:pt>
                <c:pt idx="301">
                  <c:v>-180.51247094720603</c:v>
                </c:pt>
                <c:pt idx="302">
                  <c:v>-180.61211907088887</c:v>
                </c:pt>
                <c:pt idx="303">
                  <c:v>-180.70963146654984</c:v>
                </c:pt>
                <c:pt idx="304">
                  <c:v>-180.80509696763261</c:v>
                </c:pt>
                <c:pt idx="305">
                  <c:v>-180.89860006862801</c:v>
                </c:pt>
                <c:pt idx="306">
                  <c:v>-180.99022116396793</c:v>
                </c:pt>
                <c:pt idx="307">
                  <c:v>-181.08003677251233</c:v>
                </c:pt>
                <c:pt idx="308">
                  <c:v>-181.16811974855523</c:v>
                </c:pt>
                <c:pt idx="309">
                  <c:v>-181.2545394802153</c:v>
                </c:pt>
                <c:pt idx="310">
                  <c:v>-181.3393620760192</c:v>
                </c:pt>
                <c:pt idx="311">
                  <c:v>-181.42265054042963</c:v>
                </c:pt>
                <c:pt idx="312">
                  <c:v>-181.50446493902393</c:v>
                </c:pt>
                <c:pt idx="313">
                  <c:v>-181.58486255397733</c:v>
                </c:pt>
                <c:pt idx="314">
                  <c:v>-181.66389803046602</c:v>
                </c:pt>
                <c:pt idx="315">
                  <c:v>-181.74162351456073</c:v>
                </c:pt>
                <c:pt idx="316">
                  <c:v>-181.81808878314536</c:v>
                </c:pt>
                <c:pt idx="317">
                  <c:v>-181.89334136635989</c:v>
                </c:pt>
                <c:pt idx="318">
                  <c:v>-181.96742666303237</c:v>
                </c:pt>
                <c:pt idx="319">
                  <c:v>-182.0403880495362</c:v>
                </c:pt>
                <c:pt idx="320">
                  <c:v>-182.11226698247768</c:v>
                </c:pt>
                <c:pt idx="321">
                  <c:v>-182.18310309559499</c:v>
                </c:pt>
                <c:pt idx="322">
                  <c:v>-182.252934291222</c:v>
                </c:pt>
                <c:pt idx="323">
                  <c:v>-182.32179682664966</c:v>
                </c:pt>
                <c:pt idx="324">
                  <c:v>-182.3897253956938</c:v>
                </c:pt>
                <c:pt idx="325">
                  <c:v>-182.45675320576072</c:v>
                </c:pt>
                <c:pt idx="326">
                  <c:v>-182.52291205068011</c:v>
                </c:pt>
                <c:pt idx="327">
                  <c:v>-182.58823237956045</c:v>
                </c:pt>
                <c:pt idx="328">
                  <c:v>-182.65274336190274</c:v>
                </c:pt>
                <c:pt idx="329">
                  <c:v>-182.71647294919623</c:v>
                </c:pt>
                <c:pt idx="330">
                  <c:v>-182.7794479332029</c:v>
                </c:pt>
                <c:pt idx="331">
                  <c:v>-182.84169400112609</c:v>
                </c:pt>
                <c:pt idx="332">
                  <c:v>-182.90323578784552</c:v>
                </c:pt>
                <c:pt idx="333">
                  <c:v>-182.96409692539007</c:v>
                </c:pt>
                <c:pt idx="334">
                  <c:v>-183.02430008980747</c:v>
                </c:pt>
                <c:pt idx="335">
                  <c:v>-183.08386704558248</c:v>
                </c:pt>
                <c:pt idx="336">
                  <c:v>-183.1428186877431</c:v>
                </c:pt>
                <c:pt idx="337">
                  <c:v>-183.20117508178802</c:v>
                </c:pt>
                <c:pt idx="338">
                  <c:v>-183.25895550155829</c:v>
                </c:pt>
                <c:pt idx="339">
                  <c:v>-183.31617846516997</c:v>
                </c:pt>
                <c:pt idx="340">
                  <c:v>-183.37286176911741</c:v>
                </c:pt>
                <c:pt idx="341">
                  <c:v>-183.42902252064863</c:v>
                </c:pt>
                <c:pt idx="342">
                  <c:v>-183.48467716851019</c:v>
                </c:pt>
                <c:pt idx="343">
                  <c:v>-183.5398415321512</c:v>
                </c:pt>
                <c:pt idx="344">
                  <c:v>-183.59453082947206</c:v>
                </c:pt>
                <c:pt idx="345">
                  <c:v>-183.64875970319787</c:v>
                </c:pt>
                <c:pt idx="346">
                  <c:v>-183.70254224595115</c:v>
                </c:pt>
                <c:pt idx="347">
                  <c:v>-183.75589202409532</c:v>
                </c:pt>
                <c:pt idx="348">
                  <c:v>-183.80882210041494</c:v>
                </c:pt>
                <c:pt idx="349">
                  <c:v>-183.86134505569589</c:v>
                </c:pt>
                <c:pt idx="350">
                  <c:v>-183.91347300926344</c:v>
                </c:pt>
                <c:pt idx="351">
                  <c:v>-183.96521763853517</c:v>
                </c:pt>
                <c:pt idx="352">
                  <c:v>-184.01659019763986</c:v>
                </c:pt>
                <c:pt idx="353">
                  <c:v>-184.06760153515205</c:v>
                </c:pt>
                <c:pt idx="354">
                  <c:v>-184.11826211098889</c:v>
                </c:pt>
                <c:pt idx="355">
                  <c:v>-184.16858201251304</c:v>
                </c:pt>
                <c:pt idx="356">
                  <c:v>-184.21857096988208</c:v>
                </c:pt>
                <c:pt idx="357">
                  <c:v>-184.2682383706852</c:v>
                </c:pt>
                <c:pt idx="358">
                  <c:v>-184.31759327390176</c:v>
                </c:pt>
                <c:pt idx="359">
                  <c:v>-184.36664442321833</c:v>
                </c:pt>
                <c:pt idx="360">
                  <c:v>-184.41540025973543</c:v>
                </c:pt>
                <c:pt idx="361">
                  <c:v>-184.46386893409604</c:v>
                </c:pt>
                <c:pt idx="362">
                  <c:v>-184.51205831806433</c:v>
                </c:pt>
                <c:pt idx="363">
                  <c:v>-184.55997601558286</c:v>
                </c:pt>
                <c:pt idx="364">
                  <c:v>-184.60762937333357</c:v>
                </c:pt>
                <c:pt idx="365">
                  <c:v>-184.65502549082808</c:v>
                </c:pt>
                <c:pt idx="366">
                  <c:v>-184.70217123004977</c:v>
                </c:pt>
                <c:pt idx="367">
                  <c:v>-184.74907322467058</c:v>
                </c:pt>
                <c:pt idx="368">
                  <c:v>-184.79573788886253</c:v>
                </c:pt>
                <c:pt idx="369">
                  <c:v>-184.84217142572442</c:v>
                </c:pt>
                <c:pt idx="370">
                  <c:v>-184.88837983534188</c:v>
                </c:pt>
                <c:pt idx="371">
                  <c:v>-184.93436892249898</c:v>
                </c:pt>
                <c:pt idx="372">
                  <c:v>-184.98014430405772</c:v>
                </c:pt>
                <c:pt idx="373">
                  <c:v>-185.02571141602132</c:v>
                </c:pt>
                <c:pt idx="374">
                  <c:v>-185.07107552029694</c:v>
                </c:pt>
                <c:pt idx="375">
                  <c:v>-185.11624171117114</c:v>
                </c:pt>
                <c:pt idx="376">
                  <c:v>-185.16121492151251</c:v>
                </c:pt>
                <c:pt idx="377">
                  <c:v>-185.20599992871377</c:v>
                </c:pt>
                <c:pt idx="378">
                  <c:v>-185.25060136038559</c:v>
                </c:pt>
                <c:pt idx="379">
                  <c:v>-185.2950236998137</c:v>
                </c:pt>
                <c:pt idx="380">
                  <c:v>-185.3392712911905</c:v>
                </c:pt>
                <c:pt idx="381">
                  <c:v>-185.38334834463112</c:v>
                </c:pt>
                <c:pt idx="382">
                  <c:v>-185.42725894098405</c:v>
                </c:pt>
                <c:pt idx="383">
                  <c:v>-185.47100703644585</c:v>
                </c:pt>
                <c:pt idx="384">
                  <c:v>-185.51459646698819</c:v>
                </c:pt>
                <c:pt idx="385">
                  <c:v>-185.55803095260691</c:v>
                </c:pt>
                <c:pt idx="386">
                  <c:v>-185.60131410139991</c:v>
                </c:pt>
                <c:pt idx="387">
                  <c:v>-185.64444941348208</c:v>
                </c:pt>
                <c:pt idx="388">
                  <c:v>-185.68744028474438</c:v>
                </c:pt>
                <c:pt idx="389">
                  <c:v>-185.73029001046436</c:v>
                </c:pt>
                <c:pt idx="390">
                  <c:v>-185.77300178877417</c:v>
                </c:pt>
                <c:pt idx="391">
                  <c:v>-185.81557872399264</c:v>
                </c:pt>
                <c:pt idx="392">
                  <c:v>-185.85802382982703</c:v>
                </c:pt>
                <c:pt idx="393">
                  <c:v>-185.90034003245106</c:v>
                </c:pt>
                <c:pt idx="394">
                  <c:v>-185.94253017346293</c:v>
                </c:pt>
                <c:pt idx="395">
                  <c:v>-185.98459701273035</c:v>
                </c:pt>
                <c:pt idx="396">
                  <c:v>-186.02654323112617</c:v>
                </c:pt>
                <c:pt idx="397">
                  <c:v>-186.06837143315985</c:v>
                </c:pt>
                <c:pt idx="398">
                  <c:v>-186.11008414950876</c:v>
                </c:pt>
                <c:pt idx="399">
                  <c:v>-186.15168383945442</c:v>
                </c:pt>
                <c:pt idx="400">
                  <c:v>-186.19317289322646</c:v>
                </c:pt>
                <c:pt idx="401">
                  <c:v>-186.23455363425938</c:v>
                </c:pt>
                <c:pt idx="402">
                  <c:v>-186.27582832136505</c:v>
                </c:pt>
                <c:pt idx="403">
                  <c:v>-186.31699915082427</c:v>
                </c:pt>
                <c:pt idx="404">
                  <c:v>-186.35806825840189</c:v>
                </c:pt>
                <c:pt idx="405">
                  <c:v>-186.39903772128707</c:v>
                </c:pt>
                <c:pt idx="406">
                  <c:v>-186.4399095599631</c:v>
                </c:pt>
                <c:pt idx="407">
                  <c:v>-186.48068574000874</c:v>
                </c:pt>
                <c:pt idx="408">
                  <c:v>-186.52136817383465</c:v>
                </c:pt>
                <c:pt idx="409">
                  <c:v>-186.56195872235656</c:v>
                </c:pt>
                <c:pt idx="410">
                  <c:v>-186.60245919660909</c:v>
                </c:pt>
                <c:pt idx="411">
                  <c:v>-186.6428713593011</c:v>
                </c:pt>
                <c:pt idx="412">
                  <c:v>-186.68319692631593</c:v>
                </c:pt>
                <c:pt idx="413">
                  <c:v>-186.72343756815874</c:v>
                </c:pt>
                <c:pt idx="414">
                  <c:v>-186.76359491135224</c:v>
                </c:pt>
                <c:pt idx="415">
                  <c:v>-186.80367053978361</c:v>
                </c:pt>
                <c:pt idx="416">
                  <c:v>-186.84366599600432</c:v>
                </c:pt>
                <c:pt idx="417">
                  <c:v>-186.88358278248469</c:v>
                </c:pt>
                <c:pt idx="418">
                  <c:v>-186.92342236282471</c:v>
                </c:pt>
                <c:pt idx="419">
                  <c:v>-186.96318616292328</c:v>
                </c:pt>
                <c:pt idx="420">
                  <c:v>-187.00287557210706</c:v>
                </c:pt>
                <c:pt idx="421">
                  <c:v>-187.04249194422081</c:v>
                </c:pt>
                <c:pt idx="422">
                  <c:v>-187.08203659868047</c:v>
                </c:pt>
                <c:pt idx="423">
                  <c:v>-187.12151082149043</c:v>
                </c:pt>
                <c:pt idx="424">
                  <c:v>-187.16091586622665</c:v>
                </c:pt>
                <c:pt idx="425">
                  <c:v>-187.20025295498624</c:v>
                </c:pt>
                <c:pt idx="426">
                  <c:v>-187.23952327930584</c:v>
                </c:pt>
                <c:pt idx="427">
                  <c:v>-187.27872800104882</c:v>
                </c:pt>
                <c:pt idx="428">
                  <c:v>-187.31786825326304</c:v>
                </c:pt>
                <c:pt idx="429">
                  <c:v>-187.35694514101061</c:v>
                </c:pt>
                <c:pt idx="430">
                  <c:v>-187.39595974216979</c:v>
                </c:pt>
                <c:pt idx="431">
                  <c:v>-187.43491310821108</c:v>
                </c:pt>
                <c:pt idx="432">
                  <c:v>-187.47380626494748</c:v>
                </c:pt>
                <c:pt idx="433">
                  <c:v>-187.51264021326068</c:v>
                </c:pt>
                <c:pt idx="434">
                  <c:v>-187.5514159298034</c:v>
                </c:pt>
                <c:pt idx="435">
                  <c:v>-187.59013436767938</c:v>
                </c:pt>
                <c:pt idx="436">
                  <c:v>-187.62879645710132</c:v>
                </c:pt>
                <c:pt idx="437">
                  <c:v>-187.66740310602771</c:v>
                </c:pt>
                <c:pt idx="438">
                  <c:v>-187.70595520077956</c:v>
                </c:pt>
                <c:pt idx="439">
                  <c:v>-187.74445360663719</c:v>
                </c:pt>
                <c:pt idx="440">
                  <c:v>-187.78289916841871</c:v>
                </c:pt>
                <c:pt idx="441">
                  <c:v>-187.8212927110396</c:v>
                </c:pt>
                <c:pt idx="442">
                  <c:v>-187.85963504005525</c:v>
                </c:pt>
                <c:pt idx="443">
                  <c:v>-187.89792694218647</c:v>
                </c:pt>
                <c:pt idx="444">
                  <c:v>-187.93616918582816</c:v>
                </c:pt>
                <c:pt idx="445">
                  <c:v>-187.97436252154313</c:v>
                </c:pt>
                <c:pt idx="446">
                  <c:v>-188.01250768253965</c:v>
                </c:pt>
                <c:pt idx="447">
                  <c:v>-188.05060538513513</c:v>
                </c:pt>
                <c:pt idx="448">
                  <c:v>-188.08865632920512</c:v>
                </c:pt>
                <c:pt idx="449">
                  <c:v>-188.12666119861882</c:v>
                </c:pt>
                <c:pt idx="450">
                  <c:v>-188.16462066166122</c:v>
                </c:pt>
                <c:pt idx="451">
                  <c:v>-188.20253537144271</c:v>
                </c:pt>
                <c:pt idx="452">
                  <c:v>-188.24040596629601</c:v>
                </c:pt>
                <c:pt idx="453">
                  <c:v>-188.27823307016141</c:v>
                </c:pt>
                <c:pt idx="454">
                  <c:v>-188.31601729296034</c:v>
                </c:pt>
                <c:pt idx="455">
                  <c:v>-188.35375923095805</c:v>
                </c:pt>
                <c:pt idx="456">
                  <c:v>-188.3914594671152</c:v>
                </c:pt>
                <c:pt idx="457">
                  <c:v>-188.42911857142914</c:v>
                </c:pt>
                <c:pt idx="458">
                  <c:v>-188.46673710126558</c:v>
                </c:pt>
                <c:pt idx="459">
                  <c:v>-188.50431560167968</c:v>
                </c:pt>
                <c:pt idx="460">
                  <c:v>-188.54185460572845</c:v>
                </c:pt>
                <c:pt idx="461">
                  <c:v>-188.57935463477386</c:v>
                </c:pt>
                <c:pt idx="462">
                  <c:v>-188.6168161987772</c:v>
                </c:pt>
                <c:pt idx="463">
                  <c:v>-188.65423979658451</c:v>
                </c:pt>
                <c:pt idx="464">
                  <c:v>-188.69162591620454</c:v>
                </c:pt>
                <c:pt idx="465">
                  <c:v>-188.72897503507807</c:v>
                </c:pt>
                <c:pt idx="466">
                  <c:v>-188.76628762033994</c:v>
                </c:pt>
                <c:pt idx="467">
                  <c:v>-188.80356412907344</c:v>
                </c:pt>
                <c:pt idx="468">
                  <c:v>-188.84080500855742</c:v>
                </c:pt>
                <c:pt idx="469">
                  <c:v>-188.87801069650675</c:v>
                </c:pt>
                <c:pt idx="470">
                  <c:v>-188.91518162130555</c:v>
                </c:pt>
                <c:pt idx="471">
                  <c:v>-188.95231820223427</c:v>
                </c:pt>
                <c:pt idx="472">
                  <c:v>-188.98942084969019</c:v>
                </c:pt>
                <c:pt idx="473">
                  <c:v>-189.02648996540185</c:v>
                </c:pt>
                <c:pt idx="474">
                  <c:v>-189.06352594263765</c:v>
                </c:pt>
                <c:pt idx="475">
                  <c:v>-189.10052916640834</c:v>
                </c:pt>
                <c:pt idx="476">
                  <c:v>-189.13750001366429</c:v>
                </c:pt>
                <c:pt idx="477">
                  <c:v>-189.17443885348749</c:v>
                </c:pt>
                <c:pt idx="478">
                  <c:v>-189.21134604727752</c:v>
                </c:pt>
                <c:pt idx="479">
                  <c:v>-189.24822194893335</c:v>
                </c:pt>
                <c:pt idx="480">
                  <c:v>-189.28506690502968</c:v>
                </c:pt>
                <c:pt idx="481">
                  <c:v>-189.32188125498874</c:v>
                </c:pt>
                <c:pt idx="482">
                  <c:v>-189.35866533124721</c:v>
                </c:pt>
                <c:pt idx="483">
                  <c:v>-189.39541945941903</c:v>
                </c:pt>
                <c:pt idx="484">
                  <c:v>-189.43214395845351</c:v>
                </c:pt>
                <c:pt idx="485">
                  <c:v>-189.46883914078944</c:v>
                </c:pt>
                <c:pt idx="486">
                  <c:v>-189.50550531250494</c:v>
                </c:pt>
                <c:pt idx="487">
                  <c:v>-189.54214277346355</c:v>
                </c:pt>
                <c:pt idx="488">
                  <c:v>-189.57875181745624</c:v>
                </c:pt>
                <c:pt idx="489">
                  <c:v>-189.61533273233985</c:v>
                </c:pt>
                <c:pt idx="490">
                  <c:v>-189.6518858001719</c:v>
                </c:pt>
                <c:pt idx="491">
                  <c:v>-189.68841129734179</c:v>
                </c:pt>
                <c:pt idx="492">
                  <c:v>-189.72490949469847</c:v>
                </c:pt>
                <c:pt idx="493">
                  <c:v>-189.76138065767535</c:v>
                </c:pt>
                <c:pt idx="494">
                  <c:v>-189.79782504641119</c:v>
                </c:pt>
                <c:pt idx="495">
                  <c:v>-189.83424291586846</c:v>
                </c:pt>
                <c:pt idx="496">
                  <c:v>-189.87063451594858</c:v>
                </c:pt>
                <c:pt idx="497">
                  <c:v>-189.90700009160389</c:v>
                </c:pt>
                <c:pt idx="498">
                  <c:v>-189.94333988294727</c:v>
                </c:pt>
                <c:pt idx="499">
                  <c:v>-189.97965412535854</c:v>
                </c:pt>
                <c:pt idx="500">
                  <c:v>-190.0159430495882</c:v>
                </c:pt>
                <c:pt idx="501">
                  <c:v>-190.05220688185904</c:v>
                </c:pt>
                <c:pt idx="502">
                  <c:v>-190.08844584396468</c:v>
                </c:pt>
                <c:pt idx="503">
                  <c:v>-190.12466015336562</c:v>
                </c:pt>
                <c:pt idx="504">
                  <c:v>-190.16085002328339</c:v>
                </c:pt>
                <c:pt idx="505">
                  <c:v>-190.19701566279181</c:v>
                </c:pt>
                <c:pt idx="506">
                  <c:v>-190.23315727690644</c:v>
                </c:pt>
                <c:pt idx="507">
                  <c:v>-190.26927506667138</c:v>
                </c:pt>
                <c:pt idx="508">
                  <c:v>-190.30536922924441</c:v>
                </c:pt>
                <c:pt idx="509">
                  <c:v>-190.34143995797945</c:v>
                </c:pt>
                <c:pt idx="510">
                  <c:v>-190.37748744250774</c:v>
                </c:pt>
                <c:pt idx="511">
                  <c:v>-190.41351186881636</c:v>
                </c:pt>
                <c:pt idx="512">
                  <c:v>-190.44951341932526</c:v>
                </c:pt>
                <c:pt idx="513">
                  <c:v>-190.48549227296212</c:v>
                </c:pt>
                <c:pt idx="514">
                  <c:v>-190.52144860523597</c:v>
                </c:pt>
                <c:pt idx="515">
                  <c:v>-190.55738258830812</c:v>
                </c:pt>
                <c:pt idx="516">
                  <c:v>-190.59329439106219</c:v>
                </c:pt>
                <c:pt idx="517">
                  <c:v>-190.62918417917237</c:v>
                </c:pt>
                <c:pt idx="518">
                  <c:v>-190.66505211516943</c:v>
                </c:pt>
                <c:pt idx="519">
                  <c:v>-190.70089835850601</c:v>
                </c:pt>
                <c:pt idx="520">
                  <c:v>-190.7367230656196</c:v>
                </c:pt>
                <c:pt idx="521">
                  <c:v>-190.77252638999479</c:v>
                </c:pt>
                <c:pt idx="522">
                  <c:v>-190.8083084822234</c:v>
                </c:pt>
                <c:pt idx="523">
                  <c:v>-190.84406949006342</c:v>
                </c:pt>
                <c:pt idx="524">
                  <c:v>-190.87980955849682</c:v>
                </c:pt>
                <c:pt idx="525">
                  <c:v>-190.91552882978553</c:v>
                </c:pt>
                <c:pt idx="526">
                  <c:v>-190.95122744352673</c:v>
                </c:pt>
                <c:pt idx="527">
                  <c:v>-190.98690553670636</c:v>
                </c:pt>
                <c:pt idx="528">
                  <c:v>-191.02256324375139</c:v>
                </c:pt>
                <c:pt idx="529">
                  <c:v>-191.05820069658137</c:v>
                </c:pt>
                <c:pt idx="530">
                  <c:v>-191.09381802465833</c:v>
                </c:pt>
                <c:pt idx="531">
                  <c:v>-191.12941535503566</c:v>
                </c:pt>
                <c:pt idx="532">
                  <c:v>-191.16499281240613</c:v>
                </c:pt>
                <c:pt idx="533">
                  <c:v>-191.20055051914827</c:v>
                </c:pt>
                <c:pt idx="534">
                  <c:v>-191.23608859537228</c:v>
                </c:pt>
                <c:pt idx="535">
                  <c:v>-191.27160715896466</c:v>
                </c:pt>
                <c:pt idx="536">
                  <c:v>-191.30710632563171</c:v>
                </c:pt>
                <c:pt idx="537">
                  <c:v>-191.34258620894227</c:v>
                </c:pt>
                <c:pt idx="538">
                  <c:v>-191.37804692036943</c:v>
                </c:pt>
                <c:pt idx="539">
                  <c:v>-191.41348856933121</c:v>
                </c:pt>
                <c:pt idx="540">
                  <c:v>-191.44891126323043</c:v>
                </c:pt>
                <c:pt idx="541">
                  <c:v>-191.48431510749387</c:v>
                </c:pt>
                <c:pt idx="542">
                  <c:v>-191.51970020561015</c:v>
                </c:pt>
                <c:pt idx="543">
                  <c:v>-191.55506665916707</c:v>
                </c:pt>
                <c:pt idx="544">
                  <c:v>-191.59041456788827</c:v>
                </c:pt>
                <c:pt idx="545">
                  <c:v>-191.62574402966854</c:v>
                </c:pt>
                <c:pt idx="546">
                  <c:v>-191.66105514060905</c:v>
                </c:pt>
                <c:pt idx="547">
                  <c:v>-191.69634799505121</c:v>
                </c:pt>
                <c:pt idx="548">
                  <c:v>-191.73162268561029</c:v>
                </c:pt>
                <c:pt idx="549">
                  <c:v>-191.76687930320787</c:v>
                </c:pt>
                <c:pt idx="550">
                  <c:v>-191.80211793710399</c:v>
                </c:pt>
                <c:pt idx="551">
                  <c:v>-191.8373386749283</c:v>
                </c:pt>
                <c:pt idx="552">
                  <c:v>-191.87254160271067</c:v>
                </c:pt>
                <c:pt idx="553">
                  <c:v>-191.90772680491125</c:v>
                </c:pt>
                <c:pt idx="554">
                  <c:v>-191.94289436444959</c:v>
                </c:pt>
                <c:pt idx="555">
                  <c:v>-191.97804436273358</c:v>
                </c:pt>
                <c:pt idx="556">
                  <c:v>-192.01317687968745</c:v>
                </c:pt>
                <c:pt idx="557">
                  <c:v>-192.04829199377903</c:v>
                </c:pt>
                <c:pt idx="558">
                  <c:v>-192.08338978204702</c:v>
                </c:pt>
                <c:pt idx="559">
                  <c:v>-192.11847032012716</c:v>
                </c:pt>
                <c:pt idx="560">
                  <c:v>-192.15353368227798</c:v>
                </c:pt>
                <c:pt idx="561">
                  <c:v>-192.18857994140615</c:v>
                </c:pt>
                <c:pt idx="562">
                  <c:v>-192.22360916909128</c:v>
                </c:pt>
                <c:pt idx="563">
                  <c:v>-192.25862143560988</c:v>
                </c:pt>
                <c:pt idx="564">
                  <c:v>-192.29361680995947</c:v>
                </c:pt>
                <c:pt idx="565">
                  <c:v>-192.32859535988149</c:v>
                </c:pt>
                <c:pt idx="566">
                  <c:v>-192.36355715188415</c:v>
                </c:pt>
                <c:pt idx="567">
                  <c:v>-192.3985022512648</c:v>
                </c:pt>
                <c:pt idx="568">
                  <c:v>-192.4334307221317</c:v>
                </c:pt>
                <c:pt idx="569">
                  <c:v>-192.46834262742544</c:v>
                </c:pt>
                <c:pt idx="570">
                  <c:v>-192.50323802893976</c:v>
                </c:pt>
                <c:pt idx="571">
                  <c:v>-192.53811698734231</c:v>
                </c:pt>
                <c:pt idx="572">
                  <c:v>-192.5729795621946</c:v>
                </c:pt>
                <c:pt idx="573">
                  <c:v>-192.60782581197182</c:v>
                </c:pt>
                <c:pt idx="574">
                  <c:v>-192.64265579408203</c:v>
                </c:pt>
                <c:pt idx="575">
                  <c:v>-192.67746956488517</c:v>
                </c:pt>
                <c:pt idx="576">
                  <c:v>-192.71226717971166</c:v>
                </c:pt>
                <c:pt idx="577">
                  <c:v>-192.74704869288041</c:v>
                </c:pt>
                <c:pt idx="578">
                  <c:v>-192.78181415771684</c:v>
                </c:pt>
                <c:pt idx="579">
                  <c:v>-192.81656362657026</c:v>
                </c:pt>
                <c:pt idx="580">
                  <c:v>-192.85129715083096</c:v>
                </c:pt>
                <c:pt idx="581">
                  <c:v>-192.88601478094711</c:v>
                </c:pt>
                <c:pt idx="582">
                  <c:v>-192.92071656644094</c:v>
                </c:pt>
                <c:pt idx="583">
                  <c:v>-192.95540255592533</c:v>
                </c:pt>
                <c:pt idx="584">
                  <c:v>-192.99007279711921</c:v>
                </c:pt>
                <c:pt idx="585">
                  <c:v>-193.02472733686326</c:v>
                </c:pt>
                <c:pt idx="586">
                  <c:v>-193.05936622113512</c:v>
                </c:pt>
                <c:pt idx="587">
                  <c:v>-193.09398949506428</c:v>
                </c:pt>
                <c:pt idx="588">
                  <c:v>-193.12859720294676</c:v>
                </c:pt>
                <c:pt idx="589">
                  <c:v>-193.16318938825927</c:v>
                </c:pt>
                <c:pt idx="590">
                  <c:v>-193.19776609367355</c:v>
                </c:pt>
                <c:pt idx="591">
                  <c:v>-193.23232736106996</c:v>
                </c:pt>
                <c:pt idx="592">
                  <c:v>-193.26687323155124</c:v>
                </c:pt>
                <c:pt idx="593">
                  <c:v>-193.30140374545539</c:v>
                </c:pt>
                <c:pt idx="594">
                  <c:v>-193.33591894236932</c:v>
                </c:pt>
                <c:pt idx="595">
                  <c:v>-193.37041886114093</c:v>
                </c:pt>
                <c:pt idx="596">
                  <c:v>-193.40490353989219</c:v>
                </c:pt>
                <c:pt idx="597">
                  <c:v>-193.4393730160312</c:v>
                </c:pt>
                <c:pt idx="598">
                  <c:v>-193.47382732626434</c:v>
                </c:pt>
                <c:pt idx="599">
                  <c:v>-193.50826650660801</c:v>
                </c:pt>
                <c:pt idx="600">
                  <c:v>-193.54269059240045</c:v>
                </c:pt>
                <c:pt idx="601">
                  <c:v>-193.5770996183129</c:v>
                </c:pt>
                <c:pt idx="602">
                  <c:v>-193.61149361836112</c:v>
                </c:pt>
                <c:pt idx="603">
                  <c:v>-193.64587262591596</c:v>
                </c:pt>
                <c:pt idx="604">
                  <c:v>-193.68023667371455</c:v>
                </c:pt>
                <c:pt idx="605">
                  <c:v>-193.71458579387067</c:v>
                </c:pt>
                <c:pt idx="606">
                  <c:v>-195.41356482177676</c:v>
                </c:pt>
                <c:pt idx="607">
                  <c:v>-197.07760387985164</c:v>
                </c:pt>
                <c:pt idx="608">
                  <c:v>-198.70745866042182</c:v>
                </c:pt>
                <c:pt idx="609">
                  <c:v>-200.30305309224926</c:v>
                </c:pt>
                <c:pt idx="610">
                  <c:v>-201.86396321661209</c:v>
                </c:pt>
                <c:pt idx="611">
                  <c:v>-203.38965936864105</c:v>
                </c:pt>
                <c:pt idx="612">
                  <c:v>-204.87963242292352</c:v>
                </c:pt>
                <c:pt idx="613">
                  <c:v>-206.33346009749826</c:v>
                </c:pt>
                <c:pt idx="614">
                  <c:v>-207.75084028330983</c:v>
                </c:pt>
                <c:pt idx="615">
                  <c:v>-209.13160532536818</c:v>
                </c:pt>
                <c:pt idx="616">
                  <c:v>-210.4757249176329</c:v>
                </c:pt>
                <c:pt idx="617">
                  <c:v>-211.78330207671036</c:v>
                </c:pt>
                <c:pt idx="618">
                  <c:v>-212.34052768347735</c:v>
                </c:pt>
                <c:pt idx="619">
                  <c:v>-212.89055793168302</c:v>
                </c:pt>
                <c:pt idx="620">
                  <c:v>-213.43349373325248</c:v>
                </c:pt>
                <c:pt idx="621">
                  <c:v>-213.96943257833291</c:v>
                </c:pt>
                <c:pt idx="622">
                  <c:v>-214.49846898443303</c:v>
                </c:pt>
                <c:pt idx="623">
                  <c:v>-215.02069488225743</c:v>
                </c:pt>
                <c:pt idx="624">
                  <c:v>-215.53619994665664</c:v>
                </c:pt>
                <c:pt idx="625">
                  <c:v>-216.04507187996242</c:v>
                </c:pt>
                <c:pt idx="626">
                  <c:v>-216.54739665399018</c:v>
                </c:pt>
                <c:pt idx="627">
                  <c:v>-217.04325871615609</c:v>
                </c:pt>
                <c:pt idx="628">
                  <c:v>-217.53274116443507</c:v>
                </c:pt>
                <c:pt idx="629">
                  <c:v>-218.01592589527277</c:v>
                </c:pt>
                <c:pt idx="630">
                  <c:v>-218.49289372803145</c:v>
                </c:pt>
                <c:pt idx="631">
                  <c:v>-218.96372450909442</c:v>
                </c:pt>
                <c:pt idx="632">
                  <c:v>-219.42849719835414</c:v>
                </c:pt>
                <c:pt idx="633">
                  <c:v>-219.88728994047005</c:v>
                </c:pt>
                <c:pt idx="634">
                  <c:v>-220.34018012297813</c:v>
                </c:pt>
                <c:pt idx="635">
                  <c:v>-220.78724442307816</c:v>
                </c:pt>
                <c:pt idx="636">
                  <c:v>-221.22855884469527</c:v>
                </c:pt>
                <c:pt idx="637">
                  <c:v>-221.66419874721396</c:v>
                </c:pt>
                <c:pt idx="638">
                  <c:v>-222.09423886710996</c:v>
                </c:pt>
                <c:pt idx="639">
                  <c:v>-222.51875333355105</c:v>
                </c:pt>
                <c:pt idx="640">
                  <c:v>-222.93781567890548</c:v>
                </c:pt>
                <c:pt idx="641">
                  <c:v>-223.35149884497807</c:v>
                </c:pt>
                <c:pt idx="642">
                  <c:v>-223.75987518569107</c:v>
                </c:pt>
                <c:pt idx="643">
                  <c:v>-224.16301646683422</c:v>
                </c:pt>
                <c:pt idx="644">
                  <c:v>-224.56099386343021</c:v>
                </c:pt>
                <c:pt idx="645">
                  <c:v>-224.95387795518917</c:v>
                </c:pt>
                <c:pt idx="646">
                  <c:v>-225.34173872046335</c:v>
                </c:pt>
                <c:pt idx="647">
                  <c:v>-225.72464552905876</c:v>
                </c:pt>
                <c:pt idx="648">
                  <c:v>-226.10266713421214</c:v>
                </c:pt>
                <c:pt idx="649">
                  <c:v>-226.47587166399643</c:v>
                </c:pt>
                <c:pt idx="650">
                  <c:v>-226.84432661238364</c:v>
                </c:pt>
                <c:pt idx="651">
                  <c:v>-227.20809883015656</c:v>
                </c:pt>
                <c:pt idx="652">
                  <c:v>-227.5672545158358</c:v>
                </c:pt>
                <c:pt idx="653">
                  <c:v>-227.92185920675834</c:v>
                </c:pt>
                <c:pt idx="654">
                  <c:v>-228.27197777042417</c:v>
                </c:pt>
                <c:pt idx="655">
                  <c:v>-228.61767439620689</c:v>
                </c:pt>
                <c:pt idx="656">
                  <c:v>-228.95901258750527</c:v>
                </c:pt>
                <c:pt idx="657">
                  <c:v>-229.29605515439928</c:v>
                </c:pt>
                <c:pt idx="658">
                  <c:v>-229.62886420685984</c:v>
                </c:pt>
                <c:pt idx="659">
                  <c:v>-229.95750114854965</c:v>
                </c:pt>
                <c:pt idx="660">
                  <c:v>-230.28202667124262</c:v>
                </c:pt>
                <c:pt idx="661">
                  <c:v>-230.60250074988105</c:v>
                </c:pt>
                <c:pt idx="662">
                  <c:v>-230.91898263828108</c:v>
                </c:pt>
                <c:pt idx="663">
                  <c:v>-231.23153086549164</c:v>
                </c:pt>
                <c:pt idx="664">
                  <c:v>-231.54020323280537</c:v>
                </c:pt>
                <c:pt idx="665">
                  <c:v>-231.84505681141613</c:v>
                </c:pt>
                <c:pt idx="666">
                  <c:v>-232.14614794071358</c:v>
                </c:pt>
                <c:pt idx="667">
                  <c:v>-232.44353222720156</c:v>
                </c:pt>
              </c:numCache>
            </c:numRef>
          </c:yVal>
          <c:smooth val="0"/>
          <c:extLst>
            <c:ext xmlns:c16="http://schemas.microsoft.com/office/drawing/2014/chart" uri="{C3380CC4-5D6E-409C-BE32-E72D297353CC}">
              <c16:uniqueId val="{0000000D-BED3-43CF-9D4A-81AF6A44D307}"/>
            </c:ext>
          </c:extLst>
        </c:ser>
        <c:ser>
          <c:idx val="1"/>
          <c:order val="8"/>
          <c:tx>
            <c:v>Fc1</c:v>
          </c:tx>
          <c:spPr>
            <a:ln w="25400">
              <a:solidFill>
                <a:schemeClr val="tx1">
                  <a:lumMod val="50000"/>
                  <a:lumOff val="50000"/>
                </a:schemeClr>
              </a:solidFill>
              <a:prstDash val="sysDash"/>
            </a:ln>
          </c:spPr>
          <c:marker>
            <c:symbol val="plus"/>
            <c:size val="10"/>
            <c:spPr>
              <a:noFill/>
              <a:ln w="28575">
                <a:solidFill>
                  <a:schemeClr val="tx1"/>
                </a:solidFill>
              </a:ln>
            </c:spPr>
          </c:marker>
          <c:dPt>
            <c:idx val="2"/>
            <c:marker>
              <c:symbol val="none"/>
            </c:marker>
            <c:bubble3D val="0"/>
            <c:extLst>
              <c:ext xmlns:c16="http://schemas.microsoft.com/office/drawing/2014/chart" uri="{C3380CC4-5D6E-409C-BE32-E72D297353CC}">
                <c16:uniqueId val="{0000000E-BED3-43CF-9D4A-81AF6A44D307}"/>
              </c:ext>
            </c:extLst>
          </c:dPt>
          <c:xVal>
            <c:numRef>
              <c:f>'Bode Plots Calculations'!$B$690:$B$691</c:f>
              <c:numCache>
                <c:formatCode>General</c:formatCode>
                <c:ptCount val="2"/>
                <c:pt idx="0">
                  <c:v>27.5</c:v>
                </c:pt>
                <c:pt idx="1">
                  <c:v>27.5</c:v>
                </c:pt>
              </c:numCache>
            </c:numRef>
          </c:xVal>
          <c:yVal>
            <c:numRef>
              <c:f>'Bode Plots Calculations'!$BG$690:$BG$691</c:f>
              <c:numCache>
                <c:formatCode>General</c:formatCode>
                <c:ptCount val="2"/>
                <c:pt idx="0">
                  <c:v>-114.98771015838007</c:v>
                </c:pt>
                <c:pt idx="1">
                  <c:v>-90</c:v>
                </c:pt>
              </c:numCache>
            </c:numRef>
          </c:yVal>
          <c:smooth val="0"/>
          <c:extLst>
            <c:ext xmlns:c16="http://schemas.microsoft.com/office/drawing/2014/chart" uri="{C3380CC4-5D6E-409C-BE32-E72D297353CC}">
              <c16:uniqueId val="{0000000F-BED3-43CF-9D4A-81AF6A44D307}"/>
            </c:ext>
          </c:extLst>
        </c:ser>
        <c:ser>
          <c:idx val="0"/>
          <c:order val="9"/>
          <c:tx>
            <c:v>Fc2</c:v>
          </c:tx>
          <c:spPr>
            <a:ln w="25400">
              <a:solidFill>
                <a:schemeClr val="tx1">
                  <a:lumMod val="50000"/>
                  <a:lumOff val="50000"/>
                </a:schemeClr>
              </a:solidFill>
              <a:prstDash val="sysDash"/>
            </a:ln>
          </c:spPr>
          <c:marker>
            <c:symbol val="none"/>
          </c:marker>
          <c:xVal>
            <c:numRef>
              <c:f>'Bode Plots Calculations'!$B$688:$B$689</c:f>
              <c:numCache>
                <c:formatCode>General</c:formatCode>
                <c:ptCount val="2"/>
                <c:pt idx="0">
                  <c:v>27.5</c:v>
                </c:pt>
                <c:pt idx="1">
                  <c:v>1000</c:v>
                </c:pt>
              </c:numCache>
            </c:numRef>
          </c:xVal>
          <c:yVal>
            <c:numRef>
              <c:f>'Bode Plots Calculations'!$BG$688:$BG$689</c:f>
              <c:numCache>
                <c:formatCode>General</c:formatCode>
                <c:ptCount val="2"/>
                <c:pt idx="0">
                  <c:v>-114.98771015838007</c:v>
                </c:pt>
                <c:pt idx="1">
                  <c:v>-114.98771015838007</c:v>
                </c:pt>
              </c:numCache>
            </c:numRef>
          </c:yVal>
          <c:smooth val="0"/>
          <c:extLst>
            <c:ext xmlns:c16="http://schemas.microsoft.com/office/drawing/2014/chart" uri="{C3380CC4-5D6E-409C-BE32-E72D297353CC}">
              <c16:uniqueId val="{00000010-BED3-43CF-9D4A-81AF6A44D307}"/>
            </c:ext>
          </c:extLst>
        </c:ser>
        <c:dLbls>
          <c:showLegendKey val="0"/>
          <c:showVal val="0"/>
          <c:showCatName val="0"/>
          <c:showSerName val="0"/>
          <c:showPercent val="0"/>
          <c:showBubbleSize val="0"/>
        </c:dLbls>
        <c:axId val="330383744"/>
        <c:axId val="330385280"/>
      </c:scatterChart>
      <c:valAx>
        <c:axId val="315151872"/>
        <c:scaling>
          <c:logBase val="10"/>
          <c:orientation val="minMax"/>
          <c:max val="1000"/>
          <c:min val="1"/>
        </c:scaling>
        <c:delete val="0"/>
        <c:axPos val="b"/>
        <c:majorGridlines>
          <c:spPr>
            <a:ln w="3175">
              <a:solidFill>
                <a:srgbClr val="969696"/>
              </a:solidFill>
              <a:prstDash val="solid"/>
            </a:ln>
          </c:spPr>
        </c:majorGridlines>
        <c:minorGridlines>
          <c:spPr>
            <a:ln w="3175">
              <a:solidFill>
                <a:srgbClr val="969696"/>
              </a:solidFill>
              <a:prstDash val="solid"/>
            </a:ln>
          </c:spPr>
        </c:minorGridlines>
        <c:title>
          <c:tx>
            <c:rich>
              <a:bodyPr/>
              <a:lstStyle/>
              <a:p>
                <a:pPr>
                  <a:defRPr sz="1200" b="1" i="0" u="none" strike="noStrike" baseline="0">
                    <a:solidFill>
                      <a:srgbClr val="000000"/>
                    </a:solidFill>
                    <a:latin typeface="Arial" pitchFamily="34" charset="0"/>
                    <a:ea typeface="Calibri"/>
                    <a:cs typeface="Arial" pitchFamily="34" charset="0"/>
                  </a:defRPr>
                </a:pPr>
                <a:r>
                  <a:rPr lang="en-US" sz="1200">
                    <a:latin typeface="Arial" pitchFamily="34" charset="0"/>
                    <a:cs typeface="Arial" pitchFamily="34" charset="0"/>
                  </a:rPr>
                  <a:t>Frequency (kHz)</a:t>
                </a:r>
              </a:p>
            </c:rich>
          </c:tx>
          <c:layout>
            <c:manualLayout>
              <c:xMode val="edge"/>
              <c:yMode val="edge"/>
              <c:x val="0.43129335085799175"/>
              <c:y val="0.92232197841820085"/>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sz="1100" b="1" i="0" u="none" strike="noStrike" baseline="0">
                <a:solidFill>
                  <a:srgbClr val="000000"/>
                </a:solidFill>
                <a:latin typeface="Arial" pitchFamily="34" charset="0"/>
                <a:ea typeface="Calibri"/>
                <a:cs typeface="Arial" pitchFamily="34" charset="0"/>
              </a:defRPr>
            </a:pPr>
            <a:endParaRPr lang="en-US"/>
          </a:p>
        </c:txPr>
        <c:crossAx val="315545856"/>
        <c:crossesAt val="-80"/>
        <c:crossBetween val="midCat"/>
      </c:valAx>
      <c:valAx>
        <c:axId val="315545856"/>
        <c:scaling>
          <c:orientation val="minMax"/>
          <c:max val="40"/>
          <c:min val="-40"/>
        </c:scaling>
        <c:delete val="0"/>
        <c:axPos val="l"/>
        <c:majorGridlines>
          <c:spPr>
            <a:ln w="3175">
              <a:solidFill>
                <a:srgbClr val="969696"/>
              </a:solidFill>
              <a:prstDash val="solid"/>
            </a:ln>
          </c:spPr>
        </c:majorGridlines>
        <c:title>
          <c:tx>
            <c:rich>
              <a:bodyPr/>
              <a:lstStyle/>
              <a:p>
                <a:pPr>
                  <a:defRPr sz="1200" b="1" i="0" u="none" strike="noStrike" baseline="0">
                    <a:solidFill>
                      <a:srgbClr val="FF0000"/>
                    </a:solidFill>
                    <a:latin typeface="Arial" pitchFamily="34" charset="0"/>
                    <a:ea typeface="Calibri"/>
                    <a:cs typeface="Arial" pitchFamily="34" charset="0"/>
                  </a:defRPr>
                </a:pPr>
                <a:r>
                  <a:rPr lang="en-US" sz="1200" u="none">
                    <a:solidFill>
                      <a:srgbClr val="FF0000"/>
                    </a:solidFill>
                    <a:latin typeface="Arial" pitchFamily="34" charset="0"/>
                    <a:cs typeface="Arial" pitchFamily="34" charset="0"/>
                  </a:rPr>
                  <a:t>Gain (dB)</a:t>
                </a:r>
              </a:p>
            </c:rich>
          </c:tx>
          <c:layout>
            <c:manualLayout>
              <c:xMode val="edge"/>
              <c:yMode val="edge"/>
              <c:x val="2.0807805833455456E-2"/>
              <c:y val="0.395426867511771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315151872"/>
        <c:crossesAt val="1"/>
        <c:crossBetween val="midCat"/>
        <c:majorUnit val="10"/>
      </c:valAx>
      <c:valAx>
        <c:axId val="330383744"/>
        <c:scaling>
          <c:logBase val="10"/>
          <c:orientation val="minMax"/>
        </c:scaling>
        <c:delete val="1"/>
        <c:axPos val="b"/>
        <c:numFmt formatCode="General" sourceLinked="1"/>
        <c:majorTickMark val="out"/>
        <c:minorTickMark val="none"/>
        <c:tickLblPos val="none"/>
        <c:crossAx val="330385280"/>
        <c:crosses val="autoZero"/>
        <c:crossBetween val="midCat"/>
      </c:valAx>
      <c:valAx>
        <c:axId val="330385280"/>
        <c:scaling>
          <c:orientation val="minMax"/>
          <c:max val="0"/>
          <c:min val="-180"/>
        </c:scaling>
        <c:delete val="0"/>
        <c:axPos val="r"/>
        <c:title>
          <c:tx>
            <c:rich>
              <a:bodyPr/>
              <a:lstStyle/>
              <a:p>
                <a:pPr>
                  <a:defRPr sz="1200" b="1" i="0" u="none" strike="noStrike" baseline="0">
                    <a:solidFill>
                      <a:srgbClr val="002060"/>
                    </a:solidFill>
                    <a:latin typeface="Arial" pitchFamily="34" charset="0"/>
                    <a:ea typeface="Calibri"/>
                    <a:cs typeface="Arial" pitchFamily="34" charset="0"/>
                  </a:defRPr>
                </a:pPr>
                <a:r>
                  <a:rPr lang="en-US" sz="1200" b="1">
                    <a:solidFill>
                      <a:srgbClr val="002060"/>
                    </a:solidFill>
                    <a:latin typeface="Arial" pitchFamily="34" charset="0"/>
                    <a:cs typeface="Arial" pitchFamily="34" charset="0"/>
                  </a:rPr>
                  <a:t>Phase  (°)</a:t>
                </a:r>
              </a:p>
            </c:rich>
          </c:tx>
          <c:layout>
            <c:manualLayout>
              <c:xMode val="edge"/>
              <c:yMode val="edge"/>
              <c:x val="0.96352677492317973"/>
              <c:y val="0.39364244498015538"/>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1050" b="1" i="0" u="none" strike="noStrike" baseline="0">
                <a:solidFill>
                  <a:srgbClr val="002060"/>
                </a:solidFill>
                <a:latin typeface="Arial" pitchFamily="34" charset="0"/>
                <a:ea typeface="Calibri"/>
                <a:cs typeface="Arial" pitchFamily="34" charset="0"/>
              </a:defRPr>
            </a:pPr>
            <a:endParaRPr lang="en-US"/>
          </a:p>
        </c:txPr>
        <c:crossAx val="330383744"/>
        <c:crosses val="max"/>
        <c:crossBetween val="midCat"/>
        <c:majorUnit val="45"/>
      </c:valAx>
      <c:spPr>
        <a:noFill/>
        <a:ln w="12700">
          <a:solidFill>
            <a:srgbClr val="808080"/>
          </a:solidFill>
          <a:prstDash val="solid"/>
        </a:ln>
      </c:spPr>
    </c:plotArea>
    <c:legend>
      <c:legendPos val="r"/>
      <c:legendEntry>
        <c:idx val="0"/>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8"/>
        <c:delete val="1"/>
      </c:legendEntry>
      <c:legendEntry>
        <c:idx val="9"/>
        <c:delete val="1"/>
      </c:legendEntry>
      <c:layout>
        <c:manualLayout>
          <c:xMode val="edge"/>
          <c:yMode val="edge"/>
          <c:x val="0.295216671637685"/>
          <c:y val="0"/>
          <c:w val="0.59720240253255119"/>
          <c:h val="9.9098873083628289E-2"/>
        </c:manualLayout>
      </c:layout>
      <c:overlay val="0"/>
      <c:spPr>
        <a:noFill/>
        <a:ln w="25400">
          <a:noFill/>
        </a:ln>
      </c:spPr>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
    <c:plotVisOnly val="1"/>
    <c:dispBlanksAs val="span"/>
    <c:showDLblsOverMax val="0"/>
  </c:chart>
  <c:spPr>
    <a:noFill/>
    <a:ln w="9525">
      <a:solidFill>
        <a:srgbClr val="808080"/>
      </a:solidFill>
    </a:ln>
  </c:spPr>
  <c:txPr>
    <a:bodyPr/>
    <a:lstStyle/>
    <a:p>
      <a:pPr>
        <a:defRPr sz="1000" b="1" i="0" u="none" strike="noStrike" baseline="0">
          <a:solidFill>
            <a:srgbClr val="000000"/>
          </a:solidFill>
          <a:latin typeface="Arial"/>
          <a:ea typeface="Arial"/>
          <a:cs typeface="Arial"/>
        </a:defRPr>
      </a:pPr>
      <a:endParaRPr lang="en-US"/>
    </a:p>
  </c:txPr>
  <c:printSettings>
    <c:headerFooter alignWithMargins="0"/>
    <c:pageMargins b="1" l="0.75000000000000622" r="0.75000000000000622" t="1" header="0.5" footer="0.5"/>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rgbClr val="000000"/>
                </a:solidFill>
                <a:latin typeface="Arial" pitchFamily="34" charset="0"/>
                <a:ea typeface="Calibri"/>
                <a:cs typeface="Arial" pitchFamily="34" charset="0"/>
              </a:defRPr>
            </a:pPr>
            <a:r>
              <a:rPr lang="en-US" sz="1800" b="1" i="0" baseline="0">
                <a:effectLst/>
                <a:sym typeface="Symbol"/>
              </a:rPr>
              <a:t></a:t>
            </a:r>
            <a:r>
              <a:rPr lang="en-US" sz="1800" b="1" i="0" baseline="0">
                <a:effectLst/>
              </a:rPr>
              <a:t>, V</a:t>
            </a:r>
            <a:r>
              <a:rPr lang="en-US" sz="1800" b="1" i="0" baseline="-25000">
                <a:effectLst/>
              </a:rPr>
              <a:t>IN</a:t>
            </a:r>
            <a:r>
              <a:rPr lang="en-US" sz="1800" b="1" i="0" baseline="0">
                <a:effectLst/>
              </a:rPr>
              <a:t> = V</a:t>
            </a:r>
            <a:r>
              <a:rPr lang="en-US" sz="1800" b="1" i="0" baseline="-25000">
                <a:effectLst/>
              </a:rPr>
              <a:t>IN(nom)</a:t>
            </a:r>
            <a:endParaRPr lang="en-US">
              <a:effectLst/>
            </a:endParaRPr>
          </a:p>
        </c:rich>
      </c:tx>
      <c:layout>
        <c:manualLayout>
          <c:xMode val="edge"/>
          <c:yMode val="edge"/>
          <c:x val="8.2586704916618195E-2"/>
          <c:y val="1.8363289746112718E-2"/>
        </c:manualLayout>
      </c:layout>
      <c:overlay val="0"/>
      <c:spPr>
        <a:noFill/>
        <a:ln w="25400">
          <a:noFill/>
        </a:ln>
      </c:spPr>
    </c:title>
    <c:autoTitleDeleted val="0"/>
    <c:plotArea>
      <c:layout>
        <c:manualLayout>
          <c:layoutTarget val="inner"/>
          <c:xMode val="edge"/>
          <c:yMode val="edge"/>
          <c:x val="7.6761884085804283E-2"/>
          <c:y val="0.12133523343001466"/>
          <c:w val="0.82579990228506128"/>
          <c:h val="0.7558980268938309"/>
        </c:manualLayout>
      </c:layout>
      <c:lineChart>
        <c:grouping val="standard"/>
        <c:varyColors val="0"/>
        <c:ser>
          <c:idx val="0"/>
          <c:order val="0"/>
          <c:tx>
            <c:v>Efficiency</c:v>
          </c:tx>
          <c:spPr>
            <a:ln w="38100">
              <a:solidFill>
                <a:srgbClr val="FF0000"/>
              </a:solidFill>
              <a:prstDash val="solid"/>
            </a:ln>
          </c:spPr>
          <c:marker>
            <c:symbol val="none"/>
          </c:marker>
          <c:cat>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cat>
          <c:val>
            <c:numRef>
              <c:f>'Power Calculations'!$AU$9:$AU$209</c:f>
              <c:numCache>
                <c:formatCode>General</c:formatCode>
                <c:ptCount val="201"/>
                <c:pt idx="0">
                  <c:v>0</c:v>
                </c:pt>
                <c:pt idx="1">
                  <c:v>24.877967799174865</c:v>
                </c:pt>
                <c:pt idx="2">
                  <c:v>39.805695290077175</c:v>
                </c:pt>
                <c:pt idx="3">
                  <c:v>49.755737270625431</c:v>
                </c:pt>
                <c:pt idx="4">
                  <c:v>56.860445182491468</c:v>
                </c:pt>
                <c:pt idx="5">
                  <c:v>62.186407274229026</c:v>
                </c:pt>
                <c:pt idx="6">
                  <c:v>66.326335587968657</c:v>
                </c:pt>
                <c:pt idx="7">
                  <c:v>69.635930705192905</c:v>
                </c:pt>
                <c:pt idx="8">
                  <c:v>72.341583905642821</c:v>
                </c:pt>
                <c:pt idx="9">
                  <c:v>74.594242141339279</c:v>
                </c:pt>
                <c:pt idx="10">
                  <c:v>76.498418174586746</c:v>
                </c:pt>
                <c:pt idx="11">
                  <c:v>78.128770549436226</c:v>
                </c:pt>
                <c:pt idx="12">
                  <c:v>79.540052943572249</c:v>
                </c:pt>
                <c:pt idx="13">
                  <c:v>80.773333235288433</c:v>
                </c:pt>
                <c:pt idx="14">
                  <c:v>81.860018005447671</c:v>
                </c:pt>
                <c:pt idx="15">
                  <c:v>82.824535769561763</c:v>
                </c:pt>
                <c:pt idx="16">
                  <c:v>83.68617301151798</c:v>
                </c:pt>
                <c:pt idx="17">
                  <c:v>84.46035949246658</c:v>
                </c:pt>
                <c:pt idx="18">
                  <c:v>85.159586382746738</c:v>
                </c:pt>
                <c:pt idx="19">
                  <c:v>85.794074029439926</c:v>
                </c:pt>
                <c:pt idx="20">
                  <c:v>86.355015521524919</c:v>
                </c:pt>
                <c:pt idx="21">
                  <c:v>86.848755020322201</c:v>
                </c:pt>
                <c:pt idx="22">
                  <c:v>87.301616102138553</c:v>
                </c:pt>
                <c:pt idx="23">
                  <c:v>87.718355284781524</c:v>
                </c:pt>
                <c:pt idx="24">
                  <c:v>88.103018651794514</c:v>
                </c:pt>
                <c:pt idx="25">
                  <c:v>88.459069713308295</c:v>
                </c:pt>
                <c:pt idx="26">
                  <c:v>88.789490612129157</c:v>
                </c:pt>
                <c:pt idx="27">
                  <c:v>89.096862940130748</c:v>
                </c:pt>
                <c:pt idx="28">
                  <c:v>89.38343280175043</c:v>
                </c:pt>
                <c:pt idx="29">
                  <c:v>89.651163594223277</c:v>
                </c:pt>
                <c:pt idx="30">
                  <c:v>89.907820124891316</c:v>
                </c:pt>
                <c:pt idx="31">
                  <c:v>90.156481036536718</c:v>
                </c:pt>
                <c:pt idx="32">
                  <c:v>90.390172870648328</c:v>
                </c:pt>
                <c:pt idx="33">
                  <c:v>90.610144553558271</c:v>
                </c:pt>
                <c:pt idx="34">
                  <c:v>90.817509799001854</c:v>
                </c:pt>
                <c:pt idx="35">
                  <c:v>91.013264922483643</c:v>
                </c:pt>
                <c:pt idx="36">
                  <c:v>91.198303911482952</c:v>
                </c:pt>
                <c:pt idx="37">
                  <c:v>91.373431232322872</c:v>
                </c:pt>
                <c:pt idx="38">
                  <c:v>91.539372760593935</c:v>
                </c:pt>
                <c:pt idx="39">
                  <c:v>91.696785148242853</c:v>
                </c:pt>
                <c:pt idx="40">
                  <c:v>91.846263882116347</c:v>
                </c:pt>
                <c:pt idx="41">
                  <c:v>91.988350242372761</c:v>
                </c:pt>
                <c:pt idx="42">
                  <c:v>92.123537332081611</c:v>
                </c:pt>
                <c:pt idx="43">
                  <c:v>92.252275319504577</c:v>
                </c:pt>
                <c:pt idx="44">
                  <c:v>92.374976010442083</c:v>
                </c:pt>
                <c:pt idx="45">
                  <c:v>92.492016848445118</c:v>
                </c:pt>
                <c:pt idx="46">
                  <c:v>92.603744424708609</c:v>
                </c:pt>
                <c:pt idx="47">
                  <c:v>92.710477566359145</c:v>
                </c:pt>
                <c:pt idx="48">
                  <c:v>92.812510061060692</c:v>
                </c:pt>
                <c:pt idx="49">
                  <c:v>92.910113066942316</c:v>
                </c:pt>
                <c:pt idx="50">
                  <c:v>93.00353724944793</c:v>
                </c:pt>
                <c:pt idx="51">
                  <c:v>93.093014680539781</c:v>
                </c:pt>
                <c:pt idx="52">
                  <c:v>93.178760530528621</c:v>
                </c:pt>
                <c:pt idx="53">
                  <c:v>93.260974578475398</c:v>
                </c:pt>
                <c:pt idx="54">
                  <c:v>93.33984256346443</c:v>
                </c:pt>
                <c:pt idx="55">
                  <c:v>93.415537395969722</c:v>
                </c:pt>
                <c:pt idx="56">
                  <c:v>93.488220245927351</c:v>
                </c:pt>
                <c:pt idx="57">
                  <c:v>93.558041521910411</c:v>
                </c:pt>
                <c:pt idx="58">
                  <c:v>93.625141753912771</c:v>
                </c:pt>
                <c:pt idx="59">
                  <c:v>93.689652390633469</c:v>
                </c:pt>
                <c:pt idx="60">
                  <c:v>93.751696520768988</c:v>
                </c:pt>
                <c:pt idx="61">
                  <c:v>93.811389526631643</c:v>
                </c:pt>
                <c:pt idx="62">
                  <c:v>93.868839677387427</c:v>
                </c:pt>
                <c:pt idx="63">
                  <c:v>93.924148668322374</c:v>
                </c:pt>
                <c:pt idx="64">
                  <c:v>93.977412111780083</c:v>
                </c:pt>
                <c:pt idx="65">
                  <c:v>94.028719984749372</c:v>
                </c:pt>
                <c:pt idx="66">
                  <c:v>94.078157037502919</c:v>
                </c:pt>
                <c:pt idx="67">
                  <c:v>94.125803167184401</c:v>
                </c:pt>
                <c:pt idx="68">
                  <c:v>94.171733759802677</c:v>
                </c:pt>
                <c:pt idx="69">
                  <c:v>94.216020003706248</c:v>
                </c:pt>
                <c:pt idx="70">
                  <c:v>94.258729177275015</c:v>
                </c:pt>
                <c:pt idx="71">
                  <c:v>94.299924913269507</c:v>
                </c:pt>
                <c:pt idx="72">
                  <c:v>94.339667442017955</c:v>
                </c:pt>
                <c:pt idx="73">
                  <c:v>94.378013815391498</c:v>
                </c:pt>
                <c:pt idx="74">
                  <c:v>94.415018113315156</c:v>
                </c:pt>
                <c:pt idx="75">
                  <c:v>94.450731634382805</c:v>
                </c:pt>
                <c:pt idx="76">
                  <c:v>94.485203071985907</c:v>
                </c:pt>
                <c:pt idx="77">
                  <c:v>94.518478677223712</c:v>
                </c:pt>
                <c:pt idx="78">
                  <c:v>94.550602409738559</c:v>
                </c:pt>
                <c:pt idx="79">
                  <c:v>94.581616077507405</c:v>
                </c:pt>
                <c:pt idx="80">
                  <c:v>94.61155946652147</c:v>
                </c:pt>
                <c:pt idx="81">
                  <c:v>94.640470461197282</c:v>
                </c:pt>
                <c:pt idx="82">
                  <c:v>94.66838515628298</c:v>
                </c:pt>
                <c:pt idx="83">
                  <c:v>94.695337960952173</c:v>
                </c:pt>
                <c:pt idx="84">
                  <c:v>94.721361695714606</c:v>
                </c:pt>
                <c:pt idx="85">
                  <c:v>94.74648768271517</c:v>
                </c:pt>
                <c:pt idx="86">
                  <c:v>94.770745829941788</c:v>
                </c:pt>
                <c:pt idx="87">
                  <c:v>94.794164709815789</c:v>
                </c:pt>
                <c:pt idx="88">
                  <c:v>94.816771632597579</c:v>
                </c:pt>
                <c:pt idx="89">
                  <c:v>94.838592715001965</c:v>
                </c:pt>
                <c:pt idx="90">
                  <c:v>94.859652944384038</c:v>
                </c:pt>
                <c:pt idx="91">
                  <c:v>94.879976238825634</c:v>
                </c:pt>
                <c:pt idx="92">
                  <c:v>94.899585503424547</c:v>
                </c:pt>
                <c:pt idx="93">
                  <c:v>94.918502683063593</c:v>
                </c:pt>
                <c:pt idx="94">
                  <c:v>94.936748811913588</c:v>
                </c:pt>
                <c:pt idx="95">
                  <c:v>94.954344059903605</c:v>
                </c:pt>
                <c:pt idx="96">
                  <c:v>94.971307776373408</c:v>
                </c:pt>
                <c:pt idx="97">
                  <c:v>94.987658531104771</c:v>
                </c:pt>
                <c:pt idx="98">
                  <c:v>95.003414152914132</c:v>
                </c:pt>
                <c:pt idx="99">
                  <c:v>95.018591765973483</c:v>
                </c:pt>
                <c:pt idx="100">
                  <c:v>95.033207824014227</c:v>
                </c:pt>
                <c:pt idx="101">
                  <c:v>95.047278142556422</c:v>
                </c:pt>
                <c:pt idx="102">
                  <c:v>95.060817929295411</c:v>
                </c:pt>
                <c:pt idx="103">
                  <c:v>95.073841812767029</c:v>
                </c:pt>
                <c:pt idx="104">
                  <c:v>95.086363869404636</c:v>
                </c:pt>
                <c:pt idx="105">
                  <c:v>95.098397649091837</c:v>
                </c:pt>
                <c:pt idx="106">
                  <c:v>95.109956199307845</c:v>
                </c:pt>
                <c:pt idx="107">
                  <c:v>95.121052087954723</c:v>
                </c:pt>
                <c:pt idx="108">
                  <c:v>95.131697424950119</c:v>
                </c:pt>
                <c:pt idx="109">
                  <c:v>95.141903882662248</c:v>
                </c:pt>
                <c:pt idx="110">
                  <c:v>95.151682715259128</c:v>
                </c:pt>
                <c:pt idx="111">
                  <c:v>95.161044777038768</c:v>
                </c:pt>
                <c:pt idx="112">
                  <c:v>95.170000539802189</c:v>
                </c:pt>
                <c:pt idx="113">
                  <c:v>95.178560109327236</c:v>
                </c:pt>
                <c:pt idx="114">
                  <c:v>95.18673324099683</c:v>
                </c:pt>
                <c:pt idx="115">
                  <c:v>95.194529354632095</c:v>
                </c:pt>
                <c:pt idx="116">
                  <c:v>95.201957548576871</c:v>
                </c:pt>
                <c:pt idx="117">
                  <c:v>95.209026613077413</c:v>
                </c:pt>
                <c:pt idx="118">
                  <c:v>95.215745042998179</c:v>
                </c:pt>
                <c:pt idx="119">
                  <c:v>95.222121049911607</c:v>
                </c:pt>
                <c:pt idx="120">
                  <c:v>95.228162573597601</c:v>
                </c:pt>
                <c:pt idx="121">
                  <c:v>95.233877292986236</c:v>
                </c:pt>
                <c:pt idx="122">
                  <c:v>95.239272636574483</c:v>
                </c:pt>
                <c:pt idx="123">
                  <c:v>95.244355792346596</c:v>
                </c:pt>
                <c:pt idx="124">
                  <c:v>95.249133717225277</c:v>
                </c:pt>
                <c:pt idx="125">
                  <c:v>95.253613146079317</c:v>
                </c:pt>
                <c:pt idx="126">
                  <c:v>95.257800600311896</c:v>
                </c:pt>
                <c:pt idx="127">
                  <c:v>95.261702396052016</c:v>
                </c:pt>
                <c:pt idx="128">
                  <c:v>95.265324651970346</c:v>
                </c:pt>
                <c:pt idx="129">
                  <c:v>95.268673296739308</c:v>
                </c:pt>
                <c:pt idx="130">
                  <c:v>95.271754076156284</c:v>
                </c:pt>
                <c:pt idx="131">
                  <c:v>95.274572559947387</c:v>
                </c:pt>
                <c:pt idx="132">
                  <c:v>95.27713414826853</c:v>
                </c:pt>
                <c:pt idx="133">
                  <c:v>95.279444077919209</c:v>
                </c:pt>
                <c:pt idx="134">
                  <c:v>95.281507428283689</c:v>
                </c:pt>
                <c:pt idx="135">
                  <c:v>95.283329127013715</c:v>
                </c:pt>
                <c:pt idx="136">
                  <c:v>95.284913955465314</c:v>
                </c:pt>
                <c:pt idx="137">
                  <c:v>95.286266553902308</c:v>
                </c:pt>
                <c:pt idx="138">
                  <c:v>95.287391426478038</c:v>
                </c:pt>
                <c:pt idx="139">
                  <c:v>95.288292946006194</c:v>
                </c:pt>
                <c:pt idx="140">
                  <c:v>95.288975358531076</c:v>
                </c:pt>
                <c:pt idx="141">
                  <c:v>95.289442787707131</c:v>
                </c:pt>
                <c:pt idx="142">
                  <c:v>95.289699238996889</c:v>
                </c:pt>
                <c:pt idx="143">
                  <c:v>95.289748603695941</c:v>
                </c:pt>
                <c:pt idx="144">
                  <c:v>95.289594662793391</c:v>
                </c:pt>
                <c:pt idx="145">
                  <c:v>95.289241090675318</c:v>
                </c:pt>
                <c:pt idx="146">
                  <c:v>95.28869145867894</c:v>
                </c:pt>
                <c:pt idx="147">
                  <c:v>95.287949238504027</c:v>
                </c:pt>
                <c:pt idx="148">
                  <c:v>95.287017805488617</c:v>
                </c:pt>
                <c:pt idx="149">
                  <c:v>95.285900441754919</c:v>
                </c:pt>
                <c:pt idx="150">
                  <c:v>95.284600339231645</c:v>
                </c:pt>
                <c:pt idx="151">
                  <c:v>95.283120602558142</c:v>
                </c:pt>
                <c:pt idx="152">
                  <c:v>95.281464251875718</c:v>
                </c:pt>
                <c:pt idx="153">
                  <c:v>95.279634225511487</c:v>
                </c:pt>
                <c:pt idx="154">
                  <c:v>95.277633382558975</c:v>
                </c:pt>
                <c:pt idx="155">
                  <c:v>95.275464505360688</c:v>
                </c:pt>
                <c:pt idx="156">
                  <c:v>95.273130301896444</c:v>
                </c:pt>
                <c:pt idx="157">
                  <c:v>95.270633408081977</c:v>
                </c:pt>
                <c:pt idx="158">
                  <c:v>95.267976389981285</c:v>
                </c:pt>
                <c:pt idx="159">
                  <c:v>95.265161745937021</c:v>
                </c:pt>
                <c:pt idx="160">
                  <c:v>95.26219190862183</c:v>
                </c:pt>
                <c:pt idx="161">
                  <c:v>95.259069247014452</c:v>
                </c:pt>
                <c:pt idx="162">
                  <c:v>95.255796068303582</c:v>
                </c:pt>
                <c:pt idx="163">
                  <c:v>95.252374619722573</c:v>
                </c:pt>
                <c:pt idx="164">
                  <c:v>95.248807090317911</c:v>
                </c:pt>
                <c:pt idx="165">
                  <c:v>95.245095612654069</c:v>
                </c:pt>
                <c:pt idx="166">
                  <c:v>95.24124226445764</c:v>
                </c:pt>
                <c:pt idx="167">
                  <c:v>95.237249070202978</c:v>
                </c:pt>
                <c:pt idx="168">
                  <c:v>95.233118002641973</c:v>
                </c:pt>
                <c:pt idx="169">
                  <c:v>95.22885098427993</c:v>
                </c:pt>
                <c:pt idx="170">
                  <c:v>95.224449888800123</c:v>
                </c:pt>
                <c:pt idx="171">
                  <c:v>95.219916542438682</c:v>
                </c:pt>
                <c:pt idx="172">
                  <c:v>95.215252725312226</c:v>
                </c:pt>
                <c:pt idx="173">
                  <c:v>95.210460172699527</c:v>
                </c:pt>
                <c:pt idx="174">
                  <c:v>95.20554057627983</c:v>
                </c:pt>
                <c:pt idx="175">
                  <c:v>95.200495585328582</c:v>
                </c:pt>
                <c:pt idx="176">
                  <c:v>95.195326807873215</c:v>
                </c:pt>
                <c:pt idx="177">
                  <c:v>95.190035811809608</c:v>
                </c:pt>
                <c:pt idx="178">
                  <c:v>95.184624125981486</c:v>
                </c:pt>
                <c:pt idx="179">
                  <c:v>95.17909324122374</c:v>
                </c:pt>
                <c:pt idx="180">
                  <c:v>95.17344461137111</c:v>
                </c:pt>
                <c:pt idx="181">
                  <c:v>95.167679654233922</c:v>
                </c:pt>
                <c:pt idx="182">
                  <c:v>95.161799752541327</c:v>
                </c:pt>
                <c:pt idx="183">
                  <c:v>95.15580625485417</c:v>
                </c:pt>
                <c:pt idx="184">
                  <c:v>95.14970047644799</c:v>
                </c:pt>
                <c:pt idx="185">
                  <c:v>95.14348370016755</c:v>
                </c:pt>
                <c:pt idx="186">
                  <c:v>95.137157177253755</c:v>
                </c:pt>
                <c:pt idx="187">
                  <c:v>95.130722128144228</c:v>
                </c:pt>
                <c:pt idx="188">
                  <c:v>95.124179743248277</c:v>
                </c:pt>
                <c:pt idx="189">
                  <c:v>95.11753118369721</c:v>
                </c:pt>
                <c:pt idx="190">
                  <c:v>95.110777582071123</c:v>
                </c:pt>
                <c:pt idx="191">
                  <c:v>95.10392004310259</c:v>
                </c:pt>
                <c:pt idx="192">
                  <c:v>95.096959644358506</c:v>
                </c:pt>
                <c:pt idx="193">
                  <c:v>95.089897436900557</c:v>
                </c:pt>
                <c:pt idx="194">
                  <c:v>95.08273444592524</c:v>
                </c:pt>
                <c:pt idx="195">
                  <c:v>95.075471671384108</c:v>
                </c:pt>
                <c:pt idx="196">
                  <c:v>95.068110088584774</c:v>
                </c:pt>
                <c:pt idx="197">
                  <c:v>95.060650648773745</c:v>
                </c:pt>
                <c:pt idx="198">
                  <c:v>95.053094279701199</c:v>
                </c:pt>
                <c:pt idx="199">
                  <c:v>95.045441886168732</c:v>
                </c:pt>
                <c:pt idx="200">
                  <c:v>95.037694350560443</c:v>
                </c:pt>
              </c:numCache>
            </c:numRef>
          </c:val>
          <c:smooth val="0"/>
          <c:extLst>
            <c:ext xmlns:c16="http://schemas.microsoft.com/office/drawing/2014/chart" uri="{C3380CC4-5D6E-409C-BE32-E72D297353CC}">
              <c16:uniqueId val="{00000000-7890-472B-AAE1-D1CB0E55BFDF}"/>
            </c:ext>
          </c:extLst>
        </c:ser>
        <c:dLbls>
          <c:showLegendKey val="0"/>
          <c:showVal val="0"/>
          <c:showCatName val="0"/>
          <c:showSerName val="0"/>
          <c:showPercent val="0"/>
          <c:showBubbleSize val="0"/>
        </c:dLbls>
        <c:marker val="1"/>
        <c:smooth val="0"/>
        <c:axId val="308580352"/>
        <c:axId val="308582272"/>
      </c:lineChart>
      <c:lineChart>
        <c:grouping val="standard"/>
        <c:varyColors val="0"/>
        <c:ser>
          <c:idx val="3"/>
          <c:order val="1"/>
          <c:tx>
            <c:v> Inductor Copper &amp; Core Loss</c:v>
          </c:tx>
          <c:spPr>
            <a:ln w="38100">
              <a:solidFill>
                <a:srgbClr val="800080"/>
              </a:solidFill>
              <a:prstDash val="dash"/>
            </a:ln>
          </c:spPr>
          <c:marker>
            <c:symbol val="none"/>
          </c:marker>
          <c:cat>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cat>
          <c:val>
            <c:numRef>
              <c:f>'Power Calculations'!$Q$9:$Q$209</c:f>
              <c:numCache>
                <c:formatCode>0.0000</c:formatCode>
                <c:ptCount val="201"/>
                <c:pt idx="0">
                  <c:v>0.40708662596294742</c:v>
                </c:pt>
                <c:pt idx="1">
                  <c:v>0.40711297179712141</c:v>
                </c:pt>
                <c:pt idx="2">
                  <c:v>0.40718833411511085</c:v>
                </c:pt>
                <c:pt idx="3">
                  <c:v>0.40731271468903907</c:v>
                </c:pt>
                <c:pt idx="4">
                  <c:v>0.40748611644374977</c:v>
                </c:pt>
                <c:pt idx="5">
                  <c:v>0.40770854345697899</c:v>
                </c:pt>
                <c:pt idx="6">
                  <c:v>0.40798000095959464</c:v>
                </c:pt>
                <c:pt idx="7">
                  <c:v>0.40830049533590435</c:v>
                </c:pt>
                <c:pt idx="8">
                  <c:v>0.40867003412403069</c:v>
                </c:pt>
                <c:pt idx="9">
                  <c:v>0.4090886260163546</c:v>
                </c:pt>
                <c:pt idx="10">
                  <c:v>0.40955628086002643</c:v>
                </c:pt>
                <c:pt idx="11">
                  <c:v>0.41007300965754545</c:v>
                </c:pt>
                <c:pt idx="12">
                  <c:v>0.41063882456740686</c:v>
                </c:pt>
                <c:pt idx="13">
                  <c:v>0.41125373890481742</c:v>
                </c:pt>
                <c:pt idx="14">
                  <c:v>0.41191776714247913</c:v>
                </c:pt>
                <c:pt idx="15">
                  <c:v>0.41263092491144088</c:v>
                </c:pt>
                <c:pt idx="16">
                  <c:v>0.41339322900201908</c:v>
                </c:pt>
                <c:pt idx="17">
                  <c:v>0.41420469736478638</c:v>
                </c:pt>
                <c:pt idx="18">
                  <c:v>0.41506534911162901</c:v>
                </c:pt>
                <c:pt idx="19">
                  <c:v>0.41597520451687303</c:v>
                </c:pt>
                <c:pt idx="20">
                  <c:v>0.41693428501847907</c:v>
                </c:pt>
                <c:pt idx="21">
                  <c:v>0.4179426132193067</c:v>
                </c:pt>
                <c:pt idx="22">
                  <c:v>0.41900021288844702</c:v>
                </c:pt>
                <c:pt idx="23">
                  <c:v>0.42010710896262532</c:v>
                </c:pt>
                <c:pt idx="24">
                  <c:v>0.42126332754767254</c:v>
                </c:pt>
                <c:pt idx="25">
                  <c:v>0.42246889592006681</c:v>
                </c:pt>
                <c:pt idx="26">
                  <c:v>0.42372384252854434</c:v>
                </c:pt>
                <c:pt idx="27">
                  <c:v>0.42502819699578032</c:v>
                </c:pt>
                <c:pt idx="28">
                  <c:v>0.42638199012014033</c:v>
                </c:pt>
                <c:pt idx="29">
                  <c:v>0.42778525387750127</c:v>
                </c:pt>
                <c:pt idx="30">
                  <c:v>0.4292380214231436</c:v>
                </c:pt>
                <c:pt idx="31">
                  <c:v>0.43074032709371368</c:v>
                </c:pt>
                <c:pt idx="32">
                  <c:v>0.43229220640925753</c:v>
                </c:pt>
                <c:pt idx="33">
                  <c:v>0.4338936960753253</c:v>
                </c:pt>
                <c:pt idx="34">
                  <c:v>0.43554483398514743</c:v>
                </c:pt>
                <c:pt idx="35">
                  <c:v>0.43724565922188235</c:v>
                </c:pt>
                <c:pt idx="36">
                  <c:v>0.43899621206093609</c:v>
                </c:pt>
                <c:pt idx="37">
                  <c:v>0.4407965339723538</c:v>
                </c:pt>
                <c:pt idx="38">
                  <c:v>0.44264666762328431</c:v>
                </c:pt>
                <c:pt idx="39">
                  <c:v>0.4445466568805162</c:v>
                </c:pt>
                <c:pt idx="40">
                  <c:v>0.44649654681308848</c:v>
                </c:pt>
                <c:pt idx="41">
                  <c:v>0.44849638369497263</c:v>
                </c:pt>
                <c:pt idx="42">
                  <c:v>0.4505462150078301</c:v>
                </c:pt>
                <c:pt idx="43">
                  <c:v>0.45264608944384183</c:v>
                </c:pt>
                <c:pt idx="44">
                  <c:v>0.45479605690861352</c:v>
                </c:pt>
                <c:pt idx="45">
                  <c:v>0.45699616852415442</c:v>
                </c:pt>
                <c:pt idx="46">
                  <c:v>0.45924647663193119</c:v>
                </c:pt>
                <c:pt idx="47">
                  <c:v>0.46154703479599724</c:v>
                </c:pt>
                <c:pt idx="48">
                  <c:v>0.46389789780619711</c:v>
                </c:pt>
                <c:pt idx="49">
                  <c:v>0.4662991216814471</c:v>
                </c:pt>
                <c:pt idx="50">
                  <c:v>0.46875076367309204</c:v>
                </c:pt>
                <c:pt idx="51">
                  <c:v>0.47125288226833856</c:v>
                </c:pt>
                <c:pt idx="52">
                  <c:v>0.47380553719376572</c:v>
                </c:pt>
                <c:pt idx="53">
                  <c:v>0.47640878941891263</c:v>
                </c:pt>
                <c:pt idx="54">
                  <c:v>0.47906270115994409</c:v>
                </c:pt>
                <c:pt idx="55">
                  <c:v>0.48176733588339471</c:v>
                </c:pt>
                <c:pt idx="56">
                  <c:v>0.48452275830999114</c:v>
                </c:pt>
                <c:pt idx="57">
                  <c:v>0.48732903441855391</c:v>
                </c:pt>
                <c:pt idx="58">
                  <c:v>0.49018623144997858</c:v>
                </c:pt>
                <c:pt idx="59">
                  <c:v>0.49309441791129671</c:v>
                </c:pt>
                <c:pt idx="60">
                  <c:v>0.49605366357981745</c:v>
                </c:pt>
                <c:pt idx="61">
                  <c:v>0.49906403950735045</c:v>
                </c:pt>
                <c:pt idx="62">
                  <c:v>0.50212561802450917</c:v>
                </c:pt>
                <c:pt idx="63">
                  <c:v>0.50523847274509703</c:v>
                </c:pt>
                <c:pt idx="64">
                  <c:v>0.50840267857057564</c:v>
                </c:pt>
                <c:pt idx="65">
                  <c:v>0.51161831169461558</c:v>
                </c:pt>
                <c:pt idx="66">
                  <c:v>0.51488544960773108</c:v>
                </c:pt>
                <c:pt idx="67">
                  <c:v>0.51820417110199879</c:v>
                </c:pt>
                <c:pt idx="68">
                  <c:v>0.52157455627586002</c:v>
                </c:pt>
                <c:pt idx="69">
                  <c:v>0.52499668653900922</c:v>
                </c:pt>
                <c:pt idx="70">
                  <c:v>0.52847064461736748</c:v>
                </c:pt>
                <c:pt idx="71">
                  <c:v>0.53199651455814279</c:v>
                </c:pt>
                <c:pt idx="72">
                  <c:v>0.53557438173497551</c:v>
                </c:pt>
                <c:pt idx="73">
                  <c:v>0.53920433285317337</c:v>
                </c:pt>
                <c:pt idx="74">
                  <c:v>0.5428864559550326</c:v>
                </c:pt>
                <c:pt idx="75">
                  <c:v>0.5466208404252495</c:v>
                </c:pt>
                <c:pt idx="76">
                  <c:v>0.55040757699641829</c:v>
                </c:pt>
                <c:pt idx="77">
                  <c:v>0.55424675775462273</c:v>
                </c:pt>
                <c:pt idx="78">
                  <c:v>0.55813847614511491</c:v>
                </c:pt>
                <c:pt idx="79">
                  <c:v>0.56208282697808676</c:v>
                </c:pt>
                <c:pt idx="80">
                  <c:v>0.56607990643453321</c:v>
                </c:pt>
                <c:pt idx="81">
                  <c:v>0.57012981207220792</c:v>
                </c:pt>
                <c:pt idx="82">
                  <c:v>0.57423264283167186</c:v>
                </c:pt>
                <c:pt idx="83">
                  <c:v>0.57838849904243639</c:v>
                </c:pt>
                <c:pt idx="84">
                  <c:v>0.58259748242920062</c:v>
                </c:pt>
                <c:pt idx="85">
                  <c:v>0.58685969611818378</c:v>
                </c:pt>
                <c:pt idx="86">
                  <c:v>0.59117524464355531</c:v>
                </c:pt>
                <c:pt idx="87">
                  <c:v>0.5955442339539595</c:v>
                </c:pt>
                <c:pt idx="88">
                  <c:v>0.59996677141914057</c:v>
                </c:pt>
                <c:pt idx="89">
                  <c:v>0.60444296583666279</c:v>
                </c:pt>
                <c:pt idx="90">
                  <c:v>0.6089729274387341</c:v>
                </c:pt>
                <c:pt idx="91">
                  <c:v>0.61355676789912539</c:v>
                </c:pt>
                <c:pt idx="92">
                  <c:v>0.61819460034019458</c:v>
                </c:pt>
                <c:pt idx="93">
                  <c:v>0.62288653934000915</c:v>
                </c:pt>
                <c:pt idx="94">
                  <c:v>0.62763270093957435</c:v>
                </c:pt>
                <c:pt idx="95">
                  <c:v>0.63243320265016245</c:v>
                </c:pt>
                <c:pt idx="96">
                  <c:v>0.63728816346074701</c:v>
                </c:pt>
                <c:pt idx="97">
                  <c:v>0.64219770384554342</c:v>
                </c:pt>
                <c:pt idx="98">
                  <c:v>0.6471619457716542</c:v>
                </c:pt>
                <c:pt idx="99">
                  <c:v>0.6521810127068226</c:v>
                </c:pt>
                <c:pt idx="100">
                  <c:v>0.65725502962729299</c:v>
                </c:pt>
                <c:pt idx="101">
                  <c:v>0.6623841230257812</c:v>
                </c:pt>
                <c:pt idx="102">
                  <c:v>0.66756842091955448</c:v>
                </c:pt>
                <c:pt idx="103">
                  <c:v>0.672808052858622</c:v>
                </c:pt>
                <c:pt idx="104">
                  <c:v>0.67810314993403886</c:v>
                </c:pt>
                <c:pt idx="105">
                  <c:v>0.6834538447863201</c:v>
                </c:pt>
                <c:pt idx="106">
                  <c:v>0.6888602716139719</c:v>
                </c:pt>
                <c:pt idx="107">
                  <c:v>0.69432256618213595</c:v>
                </c:pt>
                <c:pt idx="108">
                  <c:v>0.69984086583135008</c:v>
                </c:pt>
                <c:pt idx="109">
                  <c:v>0.70541530948642661</c:v>
                </c:pt>
                <c:pt idx="110">
                  <c:v>0.71104603766544905</c:v>
                </c:pt>
                <c:pt idx="111">
                  <c:v>0.71673319248888689</c:v>
                </c:pt>
                <c:pt idx="112">
                  <c:v>0.72247691768883349</c:v>
                </c:pt>
                <c:pt idx="113">
                  <c:v>0.72827735861836218</c:v>
                </c:pt>
                <c:pt idx="114">
                  <c:v>0.73413466226100899</c:v>
                </c:pt>
                <c:pt idx="115">
                  <c:v>0.74004897724037588</c:v>
                </c:pt>
                <c:pt idx="116">
                  <c:v>0.74602045382986226</c:v>
                </c:pt>
                <c:pt idx="117">
                  <c:v>0.75204924396252082</c:v>
                </c:pt>
                <c:pt idx="118">
                  <c:v>0.75813550124104212</c:v>
                </c:pt>
                <c:pt idx="119">
                  <c:v>0.7642793809478674</c:v>
                </c:pt>
                <c:pt idx="120">
                  <c:v>0.77048104005543294</c:v>
                </c:pt>
                <c:pt idx="121">
                  <c:v>0.77674063723654507</c:v>
                </c:pt>
                <c:pt idx="122">
                  <c:v>0.78305833287488746</c:v>
                </c:pt>
                <c:pt idx="123">
                  <c:v>0.78943428907566349</c:v>
                </c:pt>
                <c:pt idx="124">
                  <c:v>0.79586866967637493</c:v>
                </c:pt>
                <c:pt idx="125">
                  <c:v>0.80236164025773582</c:v>
                </c:pt>
                <c:pt idx="126">
                  <c:v>0.80891336815472559</c:v>
                </c:pt>
                <c:pt idx="127">
                  <c:v>0.81552402246778222</c:v>
                </c:pt>
                <c:pt idx="128">
                  <c:v>0.8221937740741363</c:v>
                </c:pt>
                <c:pt idx="129">
                  <c:v>0.82892279563928817</c:v>
                </c:pt>
                <c:pt idx="130">
                  <c:v>0.83571126162862819</c:v>
                </c:pt>
                <c:pt idx="131">
                  <c:v>0.84255934831920309</c:v>
                </c:pt>
                <c:pt idx="132">
                  <c:v>0.84946723381163247</c:v>
                </c:pt>
                <c:pt idx="133">
                  <c:v>0.85643509804216778</c:v>
                </c:pt>
                <c:pt idx="134">
                  <c:v>0.86346312279490856</c:v>
                </c:pt>
                <c:pt idx="135">
                  <c:v>0.87055149171416524</c:v>
                </c:pt>
                <c:pt idx="136">
                  <c:v>0.87770039031697911</c:v>
                </c:pt>
                <c:pt idx="137">
                  <c:v>0.88491000600579683</c:v>
                </c:pt>
                <c:pt idx="138">
                  <c:v>0.89218052808129888</c:v>
                </c:pt>
                <c:pt idx="139">
                  <c:v>0.89951214775539168</c:v>
                </c:pt>
                <c:pt idx="140">
                  <c:v>0.90690505816435552</c:v>
                </c:pt>
                <c:pt idx="141">
                  <c:v>0.91435945438215838</c:v>
                </c:pt>
                <c:pt idx="142">
                  <c:v>0.92187553343392992</c:v>
                </c:pt>
                <c:pt idx="143">
                  <c:v>0.92945349430960478</c:v>
                </c:pt>
                <c:pt idx="144">
                  <c:v>0.93709353797773032</c:v>
                </c:pt>
                <c:pt idx="145">
                  <c:v>0.94479586739944577</c:v>
                </c:pt>
                <c:pt idx="146">
                  <c:v>0.95256068754263423</c:v>
                </c:pt>
                <c:pt idx="147">
                  <c:v>0.96038820539624137</c:v>
                </c:pt>
                <c:pt idx="148">
                  <c:v>0.96827862998477798</c:v>
                </c:pt>
                <c:pt idx="149">
                  <c:v>0.97623217238299287</c:v>
                </c:pt>
                <c:pt idx="150">
                  <c:v>0.98424904573072902</c:v>
                </c:pt>
                <c:pt idx="151">
                  <c:v>0.99232946524795829</c:v>
                </c:pt>
                <c:pt idx="152">
                  <c:v>1.0004736482500021</c:v>
                </c:pt>
                <c:pt idx="153">
                  <c:v>1.0086818141629328</c:v>
                </c:pt>
                <c:pt idx="154">
                  <c:v>1.0169541845391712</c:v>
                </c:pt>
                <c:pt idx="155">
                  <c:v>1.0252909830732615</c:v>
                </c:pt>
                <c:pt idx="156">
                  <c:v>1.0336924356178507</c:v>
                </c:pt>
                <c:pt idx="157">
                  <c:v>1.0421587701998529</c:v>
                </c:pt>
                <c:pt idx="158">
                  <c:v>1.0506902170368138</c:v>
                </c:pt>
                <c:pt idx="159">
                  <c:v>1.0592870085534751</c:v>
                </c:pt>
                <c:pt idx="160">
                  <c:v>1.0679493793985362</c:v>
                </c:pt>
                <c:pt idx="161">
                  <c:v>1.0766775664616219</c:v>
                </c:pt>
                <c:pt idx="162">
                  <c:v>1.0854718088904565</c:v>
                </c:pt>
                <c:pt idx="163">
                  <c:v>1.0943323481082423</c:v>
                </c:pt>
                <c:pt idx="164">
                  <c:v>1.1032594278312542</c:v>
                </c:pt>
                <c:pt idx="165">
                  <c:v>1.1122532940866421</c:v>
                </c:pt>
                <c:pt idx="166">
                  <c:v>1.1213141952304542</c:v>
                </c:pt>
                <c:pt idx="167">
                  <c:v>1.1304423819658731</c:v>
                </c:pt>
                <c:pt idx="168">
                  <c:v>1.1396381073616784</c:v>
                </c:pt>
                <c:pt idx="169">
                  <c:v>1.1489016268709287</c:v>
                </c:pt>
                <c:pt idx="170">
                  <c:v>1.1582331983498735</c:v>
                </c:pt>
                <c:pt idx="171">
                  <c:v>1.1676330820770904</c:v>
                </c:pt>
                <c:pt idx="172">
                  <c:v>1.1771015407728576</c:v>
                </c:pt>
                <c:pt idx="173">
                  <c:v>1.1866388396187584</c:v>
                </c:pt>
                <c:pt idx="174">
                  <c:v>1.1962452462775277</c:v>
                </c:pt>
                <c:pt idx="175">
                  <c:v>1.2059210309131321</c:v>
                </c:pt>
                <c:pt idx="176">
                  <c:v>1.2156664662111005</c:v>
                </c:pt>
                <c:pt idx="177">
                  <c:v>1.2254818273990975</c:v>
                </c:pt>
                <c:pt idx="178">
                  <c:v>1.2353673922677459</c:v>
                </c:pt>
                <c:pt idx="179">
                  <c:v>1.2453234411917065</c:v>
                </c:pt>
                <c:pt idx="180">
                  <c:v>1.2553502571510076</c:v>
                </c:pt>
                <c:pt idx="181">
                  <c:v>1.265448125752636</c:v>
                </c:pt>
                <c:pt idx="182">
                  <c:v>1.2756173352523956</c:v>
                </c:pt>
                <c:pt idx="183">
                  <c:v>1.2858581765770221</c:v>
                </c:pt>
                <c:pt idx="184">
                  <c:v>1.2961709433465733</c:v>
                </c:pt>
                <c:pt idx="185">
                  <c:v>1.3065559318970914</c:v>
                </c:pt>
                <c:pt idx="186">
                  <c:v>1.3170134413035375</c:v>
                </c:pt>
                <c:pt idx="187">
                  <c:v>1.3275437734030118</c:v>
                </c:pt>
                <c:pt idx="188">
                  <c:v>1.3381472328182482</c:v>
                </c:pt>
                <c:pt idx="189">
                  <c:v>1.348824126981405</c:v>
                </c:pt>
                <c:pt idx="190">
                  <c:v>1.3595747661581377</c:v>
                </c:pt>
                <c:pt idx="191">
                  <c:v>1.3703994634719705</c:v>
                </c:pt>
                <c:pt idx="192">
                  <c:v>1.3812985349289675</c:v>
                </c:pt>
                <c:pt idx="193">
                  <c:v>1.3922722994426966</c:v>
                </c:pt>
                <c:pt idx="194">
                  <c:v>1.403321078859511</c:v>
                </c:pt>
                <c:pt idx="195">
                  <c:v>1.4144451979841302</c:v>
                </c:pt>
                <c:pt idx="196">
                  <c:v>1.4256449846055421</c:v>
                </c:pt>
                <c:pt idx="197">
                  <c:v>1.4369207695232182</c:v>
                </c:pt>
                <c:pt idx="198">
                  <c:v>1.4482728865736512</c:v>
                </c:pt>
                <c:pt idx="199">
                  <c:v>1.4597016726572214</c:v>
                </c:pt>
                <c:pt idx="200">
                  <c:v>1.4712074677653919</c:v>
                </c:pt>
              </c:numCache>
            </c:numRef>
          </c:val>
          <c:smooth val="0"/>
          <c:extLst>
            <c:ext xmlns:c16="http://schemas.microsoft.com/office/drawing/2014/chart" uri="{C3380CC4-5D6E-409C-BE32-E72D297353CC}">
              <c16:uniqueId val="{00000001-7890-472B-AAE1-D1CB0E55BFDF}"/>
            </c:ext>
          </c:extLst>
        </c:ser>
        <c:ser>
          <c:idx val="2"/>
          <c:order val="2"/>
          <c:tx>
            <c:v> High-Side MOSFET Loss</c:v>
          </c:tx>
          <c:spPr>
            <a:ln w="38100">
              <a:solidFill>
                <a:srgbClr val="808000"/>
              </a:solidFill>
              <a:prstDash val="sysDash"/>
            </a:ln>
          </c:spPr>
          <c:marker>
            <c:symbol val="none"/>
          </c:marker>
          <c:cat>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cat>
          <c:val>
            <c:numRef>
              <c:f>'Power Calculations'!$AC$9:$AC$209</c:f>
              <c:numCache>
                <c:formatCode>0.0000</c:formatCode>
                <c:ptCount val="201"/>
                <c:pt idx="0">
                  <c:v>5.3524813865472753E-2</c:v>
                </c:pt>
                <c:pt idx="1">
                  <c:v>5.4395935000631904E-2</c:v>
                </c:pt>
                <c:pt idx="2">
                  <c:v>5.5279130613327183E-2</c:v>
                </c:pt>
                <c:pt idx="3">
                  <c:v>5.6174408645267723E-2</c:v>
                </c:pt>
                <c:pt idx="4">
                  <c:v>5.708177712697917E-2</c:v>
                </c:pt>
                <c:pt idx="5">
                  <c:v>5.8001244177958121E-2</c:v>
                </c:pt>
                <c:pt idx="6">
                  <c:v>5.8932818006827786E-2</c:v>
                </c:pt>
                <c:pt idx="7">
                  <c:v>5.9876506911495889E-2</c:v>
                </c:pt>
                <c:pt idx="8">
                  <c:v>6.0832319279313742E-2</c:v>
                </c:pt>
                <c:pt idx="9">
                  <c:v>6.1800263587237399E-2</c:v>
                </c:pt>
                <c:pt idx="10">
                  <c:v>6.2780348401990316E-2</c:v>
                </c:pt>
                <c:pt idx="11">
                  <c:v>6.3772582380227788E-2</c:v>
                </c:pt>
                <c:pt idx="12">
                  <c:v>6.4776974268702964E-2</c:v>
                </c:pt>
                <c:pt idx="13">
                  <c:v>6.5793532904434973E-2</c:v>
                </c:pt>
                <c:pt idx="14">
                  <c:v>6.6822267214878259E-2</c:v>
                </c:pt>
                <c:pt idx="15">
                  <c:v>6.7863186218094035E-2</c:v>
                </c:pt>
                <c:pt idx="16">
                  <c:v>6.8916299022923289E-2</c:v>
                </c:pt>
                <c:pt idx="17">
                  <c:v>6.9981614829161556E-2</c:v>
                </c:pt>
                <c:pt idx="18">
                  <c:v>7.1059142927735672E-2</c:v>
                </c:pt>
                <c:pt idx="19">
                  <c:v>7.2148892700881748E-2</c:v>
                </c:pt>
                <c:pt idx="20">
                  <c:v>7.4638520992406504E-2</c:v>
                </c:pt>
                <c:pt idx="21">
                  <c:v>7.8742639003708245E-2</c:v>
                </c:pt>
                <c:pt idx="22">
                  <c:v>8.2859164467442362E-2</c:v>
                </c:pt>
                <c:pt idx="23">
                  <c:v>8.6988118007578885E-2</c:v>
                </c:pt>
                <c:pt idx="24">
                  <c:v>9.1129520348275803E-2</c:v>
                </c:pt>
                <c:pt idx="25">
                  <c:v>9.5283392314201881E-2</c:v>
                </c:pt>
                <c:pt idx="26">
                  <c:v>9.9449754830861478E-2</c:v>
                </c:pt>
                <c:pt idx="27">
                  <c:v>0.10362862892492124</c:v>
                </c:pt>
                <c:pt idx="28">
                  <c:v>0.10782003572453902</c:v>
                </c:pt>
                <c:pt idx="29">
                  <c:v>0.11202399645969519</c:v>
                </c:pt>
                <c:pt idx="30">
                  <c:v>0.11537681875263257</c:v>
                </c:pt>
                <c:pt idx="31">
                  <c:v>0.11757739954583875</c:v>
                </c:pt>
                <c:pt idx="32">
                  <c:v>0.11979044283259895</c:v>
                </c:pt>
                <c:pt idx="33">
                  <c:v>0.12201596283483915</c:v>
                </c:pt>
                <c:pt idx="34">
                  <c:v>0.12425397387186529</c:v>
                </c:pt>
                <c:pt idx="35">
                  <c:v>0.12650449036061498</c:v>
                </c:pt>
                <c:pt idx="36">
                  <c:v>0.12876752681591097</c:v>
                </c:pt>
                <c:pt idx="37">
                  <c:v>0.13104309785071691</c:v>
                </c:pt>
                <c:pt idx="38">
                  <c:v>0.13333121817639473</c:v>
                </c:pt>
                <c:pt idx="39">
                  <c:v>0.1356319026029644</c:v>
                </c:pt>
                <c:pt idx="40">
                  <c:v>0.13794516603936535</c:v>
                </c:pt>
                <c:pt idx="41">
                  <c:v>0.14027102349372017</c:v>
                </c:pt>
                <c:pt idx="42">
                  <c:v>0.14260949007360035</c:v>
                </c:pt>
                <c:pt idx="43">
                  <c:v>0.1449605809862938</c:v>
                </c:pt>
                <c:pt idx="44">
                  <c:v>0.14732431153907458</c:v>
                </c:pt>
                <c:pt idx="45">
                  <c:v>0.14970069713947487</c:v>
                </c:pt>
                <c:pt idx="46">
                  <c:v>0.15208975329555852</c:v>
                </c:pt>
                <c:pt idx="47">
                  <c:v>0.15449149561619721</c:v>
                </c:pt>
                <c:pt idx="48">
                  <c:v>0.15690593981134851</c:v>
                </c:pt>
                <c:pt idx="49">
                  <c:v>0.15933310169233575</c:v>
                </c:pt>
                <c:pt idx="50">
                  <c:v>0.16177299717213023</c:v>
                </c:pt>
                <c:pt idx="51">
                  <c:v>0.16422564226563588</c:v>
                </c:pt>
                <c:pt idx="52">
                  <c:v>0.16669105308997534</c:v>
                </c:pt>
                <c:pt idx="53">
                  <c:v>0.16916924586477874</c:v>
                </c:pt>
                <c:pt idx="54">
                  <c:v>0.17166023691247431</c:v>
                </c:pt>
                <c:pt idx="55">
                  <c:v>0.17416404265858146</c:v>
                </c:pt>
                <c:pt idx="56">
                  <c:v>0.17668067963200548</c:v>
                </c:pt>
                <c:pt idx="57">
                  <c:v>0.17921016446533505</c:v>
                </c:pt>
                <c:pt idx="58">
                  <c:v>0.1817525138951416</c:v>
                </c:pt>
                <c:pt idx="59">
                  <c:v>0.18430774476228087</c:v>
                </c:pt>
                <c:pt idx="60">
                  <c:v>0.18687587401219649</c:v>
                </c:pt>
                <c:pt idx="61">
                  <c:v>0.18945691869522641</c:v>
                </c:pt>
                <c:pt idx="62">
                  <c:v>0.19205089596691091</c:v>
                </c:pt>
                <c:pt idx="63">
                  <c:v>0.19465782308830318</c:v>
                </c:pt>
                <c:pt idx="64">
                  <c:v>0.19727771742628178</c:v>
                </c:pt>
                <c:pt idx="65">
                  <c:v>0.19991059645386608</c:v>
                </c:pt>
                <c:pt idx="66">
                  <c:v>0.20255647775053309</c:v>
                </c:pt>
                <c:pt idx="67">
                  <c:v>0.2052153790025375</c:v>
                </c:pt>
                <c:pt idx="68">
                  <c:v>0.20788731800323285</c:v>
                </c:pt>
                <c:pt idx="69">
                  <c:v>0.21057231265339649</c:v>
                </c:pt>
                <c:pt idx="70">
                  <c:v>0.21327038096155523</c:v>
                </c:pt>
                <c:pt idx="71">
                  <c:v>0.21598154104431472</c:v>
                </c:pt>
                <c:pt idx="72">
                  <c:v>0.2187058111266903</c:v>
                </c:pt>
                <c:pt idx="73">
                  <c:v>0.22144320954244054</c:v>
                </c:pt>
                <c:pt idx="74">
                  <c:v>0.2241937547344032</c:v>
                </c:pt>
                <c:pt idx="75">
                  <c:v>0.22695746525483323</c:v>
                </c:pt>
                <c:pt idx="76">
                  <c:v>0.22973435976574352</c:v>
                </c:pt>
                <c:pt idx="77">
                  <c:v>0.2325244570392479</c:v>
                </c:pt>
                <c:pt idx="78">
                  <c:v>0.23532777595790647</c:v>
                </c:pt>
                <c:pt idx="79">
                  <c:v>0.23814433551507372</c:v>
                </c:pt>
                <c:pt idx="80">
                  <c:v>0.24097415481524831</c:v>
                </c:pt>
                <c:pt idx="81">
                  <c:v>0.24381725307442623</c:v>
                </c:pt>
                <c:pt idx="82">
                  <c:v>0.24667364962045585</c:v>
                </c:pt>
                <c:pt idx="83">
                  <c:v>0.2495433638933956</c:v>
                </c:pt>
                <c:pt idx="84">
                  <c:v>0.25242641544587391</c:v>
                </c:pt>
                <c:pt idx="85">
                  <c:v>0.2553228239434524</c:v>
                </c:pt>
                <c:pt idx="86">
                  <c:v>0.25823260916499036</c:v>
                </c:pt>
                <c:pt idx="87">
                  <c:v>0.26115579100301289</c:v>
                </c:pt>
                <c:pt idx="88">
                  <c:v>0.26409238946408131</c:v>
                </c:pt>
                <c:pt idx="89">
                  <c:v>0.26704242466916489</c:v>
                </c:pt>
                <c:pt idx="90">
                  <c:v>0.27000591685401781</c:v>
                </c:pt>
                <c:pt idx="91">
                  <c:v>0.27298288636955581</c:v>
                </c:pt>
                <c:pt idx="92">
                  <c:v>0.27597335368223724</c:v>
                </c:pt>
                <c:pt idx="93">
                  <c:v>0.27897733937444613</c:v>
                </c:pt>
                <c:pt idx="94">
                  <c:v>0.28199486414487779</c:v>
                </c:pt>
                <c:pt idx="95">
                  <c:v>0.28502594880892762</c:v>
                </c:pt>
                <c:pt idx="96">
                  <c:v>0.28807061429908176</c:v>
                </c:pt>
                <c:pt idx="97">
                  <c:v>0.29112888166531076</c:v>
                </c:pt>
                <c:pt idx="98">
                  <c:v>0.29420077207546624</c:v>
                </c:pt>
                <c:pt idx="99">
                  <c:v>0.29728630681567991</c:v>
                </c:pt>
                <c:pt idx="100">
                  <c:v>0.3003855072907653</c:v>
                </c:pt>
                <c:pt idx="101">
                  <c:v>0.30349839502462223</c:v>
                </c:pt>
                <c:pt idx="102">
                  <c:v>0.30662499166064411</c:v>
                </c:pt>
                <c:pt idx="103">
                  <c:v>0.30976531896212789</c:v>
                </c:pt>
                <c:pt idx="104">
                  <c:v>0.31291939881268716</c:v>
                </c:pt>
                <c:pt idx="105">
                  <c:v>0.31608725321666725</c:v>
                </c:pt>
                <c:pt idx="106">
                  <c:v>0.31926890429956356</c:v>
                </c:pt>
                <c:pt idx="107">
                  <c:v>0.32246437430844355</c:v>
                </c:pt>
                <c:pt idx="108">
                  <c:v>0.32567368561236948</c:v>
                </c:pt>
                <c:pt idx="109">
                  <c:v>0.32889686070282631</c:v>
                </c:pt>
                <c:pt idx="110">
                  <c:v>0.33213392219415111</c:v>
                </c:pt>
                <c:pt idx="111">
                  <c:v>0.33538489282396516</c:v>
                </c:pt>
                <c:pt idx="112">
                  <c:v>0.33864979545361035</c:v>
                </c:pt>
                <c:pt idx="113">
                  <c:v>0.34192865306858639</c:v>
                </c:pt>
                <c:pt idx="114">
                  <c:v>0.3452214887789935</c:v>
                </c:pt>
                <c:pt idx="115">
                  <c:v>0.34852832581997567</c:v>
                </c:pt>
                <c:pt idx="116">
                  <c:v>0.35184918755216815</c:v>
                </c:pt>
                <c:pt idx="117">
                  <c:v>0.35518409746214763</c:v>
                </c:pt>
                <c:pt idx="118">
                  <c:v>0.35853307916288579</c:v>
                </c:pt>
                <c:pt idx="119">
                  <c:v>0.36189615639420486</c:v>
                </c:pt>
                <c:pt idx="120">
                  <c:v>0.36527335302323738</c:v>
                </c:pt>
                <c:pt idx="121">
                  <c:v>0.36866469304488841</c:v>
                </c:pt>
                <c:pt idx="122">
                  <c:v>0.3720702005823005</c:v>
                </c:pt>
                <c:pt idx="123">
                  <c:v>0.37548989988732262</c:v>
                </c:pt>
                <c:pt idx="124">
                  <c:v>0.37892381534098141</c:v>
                </c:pt>
                <c:pt idx="125">
                  <c:v>0.38237197145395591</c:v>
                </c:pt>
                <c:pt idx="126">
                  <c:v>0.38583439286705534</c:v>
                </c:pt>
                <c:pt idx="127">
                  <c:v>0.38931110435169941</c:v>
                </c:pt>
                <c:pt idx="128">
                  <c:v>0.39280213081040394</c:v>
                </c:pt>
                <c:pt idx="129">
                  <c:v>0.39630749727726672</c:v>
                </c:pt>
                <c:pt idx="130">
                  <c:v>0.39982722891845829</c:v>
                </c:pt>
                <c:pt idx="131">
                  <c:v>0.40336135103271609</c:v>
                </c:pt>
                <c:pt idx="132">
                  <c:v>0.40690988905184144</c:v>
                </c:pt>
                <c:pt idx="133">
                  <c:v>0.41047286854119924</c:v>
                </c:pt>
                <c:pt idx="134">
                  <c:v>0.41405031520022212</c:v>
                </c:pt>
                <c:pt idx="135">
                  <c:v>0.41764225486291662</c:v>
                </c:pt>
                <c:pt idx="136">
                  <c:v>0.42124871349837384</c:v>
                </c:pt>
                <c:pt idx="137">
                  <c:v>0.42486971721128297</c:v>
                </c:pt>
                <c:pt idx="138">
                  <c:v>0.42850529224244777</c:v>
                </c:pt>
                <c:pt idx="139">
                  <c:v>0.43215546496930729</c:v>
                </c:pt>
                <c:pt idx="140">
                  <c:v>0.43582026190645901</c:v>
                </c:pt>
                <c:pt idx="141">
                  <c:v>0.43949970970618613</c:v>
                </c:pt>
                <c:pt idx="142">
                  <c:v>0.4431938351589883</c:v>
                </c:pt>
                <c:pt idx="143">
                  <c:v>0.44690266519411548</c:v>
                </c:pt>
                <c:pt idx="144">
                  <c:v>0.45062622688010534</c:v>
                </c:pt>
                <c:pt idx="145">
                  <c:v>0.45436454742532378</c:v>
                </c:pt>
                <c:pt idx="146">
                  <c:v>0.45811765417851119</c:v>
                </c:pt>
                <c:pt idx="147">
                  <c:v>0.46188557462932778</c:v>
                </c:pt>
                <c:pt idx="148">
                  <c:v>0.4656683364089077</c:v>
                </c:pt>
                <c:pt idx="149">
                  <c:v>0.4694659672904129</c:v>
                </c:pt>
                <c:pt idx="150">
                  <c:v>0.47327849518959259</c:v>
                </c:pt>
                <c:pt idx="151">
                  <c:v>0.47710594816534518</c:v>
                </c:pt>
                <c:pt idx="152">
                  <c:v>0.480948354420285</c:v>
                </c:pt>
                <c:pt idx="153">
                  <c:v>0.48480574230131174</c:v>
                </c:pt>
                <c:pt idx="154">
                  <c:v>0.48867814030018408</c:v>
                </c:pt>
                <c:pt idx="155">
                  <c:v>0.49256557705409726</c:v>
                </c:pt>
                <c:pt idx="156">
                  <c:v>0.4964680813462633</c:v>
                </c:pt>
                <c:pt idx="157">
                  <c:v>0.50038568210649703</c:v>
                </c:pt>
                <c:pt idx="158">
                  <c:v>0.5043184084118032</c:v>
                </c:pt>
                <c:pt idx="159">
                  <c:v>0.50826628948697028</c:v>
                </c:pt>
                <c:pt idx="160">
                  <c:v>0.51222935470516573</c:v>
                </c:pt>
                <c:pt idx="161">
                  <c:v>0.51620763358853661</c:v>
                </c:pt>
                <c:pt idx="162">
                  <c:v>0.52020115580881388</c:v>
                </c:pt>
                <c:pt idx="163">
                  <c:v>0.52420995118791902</c:v>
                </c:pt>
                <c:pt idx="164">
                  <c:v>0.52823404969857768</c:v>
                </c:pt>
                <c:pt idx="165">
                  <c:v>0.53227348146493436</c:v>
                </c:pt>
                <c:pt idx="166">
                  <c:v>0.53632827676317274</c:v>
                </c:pt>
                <c:pt idx="167">
                  <c:v>0.54039846602213926</c:v>
                </c:pt>
                <c:pt idx="168">
                  <c:v>0.54448407982397107</c:v>
                </c:pt>
                <c:pt idx="169">
                  <c:v>0.5485851489047282</c:v>
                </c:pt>
                <c:pt idx="170">
                  <c:v>0.55270170415502939</c:v>
                </c:pt>
                <c:pt idx="171">
                  <c:v>0.55683377662069289</c:v>
                </c:pt>
                <c:pt idx="172">
                  <c:v>0.56098139750337983</c:v>
                </c:pt>
                <c:pt idx="173">
                  <c:v>0.56514459816124318</c:v>
                </c:pt>
                <c:pt idx="174">
                  <c:v>0.56932341010958076</c:v>
                </c:pt>
                <c:pt idx="175">
                  <c:v>0.57351786502149193</c:v>
                </c:pt>
                <c:pt idx="176">
                  <c:v>0.57772799472853853</c:v>
                </c:pt>
                <c:pt idx="177">
                  <c:v>0.58195383122141087</c:v>
                </c:pt>
                <c:pt idx="178">
                  <c:v>0.58619540665059688</c:v>
                </c:pt>
                <c:pt idx="179">
                  <c:v>0.59045275332705682</c:v>
                </c:pt>
                <c:pt idx="180">
                  <c:v>0.59472590372290168</c:v>
                </c:pt>
                <c:pt idx="181">
                  <c:v>0.59901489047207546</c:v>
                </c:pt>
                <c:pt idx="182">
                  <c:v>0.60331974637104335</c:v>
                </c:pt>
                <c:pt idx="183">
                  <c:v>0.60764050437948269</c:v>
                </c:pt>
                <c:pt idx="184">
                  <c:v>0.61197719762097991</c:v>
                </c:pt>
                <c:pt idx="185">
                  <c:v>0.61632985938373042</c:v>
                </c:pt>
                <c:pt idx="186">
                  <c:v>0.62069852312124452</c:v>
                </c:pt>
                <c:pt idx="187">
                  <c:v>0.62508322245305759</c:v>
                </c:pt>
                <c:pt idx="188">
                  <c:v>0.62948399116544307</c:v>
                </c:pt>
                <c:pt idx="189">
                  <c:v>0.63390086321213368</c:v>
                </c:pt>
                <c:pt idx="190">
                  <c:v>0.63833387271504272</c:v>
                </c:pt>
                <c:pt idx="191">
                  <c:v>0.64278305396499413</c:v>
                </c:pt>
                <c:pt idx="192">
                  <c:v>0.64724844142245563</c:v>
                </c:pt>
                <c:pt idx="193">
                  <c:v>0.65173006971827574</c:v>
                </c:pt>
                <c:pt idx="194">
                  <c:v>0.65622797365442653</c:v>
                </c:pt>
                <c:pt idx="195">
                  <c:v>0.66074218820475172</c:v>
                </c:pt>
                <c:pt idx="196">
                  <c:v>0.66527274851571894</c:v>
                </c:pt>
                <c:pt idx="197">
                  <c:v>0.66981968990717633</c:v>
                </c:pt>
                <c:pt idx="198">
                  <c:v>0.67438304787311476</c:v>
                </c:pt>
                <c:pt idx="199">
                  <c:v>0.67896285808243573</c:v>
                </c:pt>
                <c:pt idx="200">
                  <c:v>0.6835591563797222</c:v>
                </c:pt>
              </c:numCache>
            </c:numRef>
          </c:val>
          <c:smooth val="0"/>
          <c:extLst>
            <c:ext xmlns:c16="http://schemas.microsoft.com/office/drawing/2014/chart" uri="{C3380CC4-5D6E-409C-BE32-E72D297353CC}">
              <c16:uniqueId val="{00000002-7890-472B-AAE1-D1CB0E55BFDF}"/>
            </c:ext>
          </c:extLst>
        </c:ser>
        <c:ser>
          <c:idx val="1"/>
          <c:order val="3"/>
          <c:tx>
            <c:v> Low-Side MOSFET Loss</c:v>
          </c:tx>
          <c:spPr>
            <a:ln w="38100">
              <a:solidFill>
                <a:srgbClr val="002060"/>
              </a:solidFill>
              <a:prstDash val="sysDot"/>
            </a:ln>
          </c:spPr>
          <c:marker>
            <c:symbol val="none"/>
          </c:marker>
          <c:cat>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cat>
          <c:val>
            <c:numRef>
              <c:f>'Power Calculations'!$AG$9:$AG$209</c:f>
              <c:numCache>
                <c:formatCode>0.0000</c:formatCode>
                <c:ptCount val="201"/>
                <c:pt idx="0">
                  <c:v>1.5691696887528788E-2</c:v>
                </c:pt>
                <c:pt idx="1">
                  <c:v>1.615234540547357E-2</c:v>
                </c:pt>
                <c:pt idx="2">
                  <c:v>1.6629822083608376E-2</c:v>
                </c:pt>
                <c:pt idx="3">
                  <c:v>1.7124124782831453E-2</c:v>
                </c:pt>
                <c:pt idx="4">
                  <c:v>1.7635251532660184E-2</c:v>
                </c:pt>
                <c:pt idx="5">
                  <c:v>1.8163200531123046E-2</c:v>
                </c:pt>
                <c:pt idx="6">
                  <c:v>1.8707970144655819E-2</c:v>
                </c:pt>
                <c:pt idx="7">
                  <c:v>1.9269558908002096E-2</c:v>
                </c:pt>
                <c:pt idx="8">
                  <c:v>1.9847965524117984E-2</c:v>
                </c:pt>
                <c:pt idx="9">
                  <c:v>2.0443188864081047E-2</c:v>
                </c:pt>
                <c:pt idx="10">
                  <c:v>2.1055227967003553E-2</c:v>
                </c:pt>
                <c:pt idx="11">
                  <c:v>2.1684082039949832E-2</c:v>
                </c:pt>
                <c:pt idx="12">
                  <c:v>2.232975045785798E-2</c:v>
                </c:pt>
                <c:pt idx="13">
                  <c:v>2.2992232763465736E-2</c:v>
                </c:pt>
                <c:pt idx="14">
                  <c:v>2.3671528667240489E-2</c:v>
                </c:pt>
                <c:pt idx="15">
                  <c:v>2.4367638047313643E-2</c:v>
                </c:pt>
                <c:pt idx="16">
                  <c:v>2.5080560949419104E-2</c:v>
                </c:pt>
                <c:pt idx="17">
                  <c:v>2.5810297586835944E-2</c:v>
                </c:pt>
                <c:pt idx="18">
                  <c:v>2.6556848340335334E-2</c:v>
                </c:pt>
                <c:pt idx="19">
                  <c:v>2.7320213758131592E-2</c:v>
                </c:pt>
                <c:pt idx="20">
                  <c:v>2.8100394555837519E-2</c:v>
                </c:pt>
                <c:pt idx="21">
                  <c:v>2.8897391616423795E-2</c:v>
                </c:pt>
                <c:pt idx="22">
                  <c:v>2.971120599018268E-2</c:v>
                </c:pt>
                <c:pt idx="23">
                  <c:v>3.0541838894695809E-2</c:v>
                </c:pt>
                <c:pt idx="24">
                  <c:v>3.1389291714806193E-2</c:v>
                </c:pt>
                <c:pt idx="25">
                  <c:v>3.2253566002594422E-2</c:v>
                </c:pt>
                <c:pt idx="26">
                  <c:v>3.3134663477359008E-2</c:v>
                </c:pt>
                <c:pt idx="27">
                  <c:v>3.4032586025600838E-2</c:v>
                </c:pt>
                <c:pt idx="28">
                  <c:v>3.4947335701011967E-2</c:v>
                </c:pt>
                <c:pt idx="29">
                  <c:v>3.5878914724468386E-2</c:v>
                </c:pt>
                <c:pt idx="30">
                  <c:v>3.7018394986884563E-2</c:v>
                </c:pt>
                <c:pt idx="31">
                  <c:v>3.8432402457687975E-2</c:v>
                </c:pt>
                <c:pt idx="32">
                  <c:v>3.9863294638541505E-2</c:v>
                </c:pt>
                <c:pt idx="33">
                  <c:v>4.1311076671024613E-2</c:v>
                </c:pt>
                <c:pt idx="34">
                  <c:v>4.2775753864071432E-2</c:v>
                </c:pt>
                <c:pt idx="35">
                  <c:v>4.4257331694025848E-2</c:v>
                </c:pt>
                <c:pt idx="36">
                  <c:v>4.5755815804700929E-2</c:v>
                </c:pt>
                <c:pt idx="37">
                  <c:v>4.7271212007442283E-2</c:v>
                </c:pt>
                <c:pt idx="38">
                  <c:v>4.8803526281195733E-2</c:v>
                </c:pt>
                <c:pt idx="39">
                  <c:v>5.0352764772579058E-2</c:v>
                </c:pt>
                <c:pt idx="40">
                  <c:v>5.1918933795957981E-2</c:v>
                </c:pt>
                <c:pt idx="41">
                  <c:v>5.3502039833526194E-2</c:v>
                </c:pt>
                <c:pt idx="42">
                  <c:v>5.5102089535389705E-2</c:v>
                </c:pt>
                <c:pt idx="43">
                  <c:v>5.6719089719655183E-2</c:v>
                </c:pt>
                <c:pt idx="44">
                  <c:v>5.8353047372522553E-2</c:v>
                </c:pt>
                <c:pt idx="45">
                  <c:v>6.0003969648381811E-2</c:v>
                </c:pt>
                <c:pt idx="46">
                  <c:v>6.1671863869913919E-2</c:v>
                </c:pt>
                <c:pt idx="47">
                  <c:v>6.3356737528195831E-2</c:v>
                </c:pt>
                <c:pt idx="48">
                  <c:v>6.5058598282809965E-2</c:v>
                </c:pt>
                <c:pt idx="49">
                  <c:v>6.6777453961957514E-2</c:v>
                </c:pt>
                <c:pt idx="50">
                  <c:v>6.851331256257609E-2</c:v>
                </c:pt>
                <c:pt idx="51">
                  <c:v>7.0266182250461648E-2</c:v>
                </c:pt>
                <c:pt idx="52">
                  <c:v>7.2036071360394499E-2</c:v>
                </c:pt>
                <c:pt idx="53">
                  <c:v>7.3822988396269426E-2</c:v>
                </c:pt>
                <c:pt idx="54">
                  <c:v>7.5626942031230271E-2</c:v>
                </c:pt>
                <c:pt idx="55">
                  <c:v>7.7447941107808463E-2</c:v>
                </c:pt>
                <c:pt idx="56">
                  <c:v>7.928599463806589E-2</c:v>
                </c:pt>
                <c:pt idx="57">
                  <c:v>8.114111180374188E-2</c:v>
                </c:pt>
                <c:pt idx="58">
                  <c:v>8.3013301956404689E-2</c:v>
                </c:pt>
                <c:pt idx="59">
                  <c:v>8.4902574617606752E-2</c:v>
                </c:pt>
                <c:pt idx="60">
                  <c:v>8.6808939479044459E-2</c:v>
                </c:pt>
                <c:pt idx="61">
                  <c:v>8.8732406402722327E-2</c:v>
                </c:pt>
                <c:pt idx="62">
                  <c:v>9.0672985421120914E-2</c:v>
                </c:pt>
                <c:pt idx="63">
                  <c:v>9.263068673736953E-2</c:v>
                </c:pt>
                <c:pt idx="64">
                  <c:v>9.4605520725422762E-2</c:v>
                </c:pt>
                <c:pt idx="65">
                  <c:v>9.6597497930241458E-2</c:v>
                </c:pt>
                <c:pt idx="66">
                  <c:v>9.8606629067978138E-2</c:v>
                </c:pt>
                <c:pt idx="67">
                  <c:v>0.10063292502616633</c:v>
                </c:pt>
                <c:pt idx="68">
                  <c:v>0.10267639686391436</c:v>
                </c:pt>
                <c:pt idx="69">
                  <c:v>0.10473705581210356</c:v>
                </c:pt>
                <c:pt idx="70">
                  <c:v>0.10681491327359044</c:v>
                </c:pt>
                <c:pt idx="71">
                  <c:v>0.10890998082341366</c:v>
                </c:pt>
                <c:pt idx="72">
                  <c:v>0.11102227020900472</c:v>
                </c:pt>
                <c:pt idx="73">
                  <c:v>0.11315179335040335</c:v>
                </c:pt>
                <c:pt idx="74">
                  <c:v>0.11529856234047728</c:v>
                </c:pt>
                <c:pt idx="75">
                  <c:v>0.11746258944514608</c:v>
                </c:pt>
                <c:pt idx="76">
                  <c:v>0.11964388710360943</c:v>
                </c:pt>
                <c:pt idx="77">
                  <c:v>0.12184246792857992</c:v>
                </c:pt>
                <c:pt idx="78">
                  <c:v>0.12405834470651998</c:v>
                </c:pt>
                <c:pt idx="79">
                  <c:v>0.12629153039788335</c:v>
                </c:pt>
                <c:pt idx="80">
                  <c:v>0.12854203813736081</c:v>
                </c:pt>
                <c:pt idx="81">
                  <c:v>0.1308098812341302</c:v>
                </c:pt>
                <c:pt idx="82">
                  <c:v>0.13309507317211133</c:v>
                </c:pt>
                <c:pt idx="83">
                  <c:v>0.13539762761022481</c:v>
                </c:pt>
                <c:pt idx="84">
                  <c:v>0.13771755838265518</c:v>
                </c:pt>
                <c:pt idx="85">
                  <c:v>0.14005487949911907</c:v>
                </c:pt>
                <c:pt idx="86">
                  <c:v>0.14240960514513756</c:v>
                </c:pt>
                <c:pt idx="87">
                  <c:v>0.14478174968231242</c:v>
                </c:pt>
                <c:pt idx="88">
                  <c:v>0.14717132764860782</c:v>
                </c:pt>
                <c:pt idx="89">
                  <c:v>0.14957835375863548</c:v>
                </c:pt>
                <c:pt idx="90">
                  <c:v>0.15200284290394547</c:v>
                </c:pt>
                <c:pt idx="91">
                  <c:v>0.15444481015332026</c:v>
                </c:pt>
                <c:pt idx="92">
                  <c:v>0.15690427075307412</c:v>
                </c:pt>
                <c:pt idx="93">
                  <c:v>0.15938124012735688</c:v>
                </c:pt>
                <c:pt idx="94">
                  <c:v>0.16187573387846188</c:v>
                </c:pt>
                <c:pt idx="95">
                  <c:v>0.16438776778713915</c:v>
                </c:pt>
                <c:pt idx="96">
                  <c:v>0.16691735781291236</c:v>
                </c:pt>
                <c:pt idx="97">
                  <c:v>0.16946452009440072</c:v>
                </c:pt>
                <c:pt idx="98">
                  <c:v>0.17202927094964571</c:v>
                </c:pt>
                <c:pt idx="99">
                  <c:v>0.17461162687644197</c:v>
                </c:pt>
                <c:pt idx="100">
                  <c:v>0.17721160455267312</c:v>
                </c:pt>
                <c:pt idx="101">
                  <c:v>0.17982922083665209</c:v>
                </c:pt>
                <c:pt idx="102">
                  <c:v>0.18246449276746568</c:v>
                </c:pt>
                <c:pt idx="103">
                  <c:v>0.18511743756532487</c:v>
                </c:pt>
                <c:pt idx="104">
                  <c:v>0.18778807263191857</c:v>
                </c:pt>
                <c:pt idx="105">
                  <c:v>0.19047641555077291</c:v>
                </c:pt>
                <c:pt idx="106">
                  <c:v>0.19318248408761446</c:v>
                </c:pt>
                <c:pt idx="107">
                  <c:v>0.1959062961907394</c:v>
                </c:pt>
                <c:pt idx="108">
                  <c:v>0.19864786999138587</c:v>
                </c:pt>
                <c:pt idx="109">
                  <c:v>0.20140722380411219</c:v>
                </c:pt>
                <c:pt idx="110">
                  <c:v>0.20418437612717966</c:v>
                </c:pt>
                <c:pt idx="111">
                  <c:v>0.20697934564293941</c:v>
                </c:pt>
                <c:pt idx="112">
                  <c:v>0.20979215121822542</c:v>
                </c:pt>
                <c:pt idx="113">
                  <c:v>0.21262281190475074</c:v>
                </c:pt>
                <c:pt idx="114">
                  <c:v>0.21547134693950998</c:v>
                </c:pt>
                <c:pt idx="115">
                  <c:v>0.21833777574518537</c:v>
                </c:pt>
                <c:pt idx="116">
                  <c:v>0.2212221179305589</c:v>
                </c:pt>
                <c:pt idx="117">
                  <c:v>0.22412439329092865</c:v>
                </c:pt>
                <c:pt idx="118">
                  <c:v>0.22704462180852977</c:v>
                </c:pt>
                <c:pt idx="119">
                  <c:v>0.22998282365296113</c:v>
                </c:pt>
                <c:pt idx="120">
                  <c:v>0.232939019181616</c:v>
                </c:pt>
                <c:pt idx="121">
                  <c:v>0.23591322894011943</c:v>
                </c:pt>
                <c:pt idx="122">
                  <c:v>0.23890547366276765</c:v>
                </c:pt>
                <c:pt idx="123">
                  <c:v>0.24191577427297525</c:v>
                </c:pt>
                <c:pt idx="124">
                  <c:v>0.24494415188372637</c:v>
                </c:pt>
                <c:pt idx="125">
                  <c:v>0.24799062779803024</c:v>
                </c:pt>
                <c:pt idx="126">
                  <c:v>0.25105522350938309</c:v>
                </c:pt>
                <c:pt idx="127">
                  <c:v>0.25413796070223382</c:v>
                </c:pt>
                <c:pt idx="128">
                  <c:v>0.25723886125245549</c:v>
                </c:pt>
                <c:pt idx="129">
                  <c:v>0.26035794722782224</c:v>
                </c:pt>
                <c:pt idx="130">
                  <c:v>0.26349524088849047</c:v>
                </c:pt>
                <c:pt idx="131">
                  <c:v>0.26665076468748572</c:v>
                </c:pt>
                <c:pt idx="132">
                  <c:v>0.26982454127119448</c:v>
                </c:pt>
                <c:pt idx="133">
                  <c:v>0.27301659347986185</c:v>
                </c:pt>
                <c:pt idx="134">
                  <c:v>0.27622694434809331</c:v>
                </c:pt>
                <c:pt idx="135">
                  <c:v>0.27945561710536232</c:v>
                </c:pt>
                <c:pt idx="136">
                  <c:v>0.28270263517652366</c:v>
                </c:pt>
                <c:pt idx="137">
                  <c:v>0.28596802218233158</c:v>
                </c:pt>
                <c:pt idx="138">
                  <c:v>0.28925180193996219</c:v>
                </c:pt>
                <c:pt idx="139">
                  <c:v>0.29255399846354418</c:v>
                </c:pt>
                <c:pt idx="140">
                  <c:v>0.29587463596469082</c:v>
                </c:pt>
                <c:pt idx="141">
                  <c:v>0.29921373885304131</c:v>
                </c:pt>
                <c:pt idx="142">
                  <c:v>0.30257133173680439</c:v>
                </c:pt>
                <c:pt idx="143">
                  <c:v>0.3059474394233096</c:v>
                </c:pt>
                <c:pt idx="144">
                  <c:v>0.3093420869195625</c:v>
                </c:pt>
                <c:pt idx="145">
                  <c:v>0.31275529943280611</c:v>
                </c:pt>
                <c:pt idx="146">
                  <c:v>0.31618710237108844</c:v>
                </c:pt>
                <c:pt idx="147">
                  <c:v>0.31963752134383322</c:v>
                </c:pt>
                <c:pt idx="148">
                  <c:v>0.32310658216241944</c:v>
                </c:pt>
                <c:pt idx="149">
                  <c:v>0.32659431084076368</c:v>
                </c:pt>
                <c:pt idx="150">
                  <c:v>0.33010073359590991</c:v>
                </c:pt>
                <c:pt idx="151">
                  <c:v>0.33362587684862355</c:v>
                </c:pt>
                <c:pt idx="152">
                  <c:v>0.33716976722399256</c:v>
                </c:pt>
                <c:pt idx="153">
                  <c:v>0.34073243155203226</c:v>
                </c:pt>
                <c:pt idx="154">
                  <c:v>0.34431389686829905</c:v>
                </c:pt>
                <c:pt idx="155">
                  <c:v>0.34791419041450572</c:v>
                </c:pt>
                <c:pt idx="156">
                  <c:v>0.35153333963914624</c:v>
                </c:pt>
                <c:pt idx="157">
                  <c:v>0.35517137219812439</c:v>
                </c:pt>
                <c:pt idx="158">
                  <c:v>0.35882831595538844</c:v>
                </c:pt>
                <c:pt idx="159">
                  <c:v>0.3625041989835725</c:v>
                </c:pt>
                <c:pt idx="160">
                  <c:v>0.36619904956464217</c:v>
                </c:pt>
                <c:pt idx="161">
                  <c:v>0.3699128961905479</c:v>
                </c:pt>
                <c:pt idx="162">
                  <c:v>0.37364576756388379</c:v>
                </c:pt>
                <c:pt idx="163">
                  <c:v>0.37739769259855094</c:v>
                </c:pt>
                <c:pt idx="164">
                  <c:v>0.38116870042042905</c:v>
                </c:pt>
                <c:pt idx="165">
                  <c:v>0.38495882036805201</c:v>
                </c:pt>
                <c:pt idx="166">
                  <c:v>0.38876808199329183</c:v>
                </c:pt>
                <c:pt idx="167">
                  <c:v>0.39259651506204557</c:v>
                </c:pt>
                <c:pt idx="168">
                  <c:v>0.39644414955493168</c:v>
                </c:pt>
                <c:pt idx="169">
                  <c:v>0.4003110156679901</c:v>
                </c:pt>
                <c:pt idx="170">
                  <c:v>0.40419714381339017</c:v>
                </c:pt>
                <c:pt idx="171">
                  <c:v>0.40810256462014355</c:v>
                </c:pt>
                <c:pt idx="172">
                  <c:v>0.41202730893482403</c:v>
                </c:pt>
                <c:pt idx="173">
                  <c:v>0.41597140782229342</c:v>
                </c:pt>
                <c:pt idx="174">
                  <c:v>0.41993489256643463</c:v>
                </c:pt>
                <c:pt idx="175">
                  <c:v>0.42391779467088886</c:v>
                </c:pt>
                <c:pt idx="176">
                  <c:v>0.42792014585980237</c:v>
                </c:pt>
                <c:pt idx="177">
                  <c:v>0.43194197807857676</c:v>
                </c:pt>
                <c:pt idx="178">
                  <c:v>0.43598332349462771</c:v>
                </c:pt>
                <c:pt idx="179">
                  <c:v>0.4400442144981494</c:v>
                </c:pt>
                <c:pt idx="180">
                  <c:v>0.44412468370288527</c:v>
                </c:pt>
                <c:pt idx="181">
                  <c:v>0.44822476394690558</c:v>
                </c:pt>
                <c:pt idx="182">
                  <c:v>0.45234448829339247</c:v>
                </c:pt>
                <c:pt idx="183">
                  <c:v>0.45648389003142992</c:v>
                </c:pt>
                <c:pt idx="184">
                  <c:v>0.46064300267680158</c:v>
                </c:pt>
                <c:pt idx="185">
                  <c:v>0.46482185997279585</c:v>
                </c:pt>
                <c:pt idx="186">
                  <c:v>0.46902049589101591</c:v>
                </c:pt>
                <c:pt idx="187">
                  <c:v>0.47323894463219873</c:v>
                </c:pt>
                <c:pt idx="188">
                  <c:v>0.47747724062703834</c:v>
                </c:pt>
                <c:pt idx="189">
                  <c:v>0.4817354185370194</c:v>
                </c:pt>
                <c:pt idx="190">
                  <c:v>0.48601351325525405</c:v>
                </c:pt>
                <c:pt idx="191">
                  <c:v>0.4903115599073285</c:v>
                </c:pt>
                <c:pt idx="192">
                  <c:v>0.49462959385215516</c:v>
                </c:pt>
                <c:pt idx="193">
                  <c:v>0.49896765068283266</c:v>
                </c:pt>
                <c:pt idx="194">
                  <c:v>0.50332576622751146</c:v>
                </c:pt>
                <c:pt idx="195">
                  <c:v>0.50770397655026889</c:v>
                </c:pt>
                <c:pt idx="196">
                  <c:v>0.51210231795199002</c:v>
                </c:pt>
                <c:pt idx="197">
                  <c:v>0.5165208269712549</c:v>
                </c:pt>
                <c:pt idx="198">
                  <c:v>0.52095954038523506</c:v>
                </c:pt>
                <c:pt idx="199">
                  <c:v>0.52541849521059603</c:v>
                </c:pt>
                <c:pt idx="200">
                  <c:v>0.52989772870440688</c:v>
                </c:pt>
              </c:numCache>
            </c:numRef>
          </c:val>
          <c:smooth val="0"/>
          <c:extLst>
            <c:ext xmlns:c16="http://schemas.microsoft.com/office/drawing/2014/chart" uri="{C3380CC4-5D6E-409C-BE32-E72D297353CC}">
              <c16:uniqueId val="{00000003-7890-472B-AAE1-D1CB0E55BFDF}"/>
            </c:ext>
          </c:extLst>
        </c:ser>
        <c:dLbls>
          <c:showLegendKey val="0"/>
          <c:showVal val="0"/>
          <c:showCatName val="0"/>
          <c:showSerName val="0"/>
          <c:showPercent val="0"/>
          <c:showBubbleSize val="0"/>
        </c:dLbls>
        <c:marker val="1"/>
        <c:smooth val="0"/>
        <c:axId val="308586368"/>
        <c:axId val="308584448"/>
      </c:lineChart>
      <c:catAx>
        <c:axId val="308580352"/>
        <c:scaling>
          <c:orientation val="minMax"/>
        </c:scaling>
        <c:delete val="0"/>
        <c:axPos val="b"/>
        <c:majorGridlines>
          <c:spPr>
            <a:ln w="15875">
              <a:solidFill>
                <a:srgbClr val="969696"/>
              </a:solidFill>
              <a:prstDash val="sysDash"/>
            </a:ln>
          </c:spPr>
        </c:majorGridlines>
        <c:minorGridlines/>
        <c:title>
          <c:tx>
            <c:rich>
              <a:bodyPr/>
              <a:lstStyle/>
              <a:p>
                <a:pPr>
                  <a:defRPr sz="1200" b="1" i="0" u="none" strike="noStrike" baseline="0">
                    <a:solidFill>
                      <a:srgbClr val="0000FF"/>
                    </a:solidFill>
                    <a:latin typeface="Arial" pitchFamily="34" charset="0"/>
                    <a:ea typeface="Calibri"/>
                    <a:cs typeface="Arial" pitchFamily="34" charset="0"/>
                  </a:defRPr>
                </a:pPr>
                <a:r>
                  <a:rPr lang="en-US" sz="1200">
                    <a:solidFill>
                      <a:srgbClr val="0000FF"/>
                    </a:solidFill>
                    <a:latin typeface="Arial" pitchFamily="34" charset="0"/>
                    <a:cs typeface="Arial" pitchFamily="34" charset="0"/>
                  </a:rPr>
                  <a:t>Load Current (A)</a:t>
                </a:r>
              </a:p>
            </c:rich>
          </c:tx>
          <c:layout>
            <c:manualLayout>
              <c:xMode val="edge"/>
              <c:yMode val="edge"/>
              <c:x val="0.42471011396394504"/>
              <c:y val="0.93853771636955563"/>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1100" b="1" i="0" u="none" strike="noStrike" baseline="0">
                <a:solidFill>
                  <a:srgbClr val="0000FF"/>
                </a:solidFill>
                <a:latin typeface="Arial" pitchFamily="34" charset="0"/>
                <a:ea typeface="Calibri"/>
                <a:cs typeface="Arial" pitchFamily="34" charset="0"/>
              </a:defRPr>
            </a:pPr>
            <a:endParaRPr lang="en-US"/>
          </a:p>
        </c:txPr>
        <c:crossAx val="308582272"/>
        <c:crosses val="autoZero"/>
        <c:auto val="1"/>
        <c:lblAlgn val="ctr"/>
        <c:lblOffset val="100"/>
        <c:tickLblSkip val="40"/>
        <c:tickMarkSkip val="40"/>
        <c:noMultiLvlLbl val="0"/>
      </c:catAx>
      <c:valAx>
        <c:axId val="308582272"/>
        <c:scaling>
          <c:orientation val="minMax"/>
          <c:max val="100"/>
          <c:min val="65"/>
        </c:scaling>
        <c:delete val="0"/>
        <c:axPos val="l"/>
        <c:majorGridlines>
          <c:spPr>
            <a:ln w="15875">
              <a:solidFill>
                <a:srgbClr val="808080"/>
              </a:solidFill>
              <a:prstDash val="solid"/>
            </a:ln>
          </c:spPr>
        </c:majorGridlines>
        <c:minorGridlines/>
        <c:title>
          <c:tx>
            <c:rich>
              <a:bodyPr/>
              <a:lstStyle/>
              <a:p>
                <a:pPr>
                  <a:defRPr sz="1400" b="1" i="0" u="none" strike="noStrike" baseline="0">
                    <a:solidFill>
                      <a:srgbClr val="FF0000"/>
                    </a:solidFill>
                    <a:latin typeface="Arial" pitchFamily="34" charset="0"/>
                    <a:ea typeface="Calibri"/>
                    <a:cs typeface="Arial" pitchFamily="34" charset="0"/>
                  </a:defRPr>
                </a:pPr>
                <a:r>
                  <a:rPr lang="en-US" sz="1200" b="1">
                    <a:solidFill>
                      <a:srgbClr val="FF0000"/>
                    </a:solidFill>
                    <a:latin typeface="Arial" pitchFamily="34" charset="0"/>
                    <a:cs typeface="Arial" pitchFamily="34" charset="0"/>
                  </a:rPr>
                  <a:t>Efficiency  (%)</a:t>
                </a:r>
              </a:p>
            </c:rich>
          </c:tx>
          <c:layout>
            <c:manualLayout>
              <c:xMode val="edge"/>
              <c:yMode val="edge"/>
              <c:x val="1.2871858674081443E-2"/>
              <c:y val="0.3763817791568830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308580352"/>
        <c:crossesAt val="0"/>
        <c:crossBetween val="between"/>
        <c:majorUnit val="5"/>
        <c:minorUnit val="2.5"/>
      </c:valAx>
      <c:valAx>
        <c:axId val="308584448"/>
        <c:scaling>
          <c:orientation val="minMax"/>
        </c:scaling>
        <c:delete val="0"/>
        <c:axPos val="r"/>
        <c:title>
          <c:tx>
            <c:rich>
              <a:bodyPr rot="-5400000" vert="horz"/>
              <a:lstStyle/>
              <a:p>
                <a:pPr>
                  <a:defRPr sz="1200" b="1"/>
                </a:pPr>
                <a:r>
                  <a:rPr lang="en-US" sz="1200" b="1"/>
                  <a:t>Power Loss (W)</a:t>
                </a:r>
              </a:p>
            </c:rich>
          </c:tx>
          <c:layout>
            <c:manualLayout>
              <c:xMode val="edge"/>
              <c:yMode val="edge"/>
              <c:x val="0.95168474305601269"/>
              <c:y val="0.38117714045368295"/>
            </c:manualLayout>
          </c:layout>
          <c:overlay val="0"/>
        </c:title>
        <c:numFmt formatCode="General" sourceLinked="0"/>
        <c:majorTickMark val="out"/>
        <c:minorTickMark val="none"/>
        <c:tickLblPos val="nextTo"/>
        <c:txPr>
          <a:bodyPr/>
          <a:lstStyle/>
          <a:p>
            <a:pPr>
              <a:defRPr sz="1100" b="1">
                <a:solidFill>
                  <a:sysClr val="windowText" lastClr="000000"/>
                </a:solidFill>
              </a:defRPr>
            </a:pPr>
            <a:endParaRPr lang="en-US"/>
          </a:p>
        </c:txPr>
        <c:crossAx val="308586368"/>
        <c:crosses val="max"/>
        <c:crossBetween val="between"/>
      </c:valAx>
      <c:catAx>
        <c:axId val="308586368"/>
        <c:scaling>
          <c:orientation val="minMax"/>
        </c:scaling>
        <c:delete val="1"/>
        <c:axPos val="b"/>
        <c:numFmt formatCode="General" sourceLinked="1"/>
        <c:majorTickMark val="out"/>
        <c:minorTickMark val="none"/>
        <c:tickLblPos val="nextTo"/>
        <c:crossAx val="308584448"/>
        <c:crosses val="autoZero"/>
        <c:auto val="1"/>
        <c:lblAlgn val="ctr"/>
        <c:lblOffset val="100"/>
        <c:noMultiLvlLbl val="0"/>
      </c:catAx>
      <c:spPr>
        <a:noFill/>
        <a:ln w="25400">
          <a:noFill/>
        </a:ln>
      </c:spPr>
    </c:plotArea>
    <c:legend>
      <c:legendPos val="t"/>
      <c:layout>
        <c:manualLayout>
          <c:xMode val="edge"/>
          <c:yMode val="edge"/>
          <c:x val="0.40102557566231317"/>
          <c:y val="1.1892633038167682E-2"/>
          <c:w val="0.59897442433768688"/>
          <c:h val="8.9795049320617604E-2"/>
        </c:manualLayout>
      </c:layout>
      <c:overlay val="0"/>
      <c:spPr>
        <a:solidFill>
          <a:srgbClr val="FFFFFF"/>
        </a:solidFill>
        <a:ln w="25400">
          <a:noFill/>
        </a:ln>
      </c:spPr>
      <c:txPr>
        <a:bodyPr/>
        <a:lstStyle/>
        <a:p>
          <a:pPr>
            <a:defRPr sz="11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noFill/>
    <a:ln w="9525">
      <a:solidFill>
        <a:srgbClr val="80808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paperSize="5"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US"/>
              <a:t>Open Loop Response</a:t>
            </a:r>
          </a:p>
        </c:rich>
      </c:tx>
      <c:layout>
        <c:manualLayout>
          <c:xMode val="edge"/>
          <c:yMode val="edge"/>
          <c:x val="0.39590479517706217"/>
          <c:y val="3.1496062992125991E-2"/>
        </c:manualLayout>
      </c:layout>
      <c:overlay val="0"/>
      <c:spPr>
        <a:noFill/>
        <a:ln w="25400">
          <a:noFill/>
        </a:ln>
      </c:spPr>
    </c:title>
    <c:autoTitleDeleted val="0"/>
    <c:plotArea>
      <c:layout>
        <c:manualLayout>
          <c:layoutTarget val="inner"/>
          <c:xMode val="edge"/>
          <c:yMode val="edge"/>
          <c:x val="0.11262808019484494"/>
          <c:y val="0.20997429147774274"/>
          <c:w val="0.8003419638088306"/>
          <c:h val="0.60105140935503165"/>
        </c:manualLayout>
      </c:layout>
      <c:scatterChart>
        <c:scatterStyle val="smoothMarker"/>
        <c:varyColors val="0"/>
        <c:ser>
          <c:idx val="0"/>
          <c:order val="0"/>
          <c:tx>
            <c:v>Gain</c:v>
          </c:tx>
          <c:spPr>
            <a:ln w="12700">
              <a:solidFill>
                <a:srgbClr val="000000"/>
              </a:solidFill>
              <a:prstDash val="lgDash"/>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Calculations'!$X$9:$X$676</c:f>
              <c:numCache>
                <c:formatCode>General</c:formatCode>
                <c:ptCount val="668"/>
                <c:pt idx="0">
                  <c:v>82.963287813417708</c:v>
                </c:pt>
                <c:pt idx="1">
                  <c:v>76.942691784678999</c:v>
                </c:pt>
                <c:pt idx="2">
                  <c:v>73.420873077797538</c:v>
                </c:pt>
                <c:pt idx="3">
                  <c:v>70.92210740955089</c:v>
                </c:pt>
                <c:pt idx="4">
                  <c:v>68.983918802990601</c:v>
                </c:pt>
                <c:pt idx="5">
                  <c:v>67.40030812531316</c:v>
                </c:pt>
                <c:pt idx="6">
                  <c:v>66.061389165641216</c:v>
                </c:pt>
                <c:pt idx="7">
                  <c:v>64.901569648682539</c:v>
                </c:pt>
                <c:pt idx="8">
                  <c:v>63.878541211972504</c:v>
                </c:pt>
                <c:pt idx="9">
                  <c:v>62.963416002625365</c:v>
                </c:pt>
                <c:pt idx="10">
                  <c:v>56.943204533396056</c:v>
                </c:pt>
                <c:pt idx="11">
                  <c:v>53.422026731988083</c:v>
                </c:pt>
                <c:pt idx="12">
                  <c:v>50.924158274626798</c:v>
                </c:pt>
                <c:pt idx="13">
                  <c:v>48.987123127612605</c:v>
                </c:pt>
                <c:pt idx="14">
                  <c:v>47.404922085213919</c:v>
                </c:pt>
                <c:pt idx="15">
                  <c:v>46.067668847476668</c:v>
                </c:pt>
                <c:pt idx="16">
                  <c:v>44.909771033917593</c:v>
                </c:pt>
                <c:pt idx="17">
                  <c:v>43.88892016080753</c:v>
                </c:pt>
                <c:pt idx="18">
                  <c:v>42.976228237969408</c:v>
                </c:pt>
                <c:pt idx="19">
                  <c:v>36.994372854838574</c:v>
                </c:pt>
                <c:pt idx="20">
                  <c:v>33.536856217729117</c:v>
                </c:pt>
                <c:pt idx="21">
                  <c:v>31.127566115965003</c:v>
                </c:pt>
                <c:pt idx="22">
                  <c:v>29.303503861474262</c:v>
                </c:pt>
                <c:pt idx="23">
                  <c:v>27.858031499433288</c:v>
                </c:pt>
                <c:pt idx="24">
                  <c:v>26.680529676632215</c:v>
                </c:pt>
                <c:pt idx="25">
                  <c:v>25.704602261478996</c:v>
                </c:pt>
                <c:pt idx="26">
                  <c:v>24.887090474416933</c:v>
                </c:pt>
                <c:pt idx="27">
                  <c:v>24.198233054553025</c:v>
                </c:pt>
                <c:pt idx="28">
                  <c:v>22.089582781426138</c:v>
                </c:pt>
                <c:pt idx="29">
                  <c:v>21.410290692545829</c:v>
                </c:pt>
                <c:pt idx="30">
                  <c:v>21.650640304011631</c:v>
                </c:pt>
                <c:pt idx="31">
                  <c:v>22.610917024699173</c:v>
                </c:pt>
                <c:pt idx="32">
                  <c:v>24.22810783234549</c:v>
                </c:pt>
                <c:pt idx="33">
                  <c:v>26.429338605174671</c:v>
                </c:pt>
                <c:pt idx="34">
                  <c:v>28.581538684051839</c:v>
                </c:pt>
                <c:pt idx="35">
                  <c:v>28.591442736595948</c:v>
                </c:pt>
                <c:pt idx="36">
                  <c:v>26.144577332052808</c:v>
                </c:pt>
                <c:pt idx="37">
                  <c:v>23.362297289122097</c:v>
                </c:pt>
                <c:pt idx="38">
                  <c:v>20.991664759061525</c:v>
                </c:pt>
                <c:pt idx="39">
                  <c:v>19.0406003278163</c:v>
                </c:pt>
                <c:pt idx="40">
                  <c:v>17.415748137421826</c:v>
                </c:pt>
                <c:pt idx="41">
                  <c:v>16.037105343392135</c:v>
                </c:pt>
                <c:pt idx="42">
                  <c:v>14.846638391875221</c:v>
                </c:pt>
                <c:pt idx="43">
                  <c:v>13.802970840275517</c:v>
                </c:pt>
                <c:pt idx="44">
                  <c:v>12.876184020738787</c:v>
                </c:pt>
                <c:pt idx="45">
                  <c:v>12.044184895421226</c:v>
                </c:pt>
                <c:pt idx="46">
                  <c:v>11.290308347910422</c:v>
                </c:pt>
                <c:pt idx="47">
                  <c:v>10.601734175337047</c:v>
                </c:pt>
                <c:pt idx="48">
                  <c:v>9.9684247304373628</c:v>
                </c:pt>
                <c:pt idx="49">
                  <c:v>9.3823969818172621</c:v>
                </c:pt>
                <c:pt idx="50">
                  <c:v>8.837213037436527</c:v>
                </c:pt>
                <c:pt idx="51">
                  <c:v>8.3276163249023956</c:v>
                </c:pt>
                <c:pt idx="52">
                  <c:v>7.8492669223403784</c:v>
                </c:pt>
                <c:pt idx="53">
                  <c:v>7.3985457355832303</c:v>
                </c:pt>
                <c:pt idx="54">
                  <c:v>6.9724073720443691</c:v>
                </c:pt>
                <c:pt idx="55">
                  <c:v>6.5682680506363065</c:v>
                </c:pt>
                <c:pt idx="56">
                  <c:v>6.1839191157117597</c:v>
                </c:pt>
                <c:pt idx="57">
                  <c:v>5.8174595312930268</c:v>
                </c:pt>
                <c:pt idx="58">
                  <c:v>5.4672426305764894</c:v>
                </c:pt>
                <c:pt idx="59">
                  <c:v>5.1318337011312218</c:v>
                </c:pt>
                <c:pt idx="60">
                  <c:v>4.8099758978283784</c:v>
                </c:pt>
                <c:pt idx="61">
                  <c:v>4.5005626214124721</c:v>
                </c:pt>
                <c:pt idx="62">
                  <c:v>4.2026149643957744</c:v>
                </c:pt>
                <c:pt idx="63">
                  <c:v>3.915263163132809</c:v>
                </c:pt>
                <c:pt idx="64">
                  <c:v>3.6377312429147124</c:v>
                </c:pt>
                <c:pt idx="65">
                  <c:v>3.3693242272758717</c:v>
                </c:pt>
                <c:pt idx="66">
                  <c:v>3.1094174211322545</c:v>
                </c:pt>
                <c:pt idx="67">
                  <c:v>2.8574473822879538</c:v>
                </c:pt>
                <c:pt idx="68">
                  <c:v>2.6129042760633689</c:v>
                </c:pt>
                <c:pt idx="69">
                  <c:v>2.375325369634016</c:v>
                </c:pt>
                <c:pt idx="70">
                  <c:v>2.1442894707034568</c:v>
                </c:pt>
                <c:pt idx="71">
                  <c:v>1.9194121527179329</c:v>
                </c:pt>
                <c:pt idx="72">
                  <c:v>1.7003416384394581</c:v>
                </c:pt>
                <c:pt idx="73">
                  <c:v>1.4867552371703694</c:v>
                </c:pt>
                <c:pt idx="74">
                  <c:v>1.2783562496511895</c:v>
                </c:pt>
                <c:pt idx="75">
                  <c:v>1.0748712696799811</c:v>
                </c:pt>
                <c:pt idx="76">
                  <c:v>0.87604782362487255</c:v>
                </c:pt>
                <c:pt idx="77">
                  <c:v>0.68165229883330114</c:v>
                </c:pt>
                <c:pt idx="78">
                  <c:v>0.49146811995460388</c:v>
                </c:pt>
                <c:pt idx="79">
                  <c:v>0.30529413875455091</c:v>
                </c:pt>
                <c:pt idx="80">
                  <c:v>0.12294320839832713</c:v>
                </c:pt>
                <c:pt idx="81">
                  <c:v>-5.5759082362147466E-2</c:v>
                </c:pt>
                <c:pt idx="82">
                  <c:v>-0.23097553596113068</c:v>
                </c:pt>
                <c:pt idx="83">
                  <c:v>-0.40285835153573402</c:v>
                </c:pt>
                <c:pt idx="84">
                  <c:v>-0.57155002439371894</c:v>
                </c:pt>
                <c:pt idx="85">
                  <c:v>-0.73718415247856883</c:v>
                </c:pt>
                <c:pt idx="86">
                  <c:v>-0.89988616105780517</c:v>
                </c:pt>
                <c:pt idx="87">
                  <c:v>-1.0597739553229981</c:v>
                </c:pt>
                <c:pt idx="88">
                  <c:v>-1.21695850928657</c:v>
                </c:pt>
                <c:pt idx="89">
                  <c:v>-1.3715443982522753</c:v>
                </c:pt>
                <c:pt idx="90">
                  <c:v>-1.5236302811913194</c:v>
                </c:pt>
                <c:pt idx="91">
                  <c:v>-1.6733093385476538</c:v>
                </c:pt>
                <c:pt idx="92">
                  <c:v>-1.8206696703028946</c:v>
                </c:pt>
                <c:pt idx="93">
                  <c:v>-1.9657946585349086</c:v>
                </c:pt>
                <c:pt idx="94">
                  <c:v>-2.108763298190087</c:v>
                </c:pt>
                <c:pt idx="95">
                  <c:v>-2.2496504993450457</c:v>
                </c:pt>
                <c:pt idx="96">
                  <c:v>-2.3885273638480968</c:v>
                </c:pt>
                <c:pt idx="97">
                  <c:v>-2.525461438896619</c:v>
                </c:pt>
                <c:pt idx="98">
                  <c:v>-2.6605169498150354</c:v>
                </c:pt>
                <c:pt idx="99">
                  <c:v>-2.7937550140439389</c:v>
                </c:pt>
                <c:pt idx="100">
                  <c:v>-2.9252338381288814</c:v>
                </c:pt>
                <c:pt idx="101">
                  <c:v>-3.0550088993024676</c:v>
                </c:pt>
                <c:pt idx="102">
                  <c:v>-3.1831331130824179</c:v>
                </c:pt>
                <c:pt idx="103">
                  <c:v>-3.309656988157863</c:v>
                </c:pt>
                <c:pt idx="104">
                  <c:v>-3.4346287697035454</c:v>
                </c:pt>
                <c:pt idx="105">
                  <c:v>-3.5580945721445194</c:v>
                </c:pt>
                <c:pt idx="106">
                  <c:v>-3.6800985022901376</c:v>
                </c:pt>
                <c:pt idx="107">
                  <c:v>-3.8006827736646587</c:v>
                </c:pt>
                <c:pt idx="108">
                  <c:v>-3.9198878127797867</c:v>
                </c:pt>
                <c:pt idx="109">
                  <c:v>-4.0377523580225034</c:v>
                </c:pt>
                <c:pt idx="110">
                  <c:v>-4.1543135517664194</c:v>
                </c:pt>
                <c:pt idx="111">
                  <c:v>-4.2696070262577219</c:v>
                </c:pt>
                <c:pt idx="112">
                  <c:v>-4.3836669837749458</c:v>
                </c:pt>
                <c:pt idx="113">
                  <c:v>-4.4965262715160295</c:v>
                </c:pt>
                <c:pt idx="114">
                  <c:v>-4.6082164516245365</c:v>
                </c:pt>
                <c:pt idx="115">
                  <c:v>-4.7187678667300856</c:v>
                </c:pt>
                <c:pt idx="116">
                  <c:v>-4.8282097013446332</c:v>
                </c:pt>
                <c:pt idx="117">
                  <c:v>-4.9365700394262042</c:v>
                </c:pt>
                <c:pt idx="118">
                  <c:v>-5.0438759183949138</c:v>
                </c:pt>
                <c:pt idx="119">
                  <c:v>-5.1501533798613295</c:v>
                </c:pt>
                <c:pt idx="120">
                  <c:v>-5.2554275173056393</c:v>
                </c:pt>
                <c:pt idx="121">
                  <c:v>-5.3597225209258692</c:v>
                </c:pt>
                <c:pt idx="122">
                  <c:v>-5.4630617198554656</c:v>
                </c:pt>
                <c:pt idx="123">
                  <c:v>-5.5654676219342258</c:v>
                </c:pt>
                <c:pt idx="124">
                  <c:v>-5.6669619512015448</c:v>
                </c:pt>
                <c:pt idx="125">
                  <c:v>-5.7675656832677502</c:v>
                </c:pt>
                <c:pt idx="126">
                  <c:v>-5.8672990787066572</c:v>
                </c:pt>
                <c:pt idx="127">
                  <c:v>-5.9661817146015395</c:v>
                </c:pt>
                <c:pt idx="128">
                  <c:v>-6.0642325143664397</c:v>
                </c:pt>
                <c:pt idx="129">
                  <c:v>-6.161469775955382</c:v>
                </c:pt>
                <c:pt idx="130">
                  <c:v>-6.257911198563642</c:v>
                </c:pt>
                <c:pt idx="131">
                  <c:v>-6.3535739079173057</c:v>
                </c:pt>
                <c:pt idx="132">
                  <c:v>-6.4484744802404395</c:v>
                </c:pt>
                <c:pt idx="133">
                  <c:v>-6.5426289649823861</c:v>
                </c:pt>
                <c:pt idx="134">
                  <c:v>-6.6360529063820124</c:v>
                </c:pt>
                <c:pt idx="135">
                  <c:v>-6.7287613639399719</c:v>
                </c:pt>
                <c:pt idx="136">
                  <c:v>-6.8207689318652056</c:v>
                </c:pt>
                <c:pt idx="137">
                  <c:v>-6.9120897575571174</c:v>
                </c:pt>
                <c:pt idx="138">
                  <c:v>-7.0027375591806909</c:v>
                </c:pt>
                <c:pt idx="139">
                  <c:v>-7.0927256423877392</c:v>
                </c:pt>
                <c:pt idx="140">
                  <c:v>-7.1820669162340298</c:v>
                </c:pt>
                <c:pt idx="141">
                  <c:v>-7.2707739083385006</c:v>
                </c:pt>
                <c:pt idx="142">
                  <c:v>-7.3588587793278144</c:v>
                </c:pt>
                <c:pt idx="143">
                  <c:v>-7.4463333366065845</c:v>
                </c:pt>
                <c:pt idx="144">
                  <c:v>-7.5332090474909341</c:v>
                </c:pt>
                <c:pt idx="145">
                  <c:v>-7.6194970517406766</c:v>
                </c:pt>
                <c:pt idx="146">
                  <c:v>-7.7052081735230598</c:v>
                </c:pt>
                <c:pt idx="147">
                  <c:v>-7.7903529328389665</c:v>
                </c:pt>
                <c:pt idx="148">
                  <c:v>-7.8749415564405156</c:v>
                </c:pt>
                <c:pt idx="149">
                  <c:v>-7.9589839882671312</c:v>
                </c:pt>
                <c:pt idx="150">
                  <c:v>-8.0424898994255258</c:v>
                </c:pt>
                <c:pt idx="151">
                  <c:v>-8.1254686977375314</c:v>
                </c:pt>
                <c:pt idx="152">
                  <c:v>-8.2079295368780727</c:v>
                </c:pt>
                <c:pt idx="153">
                  <c:v>-8.2898813251244441</c:v>
                </c:pt>
                <c:pt idx="154">
                  <c:v>-8.3713327337366579</c:v>
                </c:pt>
                <c:pt idx="155">
                  <c:v>-8.45229220498749</c:v>
                </c:pt>
                <c:pt idx="156">
                  <c:v>-8.5327679598597062</c:v>
                </c:pt>
                <c:pt idx="157">
                  <c:v>-8.6127680054271067</c:v>
                </c:pt>
                <c:pt idx="158">
                  <c:v>-8.6923001419347585</c:v>
                </c:pt>
                <c:pt idx="159">
                  <c:v>-8.7713719695932397</c:v>
                </c:pt>
                <c:pt idx="160">
                  <c:v>-8.8499908951006354</c:v>
                </c:pt>
                <c:pt idx="161">
                  <c:v>-8.9281641379053696</c:v>
                </c:pt>
                <c:pt idx="162">
                  <c:v>-9.0058987362221394</c:v>
                </c:pt>
                <c:pt idx="163">
                  <c:v>-9.0832015528126622</c:v>
                </c:pt>
                <c:pt idx="164">
                  <c:v>-9.1600792805421847</c:v>
                </c:pt>
                <c:pt idx="165">
                  <c:v>-9.2365384477221415</c:v>
                </c:pt>
                <c:pt idx="166">
                  <c:v>-9.3125854232488372</c:v>
                </c:pt>
                <c:pt idx="167">
                  <c:v>-9.3882264215474045</c:v>
                </c:pt>
                <c:pt idx="168">
                  <c:v>-9.4634675073298737</c:v>
                </c:pt>
                <c:pt idx="169">
                  <c:v>-9.5383146001757453</c:v>
                </c:pt>
                <c:pt idx="170">
                  <c:v>-9.6127734789428505</c:v>
                </c:pt>
                <c:pt idx="171">
                  <c:v>-9.6868497860161114</c:v>
                </c:pt>
                <c:pt idx="172">
                  <c:v>-9.7605490314012844</c:v>
                </c:pt>
                <c:pt idx="173">
                  <c:v>-9.8338765966703381</c:v>
                </c:pt>
                <c:pt idx="174">
                  <c:v>-9.906837738765029</c:v>
                </c:pt>
                <c:pt idx="175">
                  <c:v>-9.9794375936645974</c:v>
                </c:pt>
                <c:pt idx="176">
                  <c:v>-10.05168117992344</c:v>
                </c:pt>
                <c:pt idx="177">
                  <c:v>-10.123573402084249</c:v>
                </c:pt>
                <c:pt idx="178">
                  <c:v>-10.195119053971798</c:v>
                </c:pt>
                <c:pt idx="179">
                  <c:v>-10.266322821872329</c:v>
                </c:pt>
                <c:pt idx="180">
                  <c:v>-10.337189287603344</c:v>
                </c:pt>
                <c:pt idx="181">
                  <c:v>-10.407722931478173</c:v>
                </c:pt>
                <c:pt idx="182">
                  <c:v>-10.477928135169659</c:v>
                </c:pt>
                <c:pt idx="183">
                  <c:v>-10.54780918447708</c:v>
                </c:pt>
                <c:pt idx="184">
                  <c:v>-10.617370272000066</c:v>
                </c:pt>
                <c:pt idx="185">
                  <c:v>-10.686615499723345</c:v>
                </c:pt>
                <c:pt idx="186">
                  <c:v>-10.755548881515729</c:v>
                </c:pt>
                <c:pt idx="187">
                  <c:v>-10.824174345546796</c:v>
                </c:pt>
                <c:pt idx="188">
                  <c:v>-10.892495736624433</c:v>
                </c:pt>
                <c:pt idx="189">
                  <c:v>-10.960516818456254</c:v>
                </c:pt>
                <c:pt idx="190">
                  <c:v>-11.028241275837988</c:v>
                </c:pt>
                <c:pt idx="191">
                  <c:v>-11.095672716771382</c:v>
                </c:pt>
                <c:pt idx="192">
                  <c:v>-11.162814674514532</c:v>
                </c:pt>
                <c:pt idx="193">
                  <c:v>-11.229670609566993</c:v>
                </c:pt>
                <c:pt idx="194">
                  <c:v>-11.296243911592276</c:v>
                </c:pt>
                <c:pt idx="195">
                  <c:v>-11.362537901279911</c:v>
                </c:pt>
                <c:pt idx="196">
                  <c:v>-11.428555832149435</c:v>
                </c:pt>
                <c:pt idx="197">
                  <c:v>-11.49430089229833</c:v>
                </c:pt>
                <c:pt idx="198">
                  <c:v>-11.559776206096057</c:v>
                </c:pt>
                <c:pt idx="199">
                  <c:v>-11.624984835826055</c:v>
                </c:pt>
                <c:pt idx="200">
                  <c:v>-11.689929783277609</c:v>
                </c:pt>
                <c:pt idx="201">
                  <c:v>-11.754613991289419</c:v>
                </c:pt>
                <c:pt idx="202">
                  <c:v>-11.819040345246536</c:v>
                </c:pt>
                <c:pt idx="203">
                  <c:v>-11.883211674532317</c:v>
                </c:pt>
                <c:pt idx="204">
                  <c:v>-11.947130753937024</c:v>
                </c:pt>
                <c:pt idx="205">
                  <c:v>-12.010800305024528</c:v>
                </c:pt>
                <c:pt idx="206">
                  <c:v>-12.07422299745863</c:v>
                </c:pt>
                <c:pt idx="207">
                  <c:v>-12.137401450290316</c:v>
                </c:pt>
                <c:pt idx="208">
                  <c:v>-12.20033823320737</c:v>
                </c:pt>
                <c:pt idx="209">
                  <c:v>-12.263035867747563</c:v>
                </c:pt>
                <c:pt idx="210">
                  <c:v>-12.325496828476725</c:v>
                </c:pt>
                <c:pt idx="211">
                  <c:v>-12.38772354413274</c:v>
                </c:pt>
                <c:pt idx="212">
                  <c:v>-12.44971839873685</c:v>
                </c:pt>
                <c:pt idx="213">
                  <c:v>-12.511483732673074</c:v>
                </c:pt>
                <c:pt idx="214">
                  <c:v>-12.573021843737038</c:v>
                </c:pt>
                <c:pt idx="215">
                  <c:v>-12.634334988155079</c:v>
                </c:pt>
                <c:pt idx="216">
                  <c:v>-12.695425381574667</c:v>
                </c:pt>
                <c:pt idx="217">
                  <c:v>-12.756295200027029</c:v>
                </c:pt>
                <c:pt idx="218">
                  <c:v>-12.816946580862949</c:v>
                </c:pt>
                <c:pt idx="219">
                  <c:v>-12.877381623662519</c:v>
                </c:pt>
                <c:pt idx="220">
                  <c:v>-12.93760239111977</c:v>
                </c:pt>
                <c:pt idx="221">
                  <c:v>-12.997610909902914</c:v>
                </c:pt>
                <c:pt idx="222">
                  <c:v>-13.057409171491008</c:v>
                </c:pt>
                <c:pt idx="223">
                  <c:v>-13.116999132987775</c:v>
                </c:pt>
                <c:pt idx="224">
                  <c:v>-13.176382717913274</c:v>
                </c:pt>
                <c:pt idx="225">
                  <c:v>-13.235561816974206</c:v>
                </c:pt>
                <c:pt idx="226">
                  <c:v>-13.816500021071063</c:v>
                </c:pt>
                <c:pt idx="227">
                  <c:v>-14.378852240420576</c:v>
                </c:pt>
                <c:pt idx="228">
                  <c:v>-14.924068513512935</c:v>
                </c:pt>
                <c:pt idx="229">
                  <c:v>-15.453395520470533</c:v>
                </c:pt>
                <c:pt idx="230">
                  <c:v>-15.967914837401615</c:v>
                </c:pt>
                <c:pt idx="231">
                  <c:v>-16.468572903732699</c:v>
                </c:pt>
                <c:pt idx="232">
                  <c:v>-16.956204675593124</c:v>
                </c:pt>
                <c:pt idx="233">
                  <c:v>-17.431552425450153</c:v>
                </c:pt>
                <c:pt idx="234">
                  <c:v>-17.895280781210843</c:v>
                </c:pt>
                <c:pt idx="235">
                  <c:v>-18.34798883154355</c:v>
                </c:pt>
                <c:pt idx="236">
                  <c:v>-18.790219928169588</c:v>
                </c:pt>
                <c:pt idx="237">
                  <c:v>-19.222469670045836</c:v>
                </c:pt>
                <c:pt idx="238">
                  <c:v>-19.645192444764298</c:v>
                </c:pt>
                <c:pt idx="239">
                  <c:v>-20.058806819403948</c:v>
                </c:pt>
                <c:pt idx="240">
                  <c:v>-20.463700009585814</c:v>
                </c:pt>
                <c:pt idx="241">
                  <c:v>-20.860231606649563</c:v>
                </c:pt>
                <c:pt idx="242">
                  <c:v>-21.248736705082329</c:v>
                </c:pt>
                <c:pt idx="243">
                  <c:v>-21.629528542935745</c:v>
                </c:pt>
                <c:pt idx="244">
                  <c:v>-22.002900744994211</c:v>
                </c:pt>
                <c:pt idx="245">
                  <c:v>-22.369129240426329</c:v>
                </c:pt>
                <c:pt idx="246">
                  <c:v>-22.728473912446123</c:v>
                </c:pt>
                <c:pt idx="247">
                  <c:v>-23.081180026279231</c:v>
                </c:pt>
                <c:pt idx="248">
                  <c:v>-23.427479472820323</c:v>
                </c:pt>
                <c:pt idx="249">
                  <c:v>-23.767591858279712</c:v>
                </c:pt>
                <c:pt idx="250">
                  <c:v>-24.101725464460113</c:v>
                </c:pt>
                <c:pt idx="251">
                  <c:v>-24.430078099778182</c:v>
                </c:pt>
                <c:pt idx="252">
                  <c:v>-24.752837857511857</c:v>
                </c:pt>
                <c:pt idx="253">
                  <c:v>-25.070183794831156</c:v>
                </c:pt>
                <c:pt idx="254">
                  <c:v>-25.382286543810704</c:v>
                </c:pt>
                <c:pt idx="255">
                  <c:v>-25.68930886371227</c:v>
                </c:pt>
                <c:pt idx="256">
                  <c:v>-25.991406142275835</c:v>
                </c:pt>
                <c:pt idx="257">
                  <c:v>-26.288726852496048</c:v>
                </c:pt>
                <c:pt idx="258">
                  <c:v>-26.581412970329769</c:v>
                </c:pt>
                <c:pt idx="259">
                  <c:v>-26.869600357936783</c:v>
                </c:pt>
                <c:pt idx="260">
                  <c:v>-27.15341911636088</c:v>
                </c:pt>
                <c:pt idx="261">
                  <c:v>-27.432993910986397</c:v>
                </c:pt>
                <c:pt idx="262">
                  <c:v>-27.708444272630693</c:v>
                </c:pt>
                <c:pt idx="263">
                  <c:v>-27.97988487673889</c:v>
                </c:pt>
                <c:pt idx="264">
                  <c:v>-28.247425802818139</c:v>
                </c:pt>
                <c:pt idx="265">
                  <c:v>-28.511172775972916</c:v>
                </c:pt>
                <c:pt idx="266">
                  <c:v>-28.771227392170495</c:v>
                </c:pt>
                <c:pt idx="267">
                  <c:v>-29.027687328669597</c:v>
                </c:pt>
                <c:pt idx="268">
                  <c:v>-29.28064654087834</c:v>
                </c:pt>
                <c:pt idx="269">
                  <c:v>-29.530195446765308</c:v>
                </c:pt>
                <c:pt idx="270">
                  <c:v>-29.776421099825452</c:v>
                </c:pt>
                <c:pt idx="271">
                  <c:v>-30.019407351497648</c:v>
                </c:pt>
                <c:pt idx="272">
                  <c:v>-30.259235003839294</c:v>
                </c:pt>
                <c:pt idx="273">
                  <c:v>-30.495981953184614</c:v>
                </c:pt>
                <c:pt idx="274">
                  <c:v>-30.729723325443953</c:v>
                </c:pt>
                <c:pt idx="275">
                  <c:v>-30.960531603640689</c:v>
                </c:pt>
                <c:pt idx="276">
                  <c:v>-31.188476748228929</c:v>
                </c:pt>
                <c:pt idx="277">
                  <c:v>-31.413626310687807</c:v>
                </c:pt>
                <c:pt idx="278">
                  <c:v>-31.636045540845998</c:v>
                </c:pt>
                <c:pt idx="279">
                  <c:v>-31.855797488352678</c:v>
                </c:pt>
                <c:pt idx="280">
                  <c:v>-32.072943098677356</c:v>
                </c:pt>
                <c:pt idx="281">
                  <c:v>-32.287541303990878</c:v>
                </c:pt>
                <c:pt idx="282">
                  <c:v>-32.49964910925258</c:v>
                </c:pt>
                <c:pt idx="283">
                  <c:v>-32.709321673803956</c:v>
                </c:pt>
                <c:pt idx="284">
                  <c:v>-32.916612388746806</c:v>
                </c:pt>
                <c:pt idx="285">
                  <c:v>-33.121572950363614</c:v>
                </c:pt>
                <c:pt idx="286">
                  <c:v>-33.324253429819137</c:v>
                </c:pt>
                <c:pt idx="287">
                  <c:v>-33.524702339365582</c:v>
                </c:pt>
                <c:pt idx="288">
                  <c:v>-33.722966695257874</c:v>
                </c:pt>
                <c:pt idx="289">
                  <c:v>-33.919092077571634</c:v>
                </c:pt>
                <c:pt idx="290">
                  <c:v>-34.113122687103228</c:v>
                </c:pt>
                <c:pt idx="291">
                  <c:v>-34.305101399519188</c:v>
                </c:pt>
                <c:pt idx="292">
                  <c:v>-34.495069816911382</c:v>
                </c:pt>
                <c:pt idx="293">
                  <c:v>-34.683068316903949</c:v>
                </c:pt>
                <c:pt idx="294">
                  <c:v>-34.869136099448518</c:v>
                </c:pt>
                <c:pt idx="295">
                  <c:v>-35.053311231435636</c:v>
                </c:pt>
                <c:pt idx="296">
                  <c:v>-35.235630689241987</c:v>
                </c:pt>
                <c:pt idx="297">
                  <c:v>-35.416130399325695</c:v>
                </c:pt>
                <c:pt idx="298">
                  <c:v>-35.594845276974844</c:v>
                </c:pt>
                <c:pt idx="299">
                  <c:v>-35.771809263307901</c:v>
                </c:pt>
                <c:pt idx="300">
                  <c:v>-35.947055360618691</c:v>
                </c:pt>
                <c:pt idx="301">
                  <c:v>-36.120615666153022</c:v>
                </c:pt>
                <c:pt idx="302">
                  <c:v>-36.292521404398727</c:v>
                </c:pt>
                <c:pt idx="303">
                  <c:v>-36.46280295796597</c:v>
                </c:pt>
                <c:pt idx="304">
                  <c:v>-36.631489897130344</c:v>
                </c:pt>
                <c:pt idx="305">
                  <c:v>-36.79861100810664</c:v>
                </c:pt>
                <c:pt idx="306">
                  <c:v>-36.96419432011777</c:v>
                </c:pt>
                <c:pt idx="307">
                  <c:v>-37.128267131318886</c:v>
                </c:pt>
                <c:pt idx="308">
                  <c:v>-37.290856033634007</c:v>
                </c:pt>
                <c:pt idx="309">
                  <c:v>-37.451986936558697</c:v>
                </c:pt>
                <c:pt idx="310">
                  <c:v>-37.611685089979488</c:v>
                </c:pt>
                <c:pt idx="311">
                  <c:v>-37.76997510605802</c:v>
                </c:pt>
                <c:pt idx="312">
                  <c:v>-37.926880980224922</c:v>
                </c:pt>
                <c:pt idx="313">
                  <c:v>-38.082426111326136</c:v>
                </c:pt>
                <c:pt idx="314">
                  <c:v>-38.236633320962191</c:v>
                </c:pt>
                <c:pt idx="315">
                  <c:v>-38.389524872058324</c:v>
                </c:pt>
                <c:pt idx="316">
                  <c:v>-38.541122486701646</c:v>
                </c:pt>
                <c:pt idx="317">
                  <c:v>-38.691447363279515</c:v>
                </c:pt>
                <c:pt idx="318">
                  <c:v>-38.840520192951324</c:v>
                </c:pt>
                <c:pt idx="319">
                  <c:v>-38.988361175484329</c:v>
                </c:pt>
                <c:pt idx="320">
                  <c:v>-39.134990034482627</c:v>
                </c:pt>
                <c:pt idx="321">
                  <c:v>-39.280426032036509</c:v>
                </c:pt>
                <c:pt idx="322">
                  <c:v>-39.424687982818469</c:v>
                </c:pt>
                <c:pt idx="323">
                  <c:v>-39.567794267650392</c:v>
                </c:pt>
                <c:pt idx="324">
                  <c:v>-39.709762846565468</c:v>
                </c:pt>
                <c:pt idx="325">
                  <c:v>-39.85061127138701</c:v>
                </c:pt>
                <c:pt idx="326">
                  <c:v>-39.9903566978453</c:v>
                </c:pt>
                <c:pt idx="327">
                  <c:v>-40.129015897252494</c:v>
                </c:pt>
                <c:pt idx="328">
                  <c:v>-40.266605267754713</c:v>
                </c:pt>
                <c:pt idx="329">
                  <c:v>-40.403140845179344</c:v>
                </c:pt>
                <c:pt idx="330">
                  <c:v>-40.538638313494808</c:v>
                </c:pt>
                <c:pt idx="331">
                  <c:v>-40.67311301489913</c:v>
                </c:pt>
                <c:pt idx="332">
                  <c:v>-40.806579959553034</c:v>
                </c:pt>
                <c:pt idx="333">
                  <c:v>-40.939053834972086</c:v>
                </c:pt>
                <c:pt idx="334">
                  <c:v>-41.07054901509234</c:v>
                </c:pt>
                <c:pt idx="335">
                  <c:v>-41.201079569022738</c:v>
                </c:pt>
                <c:pt idx="336">
                  <c:v>-41.33065926949704</c:v>
                </c:pt>
                <c:pt idx="337">
                  <c:v>-41.45930160103763</c:v>
                </c:pt>
                <c:pt idx="338">
                  <c:v>-41.587019767842712</c:v>
                </c:pt>
                <c:pt idx="339">
                  <c:v>-41.713826701408003</c:v>
                </c:pt>
                <c:pt idx="340">
                  <c:v>-41.839735067893542</c:v>
                </c:pt>
                <c:pt idx="341">
                  <c:v>-41.964757275245688</c:v>
                </c:pt>
                <c:pt idx="342">
                  <c:v>-42.088905480083938</c:v>
                </c:pt>
                <c:pt idx="343">
                  <c:v>-42.212191594361684</c:v>
                </c:pt>
                <c:pt idx="344">
                  <c:v>-42.33462729180988</c:v>
                </c:pt>
                <c:pt idx="345">
                  <c:v>-42.456224014171781</c:v>
                </c:pt>
                <c:pt idx="346">
                  <c:v>-42.576992977236934</c:v>
                </c:pt>
                <c:pt idx="347">
                  <c:v>-42.696945176682007</c:v>
                </c:pt>
                <c:pt idx="348">
                  <c:v>-42.816091393725777</c:v>
                </c:pt>
                <c:pt idx="349">
                  <c:v>-42.934442200605304</c:v>
                </c:pt>
                <c:pt idx="350">
                  <c:v>-43.05200796587998</c:v>
                </c:pt>
                <c:pt idx="351">
                  <c:v>-43.168798859569861</c:v>
                </c:pt>
                <c:pt idx="352">
                  <c:v>-43.284824858134371</c:v>
                </c:pt>
                <c:pt idx="353">
                  <c:v>-43.400095749297385</c:v>
                </c:pt>
                <c:pt idx="354">
                  <c:v>-43.514621136724159</c:v>
                </c:pt>
                <c:pt idx="355">
                  <c:v>-43.628410444555513</c:v>
                </c:pt>
                <c:pt idx="356">
                  <c:v>-43.741472921804572</c:v>
                </c:pt>
                <c:pt idx="357">
                  <c:v>-43.853817646620826</c:v>
                </c:pt>
                <c:pt idx="358">
                  <c:v>-43.965453530426331</c:v>
                </c:pt>
                <c:pt idx="359">
                  <c:v>-44.076389321928602</c:v>
                </c:pt>
                <c:pt idx="360">
                  <c:v>-44.186633611014592</c:v>
                </c:pt>
                <c:pt idx="361">
                  <c:v>-44.296194832529814</c:v>
                </c:pt>
                <c:pt idx="362">
                  <c:v>-44.405081269946656</c:v>
                </c:pt>
                <c:pt idx="363">
                  <c:v>-44.513301058925947</c:v>
                </c:pt>
                <c:pt idx="364">
                  <c:v>-44.620862190775043</c:v>
                </c:pt>
                <c:pt idx="365">
                  <c:v>-44.727772515806457</c:v>
                </c:pt>
                <c:pt idx="366">
                  <c:v>-44.834039746600055</c:v>
                </c:pt>
                <c:pt idx="367">
                  <c:v>-44.939671461172289</c:v>
                </c:pt>
                <c:pt idx="368">
                  <c:v>-45.044675106055635</c:v>
                </c:pt>
                <c:pt idx="369">
                  <c:v>-45.149057999291038</c:v>
                </c:pt>
                <c:pt idx="370">
                  <c:v>-45.252827333336604</c:v>
                </c:pt>
                <c:pt idx="371">
                  <c:v>-45.355990177894931</c:v>
                </c:pt>
                <c:pt idx="372">
                  <c:v>-45.45855348266219</c:v>
                </c:pt>
                <c:pt idx="373">
                  <c:v>-45.560524080001159</c:v>
                </c:pt>
                <c:pt idx="374">
                  <c:v>-45.661908687540929</c:v>
                </c:pt>
                <c:pt idx="375">
                  <c:v>-45.762713910705614</c:v>
                </c:pt>
                <c:pt idx="376">
                  <c:v>-45.862946245174278</c:v>
                </c:pt>
                <c:pt idx="377">
                  <c:v>-45.962612079274471</c:v>
                </c:pt>
                <c:pt idx="378">
                  <c:v>-46.061717696311327</c:v>
                </c:pt>
                <c:pt idx="379">
                  <c:v>-46.160269276834327</c:v>
                </c:pt>
                <c:pt idx="380">
                  <c:v>-46.258272900843835</c:v>
                </c:pt>
                <c:pt idx="381">
                  <c:v>-46.355734549939058</c:v>
                </c:pt>
                <c:pt idx="382">
                  <c:v>-46.452660109409564</c:v>
                </c:pt>
                <c:pt idx="383">
                  <c:v>-46.549055370271844</c:v>
                </c:pt>
                <c:pt idx="384">
                  <c:v>-46.644926031252858</c:v>
                </c:pt>
                <c:pt idx="385">
                  <c:v>-46.740277700722004</c:v>
                </c:pt>
                <c:pt idx="386">
                  <c:v>-46.83511589857325</c:v>
                </c:pt>
                <c:pt idx="387">
                  <c:v>-46.929446058058907</c:v>
                </c:pt>
                <c:pt idx="388">
                  <c:v>-47.023273527576492</c:v>
                </c:pt>
                <c:pt idx="389">
                  <c:v>-47.116603572410142</c:v>
                </c:pt>
                <c:pt idx="390">
                  <c:v>-47.209441376427854</c:v>
                </c:pt>
                <c:pt idx="391">
                  <c:v>-47.301792043736114</c:v>
                </c:pt>
                <c:pt idx="392">
                  <c:v>-47.393660600292861</c:v>
                </c:pt>
                <c:pt idx="393">
                  <c:v>-47.485051995480305</c:v>
                </c:pt>
                <c:pt idx="394">
                  <c:v>-47.575971103638608</c:v>
                </c:pt>
                <c:pt idx="395">
                  <c:v>-47.666422725561759</c:v>
                </c:pt>
                <c:pt idx="396">
                  <c:v>-47.7564115899565</c:v>
                </c:pt>
                <c:pt idx="397">
                  <c:v>-47.84594235486562</c:v>
                </c:pt>
                <c:pt idx="398">
                  <c:v>-47.935019609056582</c:v>
                </c:pt>
                <c:pt idx="399">
                  <c:v>-48.023647873376369</c:v>
                </c:pt>
                <c:pt idx="400">
                  <c:v>-48.111831602073693</c:v>
                </c:pt>
                <c:pt idx="401">
                  <c:v>-48.199575184089397</c:v>
                </c:pt>
                <c:pt idx="402">
                  <c:v>-48.286882944315991</c:v>
                </c:pt>
                <c:pt idx="403">
                  <c:v>-48.373759144827169</c:v>
                </c:pt>
                <c:pt idx="404">
                  <c:v>-48.460207986078231</c:v>
                </c:pt>
                <c:pt idx="405">
                  <c:v>-48.546233608078133</c:v>
                </c:pt>
                <c:pt idx="406">
                  <c:v>-48.631840091534009</c:v>
                </c:pt>
                <c:pt idx="407">
                  <c:v>-48.71703145896894</c:v>
                </c:pt>
                <c:pt idx="408">
                  <c:v>-48.801811675813703</c:v>
                </c:pt>
                <c:pt idx="409">
                  <c:v>-48.886184651473208</c:v>
                </c:pt>
                <c:pt idx="410">
                  <c:v>-48.970154240368316</c:v>
                </c:pt>
                <c:pt idx="411">
                  <c:v>-49.053724242953756</c:v>
                </c:pt>
                <c:pt idx="412">
                  <c:v>-49.136898406712731</c:v>
                </c:pt>
                <c:pt idx="413">
                  <c:v>-49.2196804271289</c:v>
                </c:pt>
                <c:pt idx="414">
                  <c:v>-49.302073948636284</c:v>
                </c:pt>
                <c:pt idx="415">
                  <c:v>-49.3840825655478</c:v>
                </c:pt>
                <c:pt idx="416">
                  <c:v>-49.465709822962857</c:v>
                </c:pt>
                <c:pt idx="417">
                  <c:v>-49.546959217654695</c:v>
                </c:pt>
                <c:pt idx="418">
                  <c:v>-49.627834198937897</c:v>
                </c:pt>
                <c:pt idx="419">
                  <c:v>-49.708338169516686</c:v>
                </c:pt>
                <c:pt idx="420">
                  <c:v>-49.788474486314527</c:v>
                </c:pt>
                <c:pt idx="421">
                  <c:v>-49.868246461285388</c:v>
                </c:pt>
                <c:pt idx="422">
                  <c:v>-49.947657362207281</c:v>
                </c:pt>
                <c:pt idx="423">
                  <c:v>-50.026710413458517</c:v>
                </c:pt>
                <c:pt idx="424">
                  <c:v>-50.105408796777027</c:v>
                </c:pt>
                <c:pt idx="425">
                  <c:v>-50.183755652003335</c:v>
                </c:pt>
                <c:pt idx="426">
                  <c:v>-50.261754077807481</c:v>
                </c:pt>
                <c:pt idx="427">
                  <c:v>-50.33940713240036</c:v>
                </c:pt>
                <c:pt idx="428">
                  <c:v>-50.416717834229878</c:v>
                </c:pt>
                <c:pt idx="429">
                  <c:v>-50.493689162662264</c:v>
                </c:pt>
                <c:pt idx="430">
                  <c:v>-50.570324058648993</c:v>
                </c:pt>
                <c:pt idx="431">
                  <c:v>-50.646625425379597</c:v>
                </c:pt>
                <c:pt idx="432">
                  <c:v>-50.722596128920728</c:v>
                </c:pt>
                <c:pt idx="433">
                  <c:v>-50.798238998841995</c:v>
                </c:pt>
                <c:pt idx="434">
                  <c:v>-50.873556828828519</c:v>
                </c:pt>
                <c:pt idx="435">
                  <c:v>-50.948552377280961</c:v>
                </c:pt>
                <c:pt idx="436">
                  <c:v>-51.023228367903059</c:v>
                </c:pt>
                <c:pt idx="437">
                  <c:v>-51.097587490277107</c:v>
                </c:pt>
                <c:pt idx="438">
                  <c:v>-51.171632400427512</c:v>
                </c:pt>
                <c:pt idx="439">
                  <c:v>-51.245365721373027</c:v>
                </c:pt>
                <c:pt idx="440">
                  <c:v>-51.318790043667562</c:v>
                </c:pt>
                <c:pt idx="441">
                  <c:v>-51.391907925930134</c:v>
                </c:pt>
                <c:pt idx="442">
                  <c:v>-51.46472189536405</c:v>
                </c:pt>
                <c:pt idx="443">
                  <c:v>-51.53723444826575</c:v>
                </c:pt>
                <c:pt idx="444">
                  <c:v>-51.609448050523284</c:v>
                </c:pt>
                <c:pt idx="445">
                  <c:v>-51.681365138104994</c:v>
                </c:pt>
                <c:pt idx="446">
                  <c:v>-51.752988117538422</c:v>
                </c:pt>
                <c:pt idx="447">
                  <c:v>-51.824319366379726</c:v>
                </c:pt>
                <c:pt idx="448">
                  <c:v>-51.895361233673817</c:v>
                </c:pt>
                <c:pt idx="449">
                  <c:v>-51.966116040405439</c:v>
                </c:pt>
                <c:pt idx="450">
                  <c:v>-52.036586079941529</c:v>
                </c:pt>
                <c:pt idx="451">
                  <c:v>-52.106773618464786</c:v>
                </c:pt>
                <c:pt idx="452">
                  <c:v>-52.176680895398931</c:v>
                </c:pt>
                <c:pt idx="453">
                  <c:v>-52.246310123825673</c:v>
                </c:pt>
                <c:pt idx="454">
                  <c:v>-52.315663490893641</c:v>
                </c:pt>
                <c:pt idx="455">
                  <c:v>-52.384743158219464</c:v>
                </c:pt>
                <c:pt idx="456">
                  <c:v>-52.453551262281202</c:v>
                </c:pt>
                <c:pt idx="457">
                  <c:v>-52.522089914804198</c:v>
                </c:pt>
                <c:pt idx="458">
                  <c:v>-52.590361203139658</c:v>
                </c:pt>
                <c:pt idx="459">
                  <c:v>-52.658367190636028</c:v>
                </c:pt>
                <c:pt idx="460">
                  <c:v>-52.726109917003399</c:v>
                </c:pt>
                <c:pt idx="461">
                  <c:v>-52.793591398671026</c:v>
                </c:pt>
                <c:pt idx="462">
                  <c:v>-52.860813629138136</c:v>
                </c:pt>
                <c:pt idx="463">
                  <c:v>-52.9277785793183</c:v>
                </c:pt>
                <c:pt idx="464">
                  <c:v>-52.994488197877203</c:v>
                </c:pt>
                <c:pt idx="465">
                  <c:v>-53.06094441156435</c:v>
                </c:pt>
                <c:pt idx="466">
                  <c:v>-53.127149125538544</c:v>
                </c:pt>
                <c:pt idx="467">
                  <c:v>-53.193104223687385</c:v>
                </c:pt>
                <c:pt idx="468">
                  <c:v>-53.25881156894097</c:v>
                </c:pt>
                <c:pt idx="469">
                  <c:v>-53.324273003579748</c:v>
                </c:pt>
                <c:pt idx="470">
                  <c:v>-53.389490349536914</c:v>
                </c:pt>
                <c:pt idx="471">
                  <c:v>-53.454465408695185</c:v>
                </c:pt>
                <c:pt idx="472">
                  <c:v>-53.51919996317833</c:v>
                </c:pt>
                <c:pt idx="473">
                  <c:v>-53.583695775637366</c:v>
                </c:pt>
                <c:pt idx="474">
                  <c:v>-53.647954589531622</c:v>
                </c:pt>
                <c:pt idx="475">
                  <c:v>-53.711978129404841</c:v>
                </c:pt>
                <c:pt idx="476">
                  <c:v>-53.775768101156281</c:v>
                </c:pt>
                <c:pt idx="477">
                  <c:v>-53.839326192307055</c:v>
                </c:pt>
                <c:pt idx="478">
                  <c:v>-53.902654072261747</c:v>
                </c:pt>
                <c:pt idx="479">
                  <c:v>-53.965753392565396</c:v>
                </c:pt>
                <c:pt idx="480">
                  <c:v>-54.028625787155924</c:v>
                </c:pt>
                <c:pt idx="481">
                  <c:v>-54.091272872612294</c:v>
                </c:pt>
                <c:pt idx="482">
                  <c:v>-54.15369624839812</c:v>
                </c:pt>
                <c:pt idx="483">
                  <c:v>-54.215897497101217</c:v>
                </c:pt>
                <c:pt idx="484">
                  <c:v>-54.2778781846689</c:v>
                </c:pt>
                <c:pt idx="485">
                  <c:v>-54.339639860639217</c:v>
                </c:pt>
                <c:pt idx="486">
                  <c:v>-54.40118405836828</c:v>
                </c:pt>
                <c:pt idx="487">
                  <c:v>-54.462512295253589</c:v>
                </c:pt>
                <c:pt idx="488">
                  <c:v>-54.523626072953604</c:v>
                </c:pt>
                <c:pt idx="489">
                  <c:v>-54.584526877603523</c:v>
                </c:pt>
                <c:pt idx="490">
                  <c:v>-54.645216180027475</c:v>
                </c:pt>
                <c:pt idx="491">
                  <c:v>-54.705695435946993</c:v>
                </c:pt>
                <c:pt idx="492">
                  <c:v>-54.765966086186069</c:v>
                </c:pt>
                <c:pt idx="493">
                  <c:v>-54.826029556872726</c:v>
                </c:pt>
                <c:pt idx="494">
                  <c:v>-54.885887259637194</c:v>
                </c:pt>
                <c:pt idx="495">
                  <c:v>-54.945540591806804</c:v>
                </c:pt>
                <c:pt idx="496">
                  <c:v>-55.004990936597579</c:v>
                </c:pt>
                <c:pt idx="497">
                  <c:v>-55.064239663302679</c:v>
                </c:pt>
                <c:pt idx="498">
                  <c:v>-55.123288127477778</c:v>
                </c:pt>
                <c:pt idx="499">
                  <c:v>-55.182137671123243</c:v>
                </c:pt>
                <c:pt idx="500">
                  <c:v>-55.24078962286346</c:v>
                </c:pt>
                <c:pt idx="501">
                  <c:v>-55.299245298123118</c:v>
                </c:pt>
                <c:pt idx="502">
                  <c:v>-55.357505999300656</c:v>
                </c:pt>
                <c:pt idx="503">
                  <c:v>-55.415573015938918</c:v>
                </c:pt>
                <c:pt idx="504">
                  <c:v>-55.47344762489292</c:v>
                </c:pt>
                <c:pt idx="505">
                  <c:v>-55.531131090495037</c:v>
                </c:pt>
                <c:pt idx="506">
                  <c:v>-55.588624664717408</c:v>
                </c:pt>
                <c:pt idx="507">
                  <c:v>-55.645929587331828</c:v>
                </c:pt>
                <c:pt idx="508">
                  <c:v>-55.703047086066981</c:v>
                </c:pt>
                <c:pt idx="509">
                  <c:v>-55.759978376763257</c:v>
                </c:pt>
                <c:pt idx="510">
                  <c:v>-55.816724663524973</c:v>
                </c:pt>
                <c:pt idx="511">
                  <c:v>-55.873287138870339</c:v>
                </c:pt>
                <c:pt idx="512">
                  <c:v>-55.92966698387886</c:v>
                </c:pt>
                <c:pt idx="513">
                  <c:v>-55.985865368336583</c:v>
                </c:pt>
                <c:pt idx="514">
                  <c:v>-56.041883450878956</c:v>
                </c:pt>
                <c:pt idx="515">
                  <c:v>-56.097722379131469</c:v>
                </c:pt>
                <c:pt idx="516">
                  <c:v>-56.15338328984808</c:v>
                </c:pt>
                <c:pt idx="517">
                  <c:v>-56.20886730904752</c:v>
                </c:pt>
                <c:pt idx="518">
                  <c:v>-56.264175552147442</c:v>
                </c:pt>
                <c:pt idx="519">
                  <c:v>-56.319309124096499</c:v>
                </c:pt>
                <c:pt idx="520">
                  <c:v>-56.374269119504376</c:v>
                </c:pt>
                <c:pt idx="521">
                  <c:v>-56.429056622769835</c:v>
                </c:pt>
                <c:pt idx="522">
                  <c:v>-56.483672708206775</c:v>
                </c:pt>
                <c:pt idx="523">
                  <c:v>-56.538118440168368</c:v>
                </c:pt>
                <c:pt idx="524">
                  <c:v>-56.592394873169297</c:v>
                </c:pt>
                <c:pt idx="525">
                  <c:v>-56.646503052006111</c:v>
                </c:pt>
                <c:pt idx="526">
                  <c:v>-56.70044401187581</c:v>
                </c:pt>
                <c:pt idx="527">
                  <c:v>-56.754218778492543</c:v>
                </c:pt>
                <c:pt idx="528">
                  <c:v>-56.807828368202692</c:v>
                </c:pt>
                <c:pt idx="529">
                  <c:v>-56.861273788097989</c:v>
                </c:pt>
                <c:pt idx="530">
                  <c:v>-56.914556036127223</c:v>
                </c:pt>
                <c:pt idx="531">
                  <c:v>-56.96767610120601</c:v>
                </c:pt>
                <c:pt idx="532">
                  <c:v>-57.020634963325129</c:v>
                </c:pt>
                <c:pt idx="533">
                  <c:v>-57.073433593657114</c:v>
                </c:pt>
                <c:pt idx="534">
                  <c:v>-57.126072954661318</c:v>
                </c:pt>
                <c:pt idx="535">
                  <c:v>-57.178554000187432</c:v>
                </c:pt>
                <c:pt idx="536">
                  <c:v>-57.230877675577439</c:v>
                </c:pt>
                <c:pt idx="537">
                  <c:v>-57.283044917766127</c:v>
                </c:pt>
                <c:pt idx="538">
                  <c:v>-57.335056655380029</c:v>
                </c:pt>
                <c:pt idx="539">
                  <c:v>-57.386913808835061</c:v>
                </c:pt>
                <c:pt idx="540">
                  <c:v>-57.438617290432603</c:v>
                </c:pt>
                <c:pt idx="541">
                  <c:v>-57.490168004454233</c:v>
                </c:pt>
                <c:pt idx="542">
                  <c:v>-57.541566847255112</c:v>
                </c:pt>
                <c:pt idx="543">
                  <c:v>-57.592814707355984</c:v>
                </c:pt>
                <c:pt idx="544">
                  <c:v>-57.643912465533901</c:v>
                </c:pt>
                <c:pt idx="545">
                  <c:v>-57.694860994911508</c:v>
                </c:pt>
                <c:pt idx="546">
                  <c:v>-57.745661161045277</c:v>
                </c:pt>
                <c:pt idx="547">
                  <c:v>-57.796313822012237</c:v>
                </c:pt>
                <c:pt idx="548">
                  <c:v>-57.84681982849564</c:v>
                </c:pt>
                <c:pt idx="549">
                  <c:v>-57.897180023869311</c:v>
                </c:pt>
                <c:pt idx="550">
                  <c:v>-57.947395244280891</c:v>
                </c:pt>
                <c:pt idx="551">
                  <c:v>-57.9974663187338</c:v>
                </c:pt>
                <c:pt idx="552">
                  <c:v>-58.047394069168128</c:v>
                </c:pt>
                <c:pt idx="553">
                  <c:v>-58.097179310540319</c:v>
                </c:pt>
                <c:pt idx="554">
                  <c:v>-58.146822850901849</c:v>
                </c:pt>
                <c:pt idx="555">
                  <c:v>-58.196325491476642</c:v>
                </c:pt>
                <c:pt idx="556">
                  <c:v>-58.245688026737561</c:v>
                </c:pt>
                <c:pt idx="557">
                  <c:v>-58.294911244481746</c:v>
                </c:pt>
                <c:pt idx="558">
                  <c:v>-58.34399592590492</c:v>
                </c:pt>
                <c:pt idx="559">
                  <c:v>-58.39294284567471</c:v>
                </c:pt>
                <c:pt idx="560">
                  <c:v>-58.441752772002886</c:v>
                </c:pt>
                <c:pt idx="561">
                  <c:v>-58.490426466716691</c:v>
                </c:pt>
                <c:pt idx="562">
                  <c:v>-58.538964685329098</c:v>
                </c:pt>
                <c:pt idx="563">
                  <c:v>-58.587368177108196</c:v>
                </c:pt>
                <c:pt idx="564">
                  <c:v>-58.635637685145561</c:v>
                </c:pt>
                <c:pt idx="565">
                  <c:v>-58.683773946423742</c:v>
                </c:pt>
                <c:pt idx="566">
                  <c:v>-58.731777691882805</c:v>
                </c:pt>
                <c:pt idx="567">
                  <c:v>-58.779649646485971</c:v>
                </c:pt>
                <c:pt idx="568">
                  <c:v>-58.827390529284422</c:v>
                </c:pt>
                <c:pt idx="569">
                  <c:v>-58.875001053481114</c:v>
                </c:pt>
                <c:pt idx="570">
                  <c:v>-58.92248192649393</c:v>
                </c:pt>
                <c:pt idx="571">
                  <c:v>-58.969833850017757</c:v>
                </c:pt>
                <c:pt idx="572">
                  <c:v>-59.017057520085913</c:v>
                </c:pt>
                <c:pt idx="573">
                  <c:v>-59.064153627130651</c:v>
                </c:pt>
                <c:pt idx="574">
                  <c:v>-59.11112285604294</c:v>
                </c:pt>
                <c:pt idx="575">
                  <c:v>-59.157965886231366</c:v>
                </c:pt>
                <c:pt idx="576">
                  <c:v>-59.204683391680312</c:v>
                </c:pt>
                <c:pt idx="577">
                  <c:v>-59.251276041007387</c:v>
                </c:pt>
                <c:pt idx="578">
                  <c:v>-59.297744497520043</c:v>
                </c:pt>
                <c:pt idx="579">
                  <c:v>-59.344089419271455</c:v>
                </c:pt>
                <c:pt idx="580">
                  <c:v>-59.390311459115743</c:v>
                </c:pt>
                <c:pt idx="581">
                  <c:v>-59.436411264762384</c:v>
                </c:pt>
                <c:pt idx="582">
                  <c:v>-59.482389478829987</c:v>
                </c:pt>
                <c:pt idx="583">
                  <c:v>-59.528246738899277</c:v>
                </c:pt>
                <c:pt idx="584">
                  <c:v>-59.573983677565508</c:v>
                </c:pt>
                <c:pt idx="585">
                  <c:v>-59.619600922490157</c:v>
                </c:pt>
                <c:pt idx="586">
                  <c:v>-59.665099096451861</c:v>
                </c:pt>
                <c:pt idx="587">
                  <c:v>-59.710478817396833</c:v>
                </c:pt>
                <c:pt idx="588">
                  <c:v>-59.75574069848858</c:v>
                </c:pt>
                <c:pt idx="589">
                  <c:v>-59.800885348156967</c:v>
                </c:pt>
                <c:pt idx="590">
                  <c:v>-59.845913370146633</c:v>
                </c:pt>
                <c:pt idx="591">
                  <c:v>-59.890825363564886</c:v>
                </c:pt>
                <c:pt idx="592">
                  <c:v>-59.935621922928902</c:v>
                </c:pt>
                <c:pt idx="593">
                  <c:v>-59.980303638212348</c:v>
                </c:pt>
                <c:pt idx="594">
                  <c:v>-60.024871094891417</c:v>
                </c:pt>
                <c:pt idx="595">
                  <c:v>-60.069324873990354</c:v>
                </c:pt>
                <c:pt idx="596">
                  <c:v>-60.113665552126236</c:v>
                </c:pt>
                <c:pt idx="597">
                  <c:v>-60.157893701553377</c:v>
                </c:pt>
                <c:pt idx="598">
                  <c:v>-60.202009890207087</c:v>
                </c:pt>
                <c:pt idx="599">
                  <c:v>-60.2460146817469</c:v>
                </c:pt>
                <c:pt idx="600">
                  <c:v>-60.289908635599232</c:v>
                </c:pt>
                <c:pt idx="601">
                  <c:v>-60.333692306999581</c:v>
                </c:pt>
                <c:pt idx="602">
                  <c:v>-60.377366247034139</c:v>
                </c:pt>
                <c:pt idx="603">
                  <c:v>-60.420931002680895</c:v>
                </c:pt>
                <c:pt idx="604">
                  <c:v>-60.464387116850332</c:v>
                </c:pt>
                <c:pt idx="605">
                  <c:v>-60.507735128425431</c:v>
                </c:pt>
                <c:pt idx="606">
                  <c:v>-62.548148808383786</c:v>
                </c:pt>
                <c:pt idx="607">
                  <c:v>-64.374371068692653</c:v>
                </c:pt>
                <c:pt idx="608">
                  <c:v>-66.027056650735133</c:v>
                </c:pt>
                <c:pt idx="609">
                  <c:v>-67.536297860127576</c:v>
                </c:pt>
                <c:pt idx="610">
                  <c:v>-68.924989487341733</c:v>
                </c:pt>
                <c:pt idx="611">
                  <c:v>-70.210953351617519</c:v>
                </c:pt>
                <c:pt idx="612">
                  <c:v>-71.408333206077273</c:v>
                </c:pt>
                <c:pt idx="613">
                  <c:v>-72.528541247710379</c:v>
                </c:pt>
                <c:pt idx="614">
                  <c:v>-73.580918682745164</c:v>
                </c:pt>
                <c:pt idx="615">
                  <c:v>-74.573208067232201</c:v>
                </c:pt>
                <c:pt idx="616">
                  <c:v>-75.511898293118492</c:v>
                </c:pt>
                <c:pt idx="617">
                  <c:v>-76.402481305269447</c:v>
                </c:pt>
                <c:pt idx="618">
                  <c:v>-76.746318216303052</c:v>
                </c:pt>
                <c:pt idx="619">
                  <c:v>-77.08348465658166</c:v>
                </c:pt>
                <c:pt idx="620">
                  <c:v>-77.41423440841352</c:v>
                </c:pt>
                <c:pt idx="621">
                  <c:v>-77.738807047298394</c:v>
                </c:pt>
                <c:pt idx="622">
                  <c:v>-78.057428982497342</c:v>
                </c:pt>
                <c:pt idx="623">
                  <c:v>-78.370314404080801</c:v>
                </c:pt>
                <c:pt idx="624">
                  <c:v>-78.677666146359769</c:v>
                </c:pt>
                <c:pt idx="625">
                  <c:v>-78.979676476402403</c:v>
                </c:pt>
                <c:pt idx="626">
                  <c:v>-79.276527815300412</c:v>
                </c:pt>
                <c:pt idx="627">
                  <c:v>-79.568393398950292</c:v>
                </c:pt>
                <c:pt idx="628">
                  <c:v>-79.855437884333725</c:v>
                </c:pt>
                <c:pt idx="629">
                  <c:v>-80.137817906602166</c:v>
                </c:pt>
                <c:pt idx="630">
                  <c:v>-80.415682591678333</c:v>
                </c:pt>
                <c:pt idx="631">
                  <c:v>-80.689174028568516</c:v>
                </c:pt>
                <c:pt idx="632">
                  <c:v>-80.958427705125587</c:v>
                </c:pt>
                <c:pt idx="633">
                  <c:v>-81.223572910604787</c:v>
                </c:pt>
                <c:pt idx="634">
                  <c:v>-81.484733108001691</c:v>
                </c:pt>
                <c:pt idx="635">
                  <c:v>-81.742026278854098</c:v>
                </c:pt>
                <c:pt idx="636">
                  <c:v>-81.995565242914836</c:v>
                </c:pt>
                <c:pt idx="637">
                  <c:v>-82.245457954861436</c:v>
                </c:pt>
                <c:pt idx="638">
                  <c:v>-82.491807779993223</c:v>
                </c:pt>
                <c:pt idx="639">
                  <c:v>-82.734713750676647</c:v>
                </c:pt>
                <c:pt idx="640">
                  <c:v>-82.974270805128981</c:v>
                </c:pt>
                <c:pt idx="641">
                  <c:v>-83.210570009980401</c:v>
                </c:pt>
                <c:pt idx="642">
                  <c:v>-83.443698767918335</c:v>
                </c:pt>
                <c:pt idx="643">
                  <c:v>-83.673741011598366</c:v>
                </c:pt>
                <c:pt idx="644">
                  <c:v>-83.90077738489677</c:v>
                </c:pt>
                <c:pt idx="645">
                  <c:v>-84.124885412483636</c:v>
                </c:pt>
                <c:pt idx="646">
                  <c:v>-84.346139658607825</c:v>
                </c:pt>
                <c:pt idx="647">
                  <c:v>-84.564611875906976</c:v>
                </c:pt>
                <c:pt idx="648">
                  <c:v>-84.780371144985054</c:v>
                </c:pt>
                <c:pt idx="649">
                  <c:v>-84.993484005436102</c:v>
                </c:pt>
                <c:pt idx="650">
                  <c:v>-85.204014578935855</c:v>
                </c:pt>
                <c:pt idx="651">
                  <c:v>-85.412024684970049</c:v>
                </c:pt>
                <c:pt idx="652">
                  <c:v>-85.617573949721972</c:v>
                </c:pt>
                <c:pt idx="653">
                  <c:v>-85.820719908598704</c:v>
                </c:pt>
                <c:pt idx="654">
                  <c:v>-86.021518102836552</c:v>
                </c:pt>
                <c:pt idx="655">
                  <c:v>-86.220022170591648</c:v>
                </c:pt>
                <c:pt idx="656">
                  <c:v>-86.416283932888717</c:v>
                </c:pt>
                <c:pt idx="657">
                  <c:v>-86.610353474772793</c:v>
                </c:pt>
                <c:pt idx="658">
                  <c:v>-86.802279221981166</c:v>
                </c:pt>
                <c:pt idx="659">
                  <c:v>-86.99210801342943</c:v>
                </c:pt>
                <c:pt idx="660">
                  <c:v>-87.179885169782594</c:v>
                </c:pt>
                <c:pt idx="661">
                  <c:v>-87.365654558362309</c:v>
                </c:pt>
                <c:pt idx="662">
                  <c:v>-87.549458654622697</c:v>
                </c:pt>
                <c:pt idx="663">
                  <c:v>-87.731338600410069</c:v>
                </c:pt>
                <c:pt idx="664">
                  <c:v>-87.911334259206271</c:v>
                </c:pt>
                <c:pt idx="665">
                  <c:v>-88.089484268541455</c:v>
                </c:pt>
                <c:pt idx="666">
                  <c:v>-88.265826089747961</c:v>
                </c:pt>
                <c:pt idx="667">
                  <c:v>-88.440396055216013</c:v>
                </c:pt>
              </c:numCache>
            </c:numRef>
          </c:yVal>
          <c:smooth val="0"/>
          <c:extLst>
            <c:ext xmlns:c16="http://schemas.microsoft.com/office/drawing/2014/chart" uri="{C3380CC4-5D6E-409C-BE32-E72D297353CC}">
              <c16:uniqueId val="{00000000-C323-45F5-AD89-2A9969707A73}"/>
            </c:ext>
          </c:extLst>
        </c:ser>
        <c:ser>
          <c:idx val="2"/>
          <c:order val="2"/>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Calculations'!$BF$9:$BF$676</c:f>
              <c:numCache>
                <c:formatCode>General</c:formatCode>
                <c:ptCount val="668"/>
                <c:pt idx="0">
                  <c:v>81.634597069710708</c:v>
                </c:pt>
                <c:pt idx="1">
                  <c:v>76.56120527493934</c:v>
                </c:pt>
                <c:pt idx="2">
                  <c:v>73.239953945861359</c:v>
                </c:pt>
                <c:pt idx="3">
                  <c:v>70.81363396803178</c:v>
                </c:pt>
                <c:pt idx="4">
                  <c:v>68.909390925181839</c:v>
                </c:pt>
                <c:pt idx="5">
                  <c:v>67.344331631653446</c:v>
                </c:pt>
                <c:pt idx="6">
                  <c:v>66.016636989183326</c:v>
                </c:pt>
                <c:pt idx="7">
                  <c:v>64.864118041310689</c:v>
                </c:pt>
                <c:pt idx="8">
                  <c:v>63.846101952017122</c:v>
                </c:pt>
                <c:pt idx="9">
                  <c:v>62.93456559812747</c:v>
                </c:pt>
                <c:pt idx="10">
                  <c:v>56.925848985506668</c:v>
                </c:pt>
                <c:pt idx="11">
                  <c:v>53.406803245340299</c:v>
                </c:pt>
                <c:pt idx="12">
                  <c:v>50.9096813055436</c:v>
                </c:pt>
                <c:pt idx="13">
                  <c:v>48.972991786489295</c:v>
                </c:pt>
                <c:pt idx="14">
                  <c:v>47.390978560932524</c:v>
                </c:pt>
                <c:pt idx="15">
                  <c:v>46.053838633926119</c:v>
                </c:pt>
                <c:pt idx="16">
                  <c:v>44.896014425959663</c:v>
                </c:pt>
                <c:pt idx="17">
                  <c:v>43.875214079738186</c:v>
                </c:pt>
                <c:pt idx="18">
                  <c:v>42.962558362415059</c:v>
                </c:pt>
                <c:pt idx="19">
                  <c:v>36.980820967221938</c:v>
                </c:pt>
                <c:pt idx="20">
                  <c:v>33.523330310637775</c:v>
                </c:pt>
                <c:pt idx="21">
                  <c:v>31.114054181226933</c:v>
                </c:pt>
                <c:pt idx="22">
                  <c:v>29.290003746919385</c:v>
                </c:pt>
                <c:pt idx="23">
                  <c:v>27.844543484799708</c:v>
                </c:pt>
                <c:pt idx="24">
                  <c:v>26.667054874821755</c:v>
                </c:pt>
                <c:pt idx="25">
                  <c:v>25.691142133296374</c:v>
                </c:pt>
                <c:pt idx="26">
                  <c:v>24.873646646745321</c:v>
                </c:pt>
                <c:pt idx="27">
                  <c:v>24.184807241618223</c:v>
                </c:pt>
                <c:pt idx="28">
                  <c:v>22.076273948095121</c:v>
                </c:pt>
                <c:pt idx="29">
                  <c:v>21.397144672426293</c:v>
                </c:pt>
                <c:pt idx="30">
                  <c:v>21.637703262771314</c:v>
                </c:pt>
                <c:pt idx="31">
                  <c:v>22.598235145372591</c:v>
                </c:pt>
                <c:pt idx="32">
                  <c:v>24.215727233687808</c:v>
                </c:pt>
                <c:pt idx="33">
                  <c:v>26.417305304592293</c:v>
                </c:pt>
                <c:pt idx="34">
                  <c:v>28.569898572714244</c:v>
                </c:pt>
                <c:pt idx="35">
                  <c:v>28.580241558721514</c:v>
                </c:pt>
                <c:pt idx="36">
                  <c:v>26.133860665884242</c:v>
                </c:pt>
                <c:pt idx="37">
                  <c:v>23.352110528689497</c:v>
                </c:pt>
                <c:pt idx="38">
                  <c:v>20.98205309636618</c:v>
                </c:pt>
                <c:pt idx="39">
                  <c:v>19.031608735273338</c:v>
                </c:pt>
                <c:pt idx="40">
                  <c:v>17.407421350486324</c:v>
                </c:pt>
                <c:pt idx="41">
                  <c:v>16.029487843332944</c:v>
                </c:pt>
                <c:pt idx="42">
                  <c:v>14.839774388679693</c:v>
                </c:pt>
                <c:pt idx="43">
                  <c:v>13.796904255678692</c:v>
                </c:pt>
                <c:pt idx="44">
                  <c:v>12.870958471375422</c:v>
                </c:pt>
                <c:pt idx="45">
                  <c:v>12.039843676102391</c:v>
                </c:pt>
                <c:pt idx="46">
                  <c:v>11.286894415027852</c:v>
                </c:pt>
                <c:pt idx="47">
                  <c:v>10.599290130399543</c:v>
                </c:pt>
                <c:pt idx="48">
                  <c:v>9.9669928037441462</c:v>
                </c:pt>
                <c:pt idx="49">
                  <c:v>9.382019016273409</c:v>
                </c:pt>
                <c:pt idx="50">
                  <c:v>8.8379304725159997</c:v>
                </c:pt>
                <c:pt idx="51">
                  <c:v>8.3294701807641314</c:v>
                </c:pt>
                <c:pt idx="52">
                  <c:v>7.8522977841030066</c:v>
                </c:pt>
                <c:pt idx="53">
                  <c:v>7.4027937377640596</c:v>
                </c:pt>
                <c:pt idx="54">
                  <c:v>6.9779121831681223</c:v>
                </c:pt>
                <c:pt idx="55">
                  <c:v>6.575068858019196</c:v>
                </c:pt>
                <c:pt idx="56">
                  <c:v>6.1920546104263305</c:v>
                </c:pt>
                <c:pt idx="57">
                  <c:v>5.8269678933191891</c:v>
                </c:pt>
                <c:pt idx="58">
                  <c:v>5.4781615141440687</c:v>
                </c:pt>
                <c:pt idx="59">
                  <c:v>5.144200220259294</c:v>
                </c:pt>
                <c:pt idx="60">
                  <c:v>4.8238266120665694</c:v>
                </c:pt>
                <c:pt idx="61">
                  <c:v>4.5159335217892673</c:v>
                </c:pt>
                <c:pt idx="62">
                  <c:v>4.21954145957889</c:v>
                </c:pt>
                <c:pt idx="63">
                  <c:v>3.9337800658064959</c:v>
                </c:pt>
                <c:pt idx="64">
                  <c:v>3.6578727563787794</c:v>
                </c:pt>
                <c:pt idx="65">
                  <c:v>3.391123932271181</c:v>
                </c:pt>
                <c:pt idx="66">
                  <c:v>3.1329082628972409</c:v>
                </c:pt>
                <c:pt idx="67">
                  <c:v>2.8826616578506883</c:v>
                </c:pt>
                <c:pt idx="68">
                  <c:v>2.6398736217735346</c:v>
                </c:pt>
                <c:pt idx="69">
                  <c:v>2.4040807489391098</c:v>
                </c:pt>
                <c:pt idx="70">
                  <c:v>2.1748611621733422</c:v>
                </c:pt>
                <c:pt idx="71">
                  <c:v>1.9518297383218237</c:v>
                </c:pt>
                <c:pt idx="72">
                  <c:v>1.7346339920792175</c:v>
                </c:pt>
                <c:pt idx="73">
                  <c:v>1.5229505134740431</c:v>
                </c:pt>
                <c:pt idx="74">
                  <c:v>1.3164818730303787</c:v>
                </c:pt>
                <c:pt idx="75">
                  <c:v>1.1149539236546402</c:v>
                </c:pt>
                <c:pt idx="76">
                  <c:v>0.91811344041907494</c:v>
                </c:pt>
                <c:pt idx="77">
                  <c:v>0.72572604924519435</c:v>
                </c:pt>
                <c:pt idx="78">
                  <c:v>0.53757440350381747</c:v>
                </c:pt>
                <c:pt idx="79">
                  <c:v>0.35345657411014592</c:v>
                </c:pt>
                <c:pt idx="80">
                  <c:v>0.17318462409020549</c:v>
                </c:pt>
                <c:pt idx="81">
                  <c:v>-3.4166569455248213E-3</c:v>
                </c:pt>
                <c:pt idx="82">
                  <c:v>-0.17651087928604606</c:v>
                </c:pt>
                <c:pt idx="83">
                  <c:v>-0.34625105834494968</c:v>
                </c:pt>
                <c:pt idx="84">
                  <c:v>-0.51278051383425716</c:v>
                </c:pt>
                <c:pt idx="85">
                  <c:v>-0.67623367593319372</c:v>
                </c:pt>
                <c:pt idx="86">
                  <c:v>-0.83673680967807318</c:v>
                </c:pt>
                <c:pt idx="87">
                  <c:v>-0.99440866726190746</c:v>
                </c:pt>
                <c:pt idx="88">
                  <c:v>-1.1493610766287639</c:v>
                </c:pt>
                <c:pt idx="89">
                  <c:v>-1.3016994736402296</c:v>
                </c:pt>
                <c:pt idx="90">
                  <c:v>-1.4515233841457855</c:v>
                </c:pt>
                <c:pt idx="91">
                  <c:v>-1.5989268614809116</c:v>
                </c:pt>
                <c:pt idx="92">
                  <c:v>-1.7439988842234992</c:v>
                </c:pt>
                <c:pt idx="93">
                  <c:v>-1.8868237184426588</c:v>
                </c:pt>
                <c:pt idx="94">
                  <c:v>-2.0274812481602802</c:v>
                </c:pt>
                <c:pt idx="95">
                  <c:v>-2.1660472773009474</c:v>
                </c:pt>
                <c:pt idx="96">
                  <c:v>-2.3025938060209601</c:v>
                </c:pt>
                <c:pt idx="97">
                  <c:v>-2.4371892839725899</c:v>
                </c:pt>
                <c:pt idx="98">
                  <c:v>-2.569898842768346</c:v>
                </c:pt>
                <c:pt idx="99">
                  <c:v>-2.7007845096561738</c:v>
                </c:pt>
                <c:pt idx="100">
                  <c:v>-2.8299054041939926</c:v>
                </c:pt>
                <c:pt idx="101">
                  <c:v>-2.9573179195174788</c:v>
                </c:pt>
                <c:pt idx="102">
                  <c:v>-3.0830758896238719</c:v>
                </c:pt>
                <c:pt idx="103">
                  <c:v>-3.2072307439442058</c:v>
                </c:pt>
                <c:pt idx="104">
                  <c:v>-3.3298316503438299</c:v>
                </c:pt>
                <c:pt idx="105">
                  <c:v>-3.4509256475737504</c:v>
                </c:pt>
                <c:pt idx="106">
                  <c:v>-3.5705577680920819</c:v>
                </c:pt>
                <c:pt idx="107">
                  <c:v>-3.6887711520826332</c:v>
                </c:pt>
                <c:pt idx="108">
                  <c:v>-3.8056071534165299</c:v>
                </c:pt>
                <c:pt idx="109">
                  <c:v>-3.9211054382299313</c:v>
                </c:pt>
                <c:pt idx="110">
                  <c:v>-4.0353040767265922</c:v>
                </c:pt>
                <c:pt idx="111">
                  <c:v>-4.1482396287561683</c:v>
                </c:pt>
                <c:pt idx="112">
                  <c:v>-4.2599472236678846</c:v>
                </c:pt>
                <c:pt idx="113">
                  <c:v>-4.3704606348929014</c:v>
                </c:pt>
                <c:pt idx="114">
                  <c:v>-4.4798123496676538</c:v>
                </c:pt>
                <c:pt idx="115">
                  <c:v>-4.5880336342731178</c:v>
                </c:pt>
                <c:pt idx="116">
                  <c:v>-4.6951545951318749</c:v>
                </c:pt>
                <c:pt idx="117">
                  <c:v>-4.8012042360747316</c:v>
                </c:pt>
                <c:pt idx="118">
                  <c:v>-4.9062105120617723</c:v>
                </c:pt>
                <c:pt idx="119">
                  <c:v>-5.0102003796180519</c:v>
                </c:pt>
                <c:pt idx="120">
                  <c:v>-5.113199844222577</c:v>
                </c:pt>
                <c:pt idx="121">
                  <c:v>-5.2152340048688561</c:v>
                </c:pt>
                <c:pt idx="122">
                  <c:v>-5.31632709599746</c:v>
                </c:pt>
                <c:pt idx="123">
                  <c:v>-5.416502526984762</c:v>
                </c:pt>
                <c:pt idx="124">
                  <c:v>-5.5157829193569032</c:v>
                </c:pt>
                <c:pt idx="125">
                  <c:v>-5.6141901418847713</c:v>
                </c:pt>
                <c:pt idx="126">
                  <c:v>-5.7117453437034733</c:v>
                </c:pt>
                <c:pt idx="127">
                  <c:v>-5.8084689855883109</c:v>
                </c:pt>
                <c:pt idx="128">
                  <c:v>-5.9043808695095308</c:v>
                </c:pt>
                <c:pt idx="129">
                  <c:v>-5.9995001665784269</c:v>
                </c:pt>
                <c:pt idx="130">
                  <c:v>-6.0938454434889602</c:v>
                </c:pt>
                <c:pt idx="131">
                  <c:v>-6.1874346875514625</c:v>
                </c:pt>
                <c:pt idx="132">
                  <c:v>-6.2802853304075512</c:v>
                </c:pt>
                <c:pt idx="133">
                  <c:v>-6.3724142705091333</c:v>
                </c:pt>
                <c:pt idx="134">
                  <c:v>-6.4638378944382078</c:v>
                </c:pt>
                <c:pt idx="135">
                  <c:v>-6.5545720971387977</c:v>
                </c:pt>
                <c:pt idx="136">
                  <c:v>-6.644632301127178</c:v>
                </c:pt>
                <c:pt idx="137">
                  <c:v>-6.734033474741997</c:v>
                </c:pt>
                <c:pt idx="138">
                  <c:v>-6.8227901494916345</c:v>
                </c:pt>
                <c:pt idx="139">
                  <c:v>-6.9109164365520375</c:v>
                </c:pt>
                <c:pt idx="140">
                  <c:v>-6.9984260424649145</c:v>
                </c:pt>
                <c:pt idx="141">
                  <c:v>-7.0853322840825026</c:v>
                </c:pt>
                <c:pt idx="142">
                  <c:v>-7.1716481028022914</c:v>
                </c:pt>
                <c:pt idx="143">
                  <c:v>-7.2573860781320496</c:v>
                </c:pt>
                <c:pt idx="144">
                  <c:v>-7.3425584406229314</c:v>
                </c:pt>
                <c:pt idx="145">
                  <c:v>-7.4271770842060105</c:v>
                </c:pt>
                <c:pt idx="146">
                  <c:v>-7.511253577965153</c:v>
                </c:pt>
                <c:pt idx="147">
                  <c:v>-7.5947991773774026</c:v>
                </c:pt>
                <c:pt idx="148">
                  <c:v>-7.6778248350495462</c:v>
                </c:pt>
                <c:pt idx="149">
                  <c:v>-7.7603412109782743</c:v>
                </c:pt>
                <c:pt idx="150">
                  <c:v>-7.8423586823593165</c:v>
                </c:pt>
                <c:pt idx="151">
                  <c:v>-7.9238873529694782</c:v>
                </c:pt>
                <c:pt idx="152">
                  <c:v>-8.0049370621440108</c:v>
                </c:pt>
                <c:pt idx="153">
                  <c:v>-8.0855173933704343</c:v>
                </c:pt>
                <c:pt idx="154">
                  <c:v>-8.1656376825187031</c:v>
                </c:pt>
                <c:pt idx="155">
                  <c:v>-8.2453070257262731</c:v>
                </c:pt>
                <c:pt idx="156">
                  <c:v>-8.3245342869556644</c:v>
                </c:pt>
                <c:pt idx="157">
                  <c:v>-8.403328105241135</c:v>
                </c:pt>
                <c:pt idx="158">
                  <c:v>-8.4816969016399124</c:v>
                </c:pt>
                <c:pt idx="159">
                  <c:v>-8.559648885902714</c:v>
                </c:pt>
                <c:pt idx="160">
                  <c:v>-8.6371920628774781</c:v>
                </c:pt>
                <c:pt idx="161">
                  <c:v>-8.7143342386592391</c:v>
                </c:pt>
                <c:pt idx="162">
                  <c:v>-8.7910830264985389</c:v>
                </c:pt>
                <c:pt idx="163">
                  <c:v>-8.8674458524800244</c:v>
                </c:pt>
                <c:pt idx="164">
                  <c:v>-8.9434299609822645</c:v>
                </c:pt>
                <c:pt idx="165">
                  <c:v>-9.0190424199290256</c:v>
                </c:pt>
                <c:pt idx="166">
                  <c:v>-9.094290125842047</c:v>
                </c:pt>
                <c:pt idx="167">
                  <c:v>-9.1691798087044667</c:v>
                </c:pt>
                <c:pt idx="168">
                  <c:v>-9.2437180366437417</c:v>
                </c:pt>
                <c:pt idx="169">
                  <c:v>-9.3179112204424257</c:v>
                </c:pt>
                <c:pt idx="170">
                  <c:v>-9.3917656178846585</c:v>
                </c:pt>
                <c:pt idx="171">
                  <c:v>-9.4652873379457851</c:v>
                </c:pt>
                <c:pt idx="172">
                  <c:v>-9.5384823448324116</c:v>
                </c:pt>
                <c:pt idx="173">
                  <c:v>-9.6113564618792822</c:v>
                </c:pt>
                <c:pt idx="174">
                  <c:v>-9.6839153753096916</c:v>
                </c:pt>
                <c:pt idx="175">
                  <c:v>-9.7561646378651847</c:v>
                </c:pt>
                <c:pt idx="176">
                  <c:v>-9.8281096723105765</c:v>
                </c:pt>
                <c:pt idx="177">
                  <c:v>-9.8997557748194271</c:v>
                </c:pt>
                <c:pt idx="178">
                  <c:v>-9.9711081182454624</c:v>
                </c:pt>
                <c:pt idx="179">
                  <c:v>-10.042171755284588</c:v>
                </c:pt>
                <c:pt idx="180">
                  <c:v>-10.112951621532391</c:v>
                </c:pt>
                <c:pt idx="181">
                  <c:v>-10.183452538441433</c:v>
                </c:pt>
                <c:pt idx="182">
                  <c:v>-10.253679216182608</c:v>
                </c:pt>
                <c:pt idx="183">
                  <c:v>-10.323636256414623</c:v>
                </c:pt>
                <c:pt idx="184">
                  <c:v>-10.39332815496534</c:v>
                </c:pt>
                <c:pt idx="185">
                  <c:v>-10.462759304428779</c:v>
                </c:pt>
                <c:pt idx="186">
                  <c:v>-10.53193399668103</c:v>
                </c:pt>
                <c:pt idx="187">
                  <c:v>-10.600856425318577</c:v>
                </c:pt>
                <c:pt idx="188">
                  <c:v>-10.669530688022084</c:v>
                </c:pt>
                <c:pt idx="189">
                  <c:v>-10.73796078884868</c:v>
                </c:pt>
                <c:pt idx="190">
                  <c:v>-10.806150640455538</c:v>
                </c:pt>
                <c:pt idx="191">
                  <c:v>-10.874104066257555</c:v>
                </c:pt>
                <c:pt idx="192">
                  <c:v>-10.941824802521719</c:v>
                </c:pt>
                <c:pt idx="193">
                  <c:v>-11.009316500400498</c:v>
                </c:pt>
                <c:pt idx="194">
                  <c:v>-11.076582727906946</c:v>
                </c:pt>
                <c:pt idx="195">
                  <c:v>-11.143626971833292</c:v>
                </c:pt>
                <c:pt idx="196">
                  <c:v>-11.210452639615745</c:v>
                </c:pt>
                <c:pt idx="197">
                  <c:v>-11.277063061147004</c:v>
                </c:pt>
                <c:pt idx="198">
                  <c:v>-11.343461490538886</c:v>
                </c:pt>
                <c:pt idx="199">
                  <c:v>-11.409651107836643</c:v>
                </c:pt>
                <c:pt idx="200">
                  <c:v>-11.47563502068695</c:v>
                </c:pt>
                <c:pt idx="201">
                  <c:v>-11.54141626596115</c:v>
                </c:pt>
                <c:pt idx="202">
                  <c:v>-11.606997811335493</c:v>
                </c:pt>
                <c:pt idx="203">
                  <c:v>-11.67238255682981</c:v>
                </c:pt>
                <c:pt idx="204">
                  <c:v>-11.737573336306237</c:v>
                </c:pt>
                <c:pt idx="205">
                  <c:v>-11.802572918929348</c:v>
                </c:pt>
                <c:pt idx="206">
                  <c:v>-11.86738401058906</c:v>
                </c:pt>
                <c:pt idx="207">
                  <c:v>-11.932009255287657</c:v>
                </c:pt>
                <c:pt idx="208">
                  <c:v>-11.996451236492117</c:v>
                </c:pt>
                <c:pt idx="209">
                  <c:v>-12.060712478453038</c:v>
                </c:pt>
                <c:pt idx="210">
                  <c:v>-12.12479544749119</c:v>
                </c:pt>
                <c:pt idx="211">
                  <c:v>-12.188702553252828</c:v>
                </c:pt>
                <c:pt idx="212">
                  <c:v>-12.252436149934917</c:v>
                </c:pt>
                <c:pt idx="213">
                  <c:v>-12.31599853748107</c:v>
                </c:pt>
                <c:pt idx="214">
                  <c:v>-12.379391962749327</c:v>
                </c:pt>
                <c:pt idx="215">
                  <c:v>-12.442618620652642</c:v>
                </c:pt>
                <c:pt idx="216">
                  <c:v>-12.505680655272922</c:v>
                </c:pt>
                <c:pt idx="217">
                  <c:v>-12.568580160949523</c:v>
                </c:pt>
                <c:pt idx="218">
                  <c:v>-12.631319183342963</c:v>
                </c:pt>
                <c:pt idx="219">
                  <c:v>-12.69389972047464</c:v>
                </c:pt>
                <c:pt idx="220">
                  <c:v>-12.7563237237433</c:v>
                </c:pt>
                <c:pt idx="221">
                  <c:v>-12.818593098919003</c:v>
                </c:pt>
                <c:pt idx="222">
                  <c:v>-12.880709707115187</c:v>
                </c:pt>
                <c:pt idx="223">
                  <c:v>-12.942675365739563</c:v>
                </c:pt>
                <c:pt idx="224">
                  <c:v>-13.004491849424396</c:v>
                </c:pt>
                <c:pt idx="225">
                  <c:v>-13.06616089093688</c:v>
                </c:pt>
                <c:pt idx="226">
                  <c:v>-13.675094990685563</c:v>
                </c:pt>
                <c:pt idx="227">
                  <c:v>-14.270912113712784</c:v>
                </c:pt>
                <c:pt idx="228">
                  <c:v>-14.854778025749319</c:v>
                </c:pt>
                <c:pt idx="229">
                  <c:v>-15.42759734907446</c:v>
                </c:pt>
                <c:pt idx="230">
                  <c:v>-15.990066543670935</c:v>
                </c:pt>
                <c:pt idx="231">
                  <c:v>-16.542717724033505</c:v>
                </c:pt>
                <c:pt idx="232">
                  <c:v>-17.085954874469394</c:v>
                </c:pt>
                <c:pt idx="233">
                  <c:v>-17.620083660447104</c:v>
                </c:pt>
                <c:pt idx="234">
                  <c:v>-18.145335798724403</c:v>
                </c:pt>
                <c:pt idx="235">
                  <c:v>-18.661888792665913</c:v>
                </c:pt>
                <c:pt idx="236">
                  <c:v>-19.16988172845188</c:v>
                </c:pt>
                <c:pt idx="237">
                  <c:v>-19.669427742666731</c:v>
                </c:pt>
                <c:pt idx="238">
                  <c:v>-20.160623700386413</c:v>
                </c:pt>
                <c:pt idx="239">
                  <c:v>-20.643557559145734</c:v>
                </c:pt>
                <c:pt idx="240">
                  <c:v>-21.118313835183148</c:v>
                </c:pt>
                <c:pt idx="241">
                  <c:v>-21.584977533146951</c:v>
                </c:pt>
                <c:pt idx="242">
                  <c:v>-22.043636848968141</c:v>
                </c:pt>
                <c:pt idx="243">
                  <c:v>-22.494384908192838</c:v>
                </c:pt>
                <c:pt idx="244">
                  <c:v>-22.937320759088728</c:v>
                </c:pt>
                <c:pt idx="245">
                  <c:v>-23.372549801536881</c:v>
                </c:pt>
                <c:pt idx="246">
                  <c:v>-23.800183799152897</c:v>
                </c:pt>
                <c:pt idx="247">
                  <c:v>-24.220340593133727</c:v>
                </c:pt>
                <c:pt idx="248">
                  <c:v>-24.633143611736365</c:v>
                </c:pt>
                <c:pt idx="249">
                  <c:v>-25.038721248702739</c:v>
                </c:pt>
                <c:pt idx="250">
                  <c:v>-25.437206166930331</c:v>
                </c:pt>
                <c:pt idx="251">
                  <c:v>-25.828734569809821</c:v>
                </c:pt>
                <c:pt idx="252">
                  <c:v>-26.213445471471818</c:v>
                </c:pt>
                <c:pt idx="253">
                  <c:v>-26.591479988291734</c:v>
                </c:pt>
                <c:pt idx="254">
                  <c:v>-26.962980667017966</c:v>
                </c:pt>
                <c:pt idx="255">
                  <c:v>-27.32809085947769</c:v>
                </c:pt>
                <c:pt idx="256">
                  <c:v>-27.686954149685178</c:v>
                </c:pt>
                <c:pt idx="257">
                  <c:v>-28.039713836079731</c:v>
                </c:pt>
                <c:pt idx="258">
                  <c:v>-28.386512469343863</c:v>
                </c:pt>
                <c:pt idx="259">
                  <c:v>-28.727491444623286</c:v>
                </c:pt>
                <c:pt idx="260">
                  <c:v>-29.062790645844771</c:v>
                </c:pt>
                <c:pt idx="261">
                  <c:v>-29.392548139090408</c:v>
                </c:pt>
                <c:pt idx="262">
                  <c:v>-29.716899911543674</c:v>
                </c:pt>
                <c:pt idx="263">
                  <c:v>-30.035979652299496</c:v>
                </c:pt>
                <c:pt idx="264">
                  <c:v>-30.349918571268582</c:v>
                </c:pt>
                <c:pt idx="265">
                  <c:v>-30.658845252460722</c:v>
                </c:pt>
                <c:pt idx="266">
                  <c:v>-30.962885538065169</c:v>
                </c:pt>
                <c:pt idx="267">
                  <c:v>-31.262162439934272</c:v>
                </c:pt>
                <c:pt idx="268">
                  <c:v>-31.556796075295903</c:v>
                </c:pt>
                <c:pt idx="269">
                  <c:v>-31.846903623757832</c:v>
                </c:pt>
                <c:pt idx="270">
                  <c:v>-32.132599302910606</c:v>
                </c:pt>
                <c:pt idx="271">
                  <c:v>-32.41399436007714</c:v>
                </c:pt>
                <c:pt idx="272">
                  <c:v>-32.691197077991362</c:v>
                </c:pt>
                <c:pt idx="273">
                  <c:v>-32.964312792411377</c:v>
                </c:pt>
                <c:pt idx="274">
                  <c:v>-33.233443919881907</c:v>
                </c:pt>
                <c:pt idx="275">
                  <c:v>-33.498689994055603</c:v>
                </c:pt>
                <c:pt idx="276">
                  <c:v>-33.76014770916192</c:v>
                </c:pt>
                <c:pt idx="277">
                  <c:v>-34.017910969376402</c:v>
                </c:pt>
                <c:pt idx="278">
                  <c:v>-34.272070942992002</c:v>
                </c:pt>
                <c:pt idx="279">
                  <c:v>-34.52271612042901</c:v>
                </c:pt>
                <c:pt idx="280">
                  <c:v>-34.769932375241261</c:v>
                </c:pt>
                <c:pt idx="281">
                  <c:v>-35.013803027385016</c:v>
                </c:pt>
                <c:pt idx="282">
                  <c:v>-35.25440890811398</c:v>
                </c:pt>
                <c:pt idx="283">
                  <c:v>-35.491828425950644</c:v>
                </c:pt>
                <c:pt idx="284">
                  <c:v>-35.726137633260393</c:v>
                </c:pt>
                <c:pt idx="285">
                  <c:v>-35.957410293023429</c:v>
                </c:pt>
                <c:pt idx="286">
                  <c:v>-36.185717945459089</c:v>
                </c:pt>
                <c:pt idx="287">
                  <c:v>-36.411129974210326</c:v>
                </c:pt>
                <c:pt idx="288">
                  <c:v>-36.633713671842585</c:v>
                </c:pt>
                <c:pt idx="289">
                  <c:v>-36.853534304452062</c:v>
                </c:pt>
                <c:pt idx="290">
                  <c:v>-37.070655175214014</c:v>
                </c:pt>
                <c:pt idx="291">
                  <c:v>-37.28513768673303</c:v>
                </c:pt>
                <c:pt idx="292">
                  <c:v>-37.497041402084193</c:v>
                </c:pt>
                <c:pt idx="293">
                  <c:v>-37.706424104457739</c:v>
                </c:pt>
                <c:pt idx="294">
                  <c:v>-37.913341855340107</c:v>
                </c:pt>
                <c:pt idx="295">
                  <c:v>-38.117849051181949</c:v>
                </c:pt>
                <c:pt idx="296">
                  <c:v>-38.319998478518997</c:v>
                </c:pt>
                <c:pt idx="297">
                  <c:v>-38.519841367524272</c:v>
                </c:pt>
                <c:pt idx="298">
                  <c:v>-38.717427443981812</c:v>
                </c:pt>
                <c:pt idx="299">
                  <c:v>-38.912804979680864</c:v>
                </c:pt>
                <c:pt idx="300">
                  <c:v>-39.106020841238241</c:v>
                </c:pt>
                <c:pt idx="301">
                  <c:v>-39.297120537362431</c:v>
                </c:pt>
                <c:pt idx="302">
                  <c:v>-39.486148264579413</c:v>
                </c:pt>
                <c:pt idx="303">
                  <c:v>-39.673146951444068</c:v>
                </c:pt>
                <c:pt idx="304">
                  <c:v>-39.858158301265526</c:v>
                </c:pt>
                <c:pt idx="305">
                  <c:v>-40.041222833377091</c:v>
                </c:pt>
                <c:pt idx="306">
                  <c:v>-40.222379922984686</c:v>
                </c:pt>
                <c:pt idx="307">
                  <c:v>-40.401667839628566</c:v>
                </c:pt>
                <c:pt idx="308">
                  <c:v>-40.579123784295533</c:v>
                </c:pt>
                <c:pt idx="309">
                  <c:v>-40.754783925219016</c:v>
                </c:pt>
                <c:pt idx="310">
                  <c:v>-40.928683432405357</c:v>
                </c:pt>
                <c:pt idx="311">
                  <c:v>-41.100856510925155</c:v>
                </c:pt>
                <c:pt idx="312">
                  <c:v>-41.271336433008194</c:v>
                </c:pt>
                <c:pt idx="313">
                  <c:v>-41.440155568980629</c:v>
                </c:pt>
                <c:pt idx="314">
                  <c:v>-41.607345417082769</c:v>
                </c:pt>
                <c:pt idx="315">
                  <c:v>-41.772936632205308</c:v>
                </c:pt>
                <c:pt idx="316">
                  <c:v>-41.936959053581155</c:v>
                </c:pt>
                <c:pt idx="317">
                  <c:v>-42.099441731469589</c:v>
                </c:pt>
                <c:pt idx="318">
                  <c:v>-42.2604129528684</c:v>
                </c:pt>
                <c:pt idx="319">
                  <c:v>-42.41990026628909</c:v>
                </c:pt>
                <c:pt idx="320">
                  <c:v>-42.577930505629269</c:v>
                </c:pt>
                <c:pt idx="321">
                  <c:v>-42.734529813175286</c:v>
                </c:pt>
                <c:pt idx="322">
                  <c:v>-42.889723661767491</c:v>
                </c:pt>
                <c:pt idx="323">
                  <c:v>-43.04353687615928</c:v>
                </c:pt>
                <c:pt idx="324">
                  <c:v>-43.195993653600326</c:v>
                </c:pt>
                <c:pt idx="325">
                  <c:v>-43.347117583673267</c:v>
                </c:pt>
                <c:pt idx="326">
                  <c:v>-43.496931667412213</c:v>
                </c:pt>
                <c:pt idx="327">
                  <c:v>-43.645458335730495</c:v>
                </c:pt>
                <c:pt idx="328">
                  <c:v>-43.792719467184035</c:v>
                </c:pt>
                <c:pt idx="329">
                  <c:v>-43.938736405095973</c:v>
                </c:pt>
                <c:pt idx="330">
                  <c:v>-44.08352997406687</c:v>
                </c:pt>
                <c:pt idx="331">
                  <c:v>-44.227120495894468</c:v>
                </c:pt>
                <c:pt idx="332">
                  <c:v>-44.369527804925681</c:v>
                </c:pt>
                <c:pt idx="333">
                  <c:v>-44.510771262862505</c:v>
                </c:pt>
                <c:pt idx="334">
                  <c:v>-44.65086977304346</c:v>
                </c:pt>
                <c:pt idx="335">
                  <c:v>-44.789841794220351</c:v>
                </c:pt>
                <c:pt idx="336">
                  <c:v>-44.927705353850193</c:v>
                </c:pt>
                <c:pt idx="337">
                  <c:v>-45.064478060920806</c:v>
                </c:pt>
                <c:pt idx="338">
                  <c:v>-45.200177118328291</c:v>
                </c:pt>
                <c:pt idx="339">
                  <c:v>-45.334819334823528</c:v>
                </c:pt>
                <c:pt idx="340">
                  <c:v>-45.468421136544336</c:v>
                </c:pt>
                <c:pt idx="341">
                  <c:v>-45.600998578149273</c:v>
                </c:pt>
                <c:pt idx="342">
                  <c:v>-45.732567353568463</c:v>
                </c:pt>
                <c:pt idx="343">
                  <c:v>-45.863142806385795</c:v>
                </c:pt>
                <c:pt idx="344">
                  <c:v>-45.992739939867192</c:v>
                </c:pt>
                <c:pt idx="345">
                  <c:v>-46.121373426647793</c:v>
                </c:pt>
                <c:pt idx="346">
                  <c:v>-46.249057618091626</c:v>
                </c:pt>
                <c:pt idx="347">
                  <c:v>-46.375806553335849</c:v>
                </c:pt>
                <c:pt idx="348">
                  <c:v>-46.50163396803169</c:v>
                </c:pt>
                <c:pt idx="349">
                  <c:v>-46.626553302793525</c:v>
                </c:pt>
                <c:pt idx="350">
                  <c:v>-46.750577711367029</c:v>
                </c:pt>
                <c:pt idx="351">
                  <c:v>-46.873720068527113</c:v>
                </c:pt>
                <c:pt idx="352">
                  <c:v>-46.995992977715623</c:v>
                </c:pt>
                <c:pt idx="353">
                  <c:v>-47.117408778428604</c:v>
                </c:pt>
                <c:pt idx="354">
                  <c:v>-47.23797955336245</c:v>
                </c:pt>
                <c:pt idx="355">
                  <c:v>-47.357717135327903</c:v>
                </c:pt>
                <c:pt idx="356">
                  <c:v>-47.476633113940416</c:v>
                </c:pt>
                <c:pt idx="357">
                  <c:v>-47.594738842095268</c:v>
                </c:pt>
                <c:pt idx="358">
                  <c:v>-47.712045442235194</c:v>
                </c:pt>
                <c:pt idx="359">
                  <c:v>-47.828563812418246</c:v>
                </c:pt>
                <c:pt idx="360">
                  <c:v>-47.944304632193031</c:v>
                </c:pt>
                <c:pt idx="361">
                  <c:v>-48.059278368288531</c:v>
                </c:pt>
                <c:pt idx="362">
                  <c:v>-48.173495280124989</c:v>
                </c:pt>
                <c:pt idx="363">
                  <c:v>-48.286965425152559</c:v>
                </c:pt>
                <c:pt idx="364">
                  <c:v>-48.399698664023639</c:v>
                </c:pt>
                <c:pt idx="365">
                  <c:v>-48.511704665605144</c:v>
                </c:pt>
                <c:pt idx="366">
                  <c:v>-48.622992911836064</c:v>
                </c:pt>
                <c:pt idx="367">
                  <c:v>-48.733572702436206</c:v>
                </c:pt>
                <c:pt idx="368">
                  <c:v>-48.843453159471082</c:v>
                </c:pt>
                <c:pt idx="369">
                  <c:v>-48.952643231778111</c:v>
                </c:pt>
                <c:pt idx="370">
                  <c:v>-49.061151699259007</c:v>
                </c:pt>
                <c:pt idx="371">
                  <c:v>-49.168987177043057</c:v>
                </c:pt>
                <c:pt idx="372">
                  <c:v>-49.276158119525718</c:v>
                </c:pt>
                <c:pt idx="373">
                  <c:v>-49.382672824286928</c:v>
                </c:pt>
                <c:pt idx="374">
                  <c:v>-49.488539435893131</c:v>
                </c:pt>
                <c:pt idx="375">
                  <c:v>-49.593765949587308</c:v>
                </c:pt>
                <c:pt idx="376">
                  <c:v>-49.698360214870469</c:v>
                </c:pt>
                <c:pt idx="377">
                  <c:v>-49.802329938978652</c:v>
                </c:pt>
                <c:pt idx="378">
                  <c:v>-49.905682690258715</c:v>
                </c:pt>
                <c:pt idx="379">
                  <c:v>-50.008425901446515</c:v>
                </c:pt>
                <c:pt idx="380">
                  <c:v>-50.110566872850654</c:v>
                </c:pt>
                <c:pt idx="381">
                  <c:v>-50.212112775445028</c:v>
                </c:pt>
                <c:pt idx="382">
                  <c:v>-50.313070653873162</c:v>
                </c:pt>
                <c:pt idx="383">
                  <c:v>-50.413447429367295</c:v>
                </c:pt>
                <c:pt idx="384">
                  <c:v>-50.513249902585017</c:v>
                </c:pt>
                <c:pt idx="385">
                  <c:v>-50.61248475636625</c:v>
                </c:pt>
                <c:pt idx="386">
                  <c:v>-50.71115855841299</c:v>
                </c:pt>
                <c:pt idx="387">
                  <c:v>-50.809277763894592</c:v>
                </c:pt>
                <c:pt idx="388">
                  <c:v>-50.906848717980822</c:v>
                </c:pt>
                <c:pt idx="389">
                  <c:v>-51.003877658305086</c:v>
                </c:pt>
                <c:pt idx="390">
                  <c:v>-51.1003707173601</c:v>
                </c:pt>
                <c:pt idx="391">
                  <c:v>-51.196333924828117</c:v>
                </c:pt>
                <c:pt idx="392">
                  <c:v>-51.291773209847875</c:v>
                </c:pt>
                <c:pt idx="393">
                  <c:v>-51.386694403220233</c:v>
                </c:pt>
                <c:pt idx="394">
                  <c:v>-51.481103239554393</c:v>
                </c:pt>
                <c:pt idx="395">
                  <c:v>-51.57500535935668</c:v>
                </c:pt>
                <c:pt idx="396">
                  <c:v>-51.668406311063649</c:v>
                </c:pt>
                <c:pt idx="397">
                  <c:v>-51.761311553021194</c:v>
                </c:pt>
                <c:pt idx="398">
                  <c:v>-51.853726455411426</c:v>
                </c:pt>
                <c:pt idx="399">
                  <c:v>-51.945656302128882</c:v>
                </c:pt>
                <c:pt idx="400">
                  <c:v>-52.037106292607717</c:v>
                </c:pt>
                <c:pt idx="401">
                  <c:v>-52.128081543601176</c:v>
                </c:pt>
                <c:pt idx="402">
                  <c:v>-52.218587090915143</c:v>
                </c:pt>
                <c:pt idx="403">
                  <c:v>-52.308627891096798</c:v>
                </c:pt>
                <c:pt idx="404">
                  <c:v>-52.398208823080026</c:v>
                </c:pt>
                <c:pt idx="405">
                  <c:v>-52.487334689788696</c:v>
                </c:pt>
                <c:pt idx="406">
                  <c:v>-52.576010219699249</c:v>
                </c:pt>
                <c:pt idx="407">
                  <c:v>-52.664240068363632</c:v>
                </c:pt>
                <c:pt idx="408">
                  <c:v>-52.752028819893901</c:v>
                </c:pt>
                <c:pt idx="409">
                  <c:v>-52.839380988409566</c:v>
                </c:pt>
                <c:pt idx="410">
                  <c:v>-52.926301019448758</c:v>
                </c:pt>
                <c:pt idx="411">
                  <c:v>-53.012793291344366</c:v>
                </c:pt>
                <c:pt idx="412">
                  <c:v>-53.09886211656611</c:v>
                </c:pt>
                <c:pt idx="413">
                  <c:v>-53.184511743029518</c:v>
                </c:pt>
                <c:pt idx="414">
                  <c:v>-53.269746355372824</c:v>
                </c:pt>
                <c:pt idx="415">
                  <c:v>-53.354570076202734</c:v>
                </c:pt>
                <c:pt idx="416">
                  <c:v>-53.438986967309845</c:v>
                </c:pt>
                <c:pt idx="417">
                  <c:v>-53.523001030854715</c:v>
                </c:pt>
                <c:pt idx="418">
                  <c:v>-53.606616210525353</c:v>
                </c:pt>
                <c:pt idx="419">
                  <c:v>-53.689836392666948</c:v>
                </c:pt>
                <c:pt idx="420">
                  <c:v>-53.772665407384636</c:v>
                </c:pt>
                <c:pt idx="421">
                  <c:v>-53.855107029620079</c:v>
                </c:pt>
                <c:pt idx="422">
                  <c:v>-53.937164980202546</c:v>
                </c:pt>
                <c:pt idx="423">
                  <c:v>-54.018842926875259</c:v>
                </c:pt>
                <c:pt idx="424">
                  <c:v>-54.100144485297619</c:v>
                </c:pt>
                <c:pt idx="425">
                  <c:v>-54.18107322002416</c:v>
                </c:pt>
                <c:pt idx="426">
                  <c:v>-54.261632645460551</c:v>
                </c:pt>
                <c:pt idx="427">
                  <c:v>-54.341826226797679</c:v>
                </c:pt>
                <c:pt idx="428">
                  <c:v>-54.421657380924046</c:v>
                </c:pt>
                <c:pt idx="429">
                  <c:v>-54.501129477317306</c:v>
                </c:pt>
                <c:pt idx="430">
                  <c:v>-54.580245838915459</c:v>
                </c:pt>
                <c:pt idx="431">
                  <c:v>-54.659009742968145</c:v>
                </c:pt>
                <c:pt idx="432">
                  <c:v>-54.737424421868752</c:v>
                </c:pt>
                <c:pt idx="433">
                  <c:v>-54.815493063967658</c:v>
                </c:pt>
                <c:pt idx="434">
                  <c:v>-54.893218814367309</c:v>
                </c:pt>
                <c:pt idx="435">
                  <c:v>-54.970604775699464</c:v>
                </c:pt>
                <c:pt idx="436">
                  <c:v>-55.047654008885118</c:v>
                </c:pt>
                <c:pt idx="437">
                  <c:v>-55.124369533877626</c:v>
                </c:pt>
                <c:pt idx="438">
                  <c:v>-55.200754330389408</c:v>
                </c:pt>
                <c:pt idx="439">
                  <c:v>-55.27681133860262</c:v>
                </c:pt>
                <c:pt idx="440">
                  <c:v>-55.352543459864364</c:v>
                </c:pt>
                <c:pt idx="441">
                  <c:v>-55.427953557366642</c:v>
                </c:pt>
                <c:pt idx="442">
                  <c:v>-55.503044456811622</c:v>
                </c:pt>
                <c:pt idx="443">
                  <c:v>-55.577818947062482</c:v>
                </c:pt>
                <c:pt idx="444">
                  <c:v>-55.652279780780241</c:v>
                </c:pt>
                <c:pt idx="445">
                  <c:v>-55.72642967504693</c:v>
                </c:pt>
                <c:pt idx="446">
                  <c:v>-55.800271311975521</c:v>
                </c:pt>
                <c:pt idx="447">
                  <c:v>-55.873807339306737</c:v>
                </c:pt>
                <c:pt idx="448">
                  <c:v>-55.947040370993399</c:v>
                </c:pt>
                <c:pt idx="449">
                  <c:v>-56.019972987772306</c:v>
                </c:pt>
                <c:pt idx="450">
                  <c:v>-56.092607737724137</c:v>
                </c:pt>
                <c:pt idx="451">
                  <c:v>-56.164947136821759</c:v>
                </c:pt>
                <c:pt idx="452">
                  <c:v>-56.236993669466841</c:v>
                </c:pt>
                <c:pt idx="453">
                  <c:v>-56.308749789015607</c:v>
                </c:pt>
                <c:pt idx="454">
                  <c:v>-56.38021791829356</c:v>
                </c:pt>
                <c:pt idx="455">
                  <c:v>-56.451400450099655</c:v>
                </c:pt>
                <c:pt idx="456">
                  <c:v>-56.522299747700089</c:v>
                </c:pt>
                <c:pt idx="457">
                  <c:v>-56.592918145312119</c:v>
                </c:pt>
                <c:pt idx="458">
                  <c:v>-56.663257948577865</c:v>
                </c:pt>
                <c:pt idx="459">
                  <c:v>-56.733321435028643</c:v>
                </c:pt>
                <c:pt idx="460">
                  <c:v>-56.803110854539881</c:v>
                </c:pt>
                <c:pt idx="461">
                  <c:v>-56.872628429776881</c:v>
                </c:pt>
                <c:pt idx="462">
                  <c:v>-56.941876356631639</c:v>
                </c:pt>
                <c:pt idx="463">
                  <c:v>-57.010856804650984</c:v>
                </c:pt>
                <c:pt idx="464">
                  <c:v>-57.079571917456178</c:v>
                </c:pt>
                <c:pt idx="465">
                  <c:v>-57.148023813154239</c:v>
                </c:pt>
                <c:pt idx="466">
                  <c:v>-57.216214584741103</c:v>
                </c:pt>
                <c:pt idx="467">
                  <c:v>-57.2841463004969</c:v>
                </c:pt>
                <c:pt idx="468">
                  <c:v>-57.351821004373498</c:v>
                </c:pt>
                <c:pt idx="469">
                  <c:v>-57.41924071637446</c:v>
                </c:pt>
                <c:pt idx="470">
                  <c:v>-57.48640743292767</c:v>
                </c:pt>
                <c:pt idx="471">
                  <c:v>-57.553323127250664</c:v>
                </c:pt>
                <c:pt idx="472">
                  <c:v>-57.619989749709013</c:v>
                </c:pt>
                <c:pt idx="473">
                  <c:v>-57.686409228167797</c:v>
                </c:pt>
                <c:pt idx="474">
                  <c:v>-57.752583468336269</c:v>
                </c:pt>
                <c:pt idx="475">
                  <c:v>-57.818514354106071</c:v>
                </c:pt>
                <c:pt idx="476">
                  <c:v>-57.884203747882978</c:v>
                </c:pt>
                <c:pt idx="477">
                  <c:v>-57.94965349091234</c:v>
                </c:pt>
                <c:pt idx="478">
                  <c:v>-58.014865403598399</c:v>
                </c:pt>
                <c:pt idx="479">
                  <c:v>-58.079841285817679</c:v>
                </c:pt>
                <c:pt idx="480">
                  <c:v>-58.144582917226373</c:v>
                </c:pt>
                <c:pt idx="481">
                  <c:v>-58.209092057562124</c:v>
                </c:pt>
                <c:pt idx="482">
                  <c:v>-58.273370446940177</c:v>
                </c:pt>
                <c:pt idx="483">
                  <c:v>-58.33741980614397</c:v>
                </c:pt>
                <c:pt idx="484">
                  <c:v>-58.401241836910472</c:v>
                </c:pt>
                <c:pt idx="485">
                  <c:v>-58.464838222210233</c:v>
                </c:pt>
                <c:pt idx="486">
                  <c:v>-58.528210626522259</c:v>
                </c:pt>
                <c:pt idx="487">
                  <c:v>-58.591360696103969</c:v>
                </c:pt>
                <c:pt idx="488">
                  <c:v>-58.654290059256191</c:v>
                </c:pt>
                <c:pt idx="489">
                  <c:v>-58.717000326583303</c:v>
                </c:pt>
                <c:pt idx="490">
                  <c:v>-58.779493091248831</c:v>
                </c:pt>
                <c:pt idx="491">
                  <c:v>-58.841769929226288</c:v>
                </c:pt>
                <c:pt idx="492">
                  <c:v>-58.903832399545628</c:v>
                </c:pt>
                <c:pt idx="493">
                  <c:v>-58.965682044535228</c:v>
                </c:pt>
                <c:pt idx="494">
                  <c:v>-59.027320390059622</c:v>
                </c:pt>
                <c:pt idx="495">
                  <c:v>-59.088748945753018</c:v>
                </c:pt>
                <c:pt idx="496">
                  <c:v>-59.149969205248603</c:v>
                </c:pt>
                <c:pt idx="497">
                  <c:v>-59.210982646403892</c:v>
                </c:pt>
                <c:pt idx="498">
                  <c:v>-59.271790731522167</c:v>
                </c:pt>
                <c:pt idx="499">
                  <c:v>-59.332394907569878</c:v>
                </c:pt>
                <c:pt idx="500">
                  <c:v>-59.392796606390455</c:v>
                </c:pt>
                <c:pt idx="501">
                  <c:v>-59.452997244914272</c:v>
                </c:pt>
                <c:pt idx="502">
                  <c:v>-59.512998225364981</c:v>
                </c:pt>
                <c:pt idx="503">
                  <c:v>-59.572800935462382</c:v>
                </c:pt>
                <c:pt idx="504">
                  <c:v>-59.632406748621712</c:v>
                </c:pt>
                <c:pt idx="505">
                  <c:v>-59.691817024149579</c:v>
                </c:pt>
                <c:pt idx="506">
                  <c:v>-59.751033107436484</c:v>
                </c:pt>
                <c:pt idx="507">
                  <c:v>-59.810056330146196</c:v>
                </c:pt>
                <c:pt idx="508">
                  <c:v>-59.868888010401733</c:v>
                </c:pt>
                <c:pt idx="509">
                  <c:v>-59.927529452968365</c:v>
                </c:pt>
                <c:pt idx="510">
                  <c:v>-59.985981949433437</c:v>
                </c:pt>
                <c:pt idx="511">
                  <c:v>-60.044246778383211</c:v>
                </c:pt>
                <c:pt idx="512">
                  <c:v>-60.102325205576761</c:v>
                </c:pt>
                <c:pt idx="513">
                  <c:v>-60.160218484116925</c:v>
                </c:pt>
                <c:pt idx="514">
                  <c:v>-60.217927854618445</c:v>
                </c:pt>
                <c:pt idx="515">
                  <c:v>-60.275454545373357</c:v>
                </c:pt>
                <c:pt idx="516">
                  <c:v>-60.332799772513539</c:v>
                </c:pt>
                <c:pt idx="517">
                  <c:v>-60.389964740170711</c:v>
                </c:pt>
                <c:pt idx="518">
                  <c:v>-60.446950640633744</c:v>
                </c:pt>
                <c:pt idx="519">
                  <c:v>-60.503758654503386</c:v>
                </c:pt>
                <c:pt idx="520">
                  <c:v>-60.560389950844552</c:v>
                </c:pt>
                <c:pt idx="521">
                  <c:v>-60.61684568733596</c:v>
                </c:pt>
                <c:pt idx="522">
                  <c:v>-60.673127010417602</c:v>
                </c:pt>
                <c:pt idx="523">
                  <c:v>-60.729235055435574</c:v>
                </c:pt>
                <c:pt idx="524">
                  <c:v>-60.785170946784802</c:v>
                </c:pt>
                <c:pt idx="525">
                  <c:v>-60.840935798049259</c:v>
                </c:pt>
                <c:pt idx="526">
                  <c:v>-60.896530712140155</c:v>
                </c:pt>
                <c:pt idx="527">
                  <c:v>-60.951956781431782</c:v>
                </c:pt>
                <c:pt idx="528">
                  <c:v>-61.007215087895233</c:v>
                </c:pt>
                <c:pt idx="529">
                  <c:v>-61.06230670323005</c:v>
                </c:pt>
                <c:pt idx="530">
                  <c:v>-61.117232688993724</c:v>
                </c:pt>
                <c:pt idx="531">
                  <c:v>-61.171994096729215</c:v>
                </c:pt>
                <c:pt idx="532">
                  <c:v>-61.22659196809046</c:v>
                </c:pt>
                <c:pt idx="533">
                  <c:v>-61.281027334965863</c:v>
                </c:pt>
                <c:pt idx="534">
                  <c:v>-61.335301219599955</c:v>
                </c:pt>
                <c:pt idx="535">
                  <c:v>-61.389414634713077</c:v>
                </c:pt>
                <c:pt idx="536">
                  <c:v>-61.443368583619282</c:v>
                </c:pt>
                <c:pt idx="537">
                  <c:v>-61.497164060342364</c:v>
                </c:pt>
                <c:pt idx="538">
                  <c:v>-61.550802049730095</c:v>
                </c:pt>
                <c:pt idx="539">
                  <c:v>-61.604283527566757</c:v>
                </c:pt>
                <c:pt idx="540">
                  <c:v>-61.657609460683943</c:v>
                </c:pt>
                <c:pt idx="541">
                  <c:v>-61.710780807069582</c:v>
                </c:pt>
                <c:pt idx="542">
                  <c:v>-61.763798515975459</c:v>
                </c:pt>
                <c:pt idx="543">
                  <c:v>-61.816663528022971</c:v>
                </c:pt>
                <c:pt idx="544">
                  <c:v>-61.869376775307359</c:v>
                </c:pt>
                <c:pt idx="545">
                  <c:v>-61.921939181500292</c:v>
                </c:pt>
                <c:pt idx="546">
                  <c:v>-61.974351661951054</c:v>
                </c:pt>
                <c:pt idx="547">
                  <c:v>-62.026615123786002</c:v>
                </c:pt>
                <c:pt idx="548">
                  <c:v>-62.07873046600681</c:v>
                </c:pt>
                <c:pt idx="549">
                  <c:v>-62.130698579586941</c:v>
                </c:pt>
                <c:pt idx="550">
                  <c:v>-62.182520347566978</c:v>
                </c:pt>
                <c:pt idx="551">
                  <c:v>-62.23419664514833</c:v>
                </c:pt>
                <c:pt idx="552">
                  <c:v>-62.28572833978567</c:v>
                </c:pt>
                <c:pt idx="553">
                  <c:v>-62.337116291277965</c:v>
                </c:pt>
                <c:pt idx="554">
                  <c:v>-62.388361351858208</c:v>
                </c:pt>
                <c:pt idx="555">
                  <c:v>-62.43946436628179</c:v>
                </c:pt>
                <c:pt idx="556">
                  <c:v>-62.490426171913626</c:v>
                </c:pt>
                <c:pt idx="557">
                  <c:v>-62.541247598813939</c:v>
                </c:pt>
                <c:pt idx="558">
                  <c:v>-62.591929469822993</c:v>
                </c:pt>
                <c:pt idx="559">
                  <c:v>-62.642472600644297</c:v>
                </c:pt>
                <c:pt idx="560">
                  <c:v>-62.692877799926883</c:v>
                </c:pt>
                <c:pt idx="561">
                  <c:v>-62.743145869346264</c:v>
                </c:pt>
                <c:pt idx="562">
                  <c:v>-62.793277603684274</c:v>
                </c:pt>
                <c:pt idx="563">
                  <c:v>-62.843273790907723</c:v>
                </c:pt>
                <c:pt idx="564">
                  <c:v>-62.893135212246008</c:v>
                </c:pt>
                <c:pt idx="565">
                  <c:v>-62.942862642267563</c:v>
                </c:pt>
                <c:pt idx="566">
                  <c:v>-62.992456848955207</c:v>
                </c:pt>
                <c:pt idx="567">
                  <c:v>-63.041918593780501</c:v>
                </c:pt>
                <c:pt idx="568">
                  <c:v>-63.091248631776978</c:v>
                </c:pt>
                <c:pt idx="569">
                  <c:v>-63.140447711612431</c:v>
                </c:pt>
                <c:pt idx="570">
                  <c:v>-63.1895165756601</c:v>
                </c:pt>
                <c:pt idx="571">
                  <c:v>-63.238455960068904</c:v>
                </c:pt>
                <c:pt idx="572">
                  <c:v>-63.287266594832715</c:v>
                </c:pt>
                <c:pt idx="573">
                  <c:v>-63.335949203858625</c:v>
                </c:pt>
                <c:pt idx="574">
                  <c:v>-63.384504505034315</c:v>
                </c:pt>
                <c:pt idx="575">
                  <c:v>-63.432933210294458</c:v>
                </c:pt>
                <c:pt idx="576">
                  <c:v>-63.481236025686201</c:v>
                </c:pt>
                <c:pt idx="577">
                  <c:v>-63.529413651433792</c:v>
                </c:pt>
                <c:pt idx="578">
                  <c:v>-63.577466782002261</c:v>
                </c:pt>
                <c:pt idx="579">
                  <c:v>-63.625396106160316</c:v>
                </c:pt>
                <c:pt idx="580">
                  <c:v>-63.67320230704226</c:v>
                </c:pt>
                <c:pt idx="581">
                  <c:v>-63.720886062209196</c:v>
                </c:pt>
                <c:pt idx="582">
                  <c:v>-63.768448043709299</c:v>
                </c:pt>
                <c:pt idx="583">
                  <c:v>-63.815888918137354</c:v>
                </c:pt>
                <c:pt idx="584">
                  <c:v>-63.863209346693417</c:v>
                </c:pt>
                <c:pt idx="585">
                  <c:v>-63.910409985240754</c:v>
                </c:pt>
                <c:pt idx="586">
                  <c:v>-63.957491484362954</c:v>
                </c:pt>
                <c:pt idx="587">
                  <c:v>-64.004454489420311</c:v>
                </c:pt>
                <c:pt idx="588">
                  <c:v>-64.051299640605436</c:v>
                </c:pt>
                <c:pt idx="589">
                  <c:v>-64.09802757299812</c:v>
                </c:pt>
                <c:pt idx="590">
                  <c:v>-64.144638916619527</c:v>
                </c:pt>
                <c:pt idx="591">
                  <c:v>-64.191134296485572</c:v>
                </c:pt>
                <c:pt idx="592">
                  <c:v>-64.237514332659686</c:v>
                </c:pt>
                <c:pt idx="593">
                  <c:v>-64.283779640304843</c:v>
                </c:pt>
                <c:pt idx="594">
                  <c:v>-64.329930829734892</c:v>
                </c:pt>
                <c:pt idx="595">
                  <c:v>-64.37596850646527</c:v>
                </c:pt>
                <c:pt idx="596">
                  <c:v>-64.421893271263016</c:v>
                </c:pt>
                <c:pt idx="597">
                  <c:v>-64.467705720196093</c:v>
                </c:pt>
                <c:pt idx="598">
                  <c:v>-64.513406444682161</c:v>
                </c:pt>
                <c:pt idx="599">
                  <c:v>-64.558996031536665</c:v>
                </c:pt>
                <c:pt idx="600">
                  <c:v>-64.604475063020274</c:v>
                </c:pt>
                <c:pt idx="601">
                  <c:v>-64.649844116885788</c:v>
                </c:pt>
                <c:pt idx="602">
                  <c:v>-64.69510376642441</c:v>
                </c:pt>
                <c:pt idx="603">
                  <c:v>-64.740254580511277</c:v>
                </c:pt>
                <c:pt idx="604">
                  <c:v>-64.78529712365075</c:v>
                </c:pt>
                <c:pt idx="605">
                  <c:v>-64.830231956020796</c:v>
                </c:pt>
                <c:pt idx="606">
                  <c:v>-66.950881332144661</c:v>
                </c:pt>
                <c:pt idx="607">
                  <c:v>-68.86017358128322</c:v>
                </c:pt>
                <c:pt idx="608">
                  <c:v>-70.599724545479916</c:v>
                </c:pt>
                <c:pt idx="609">
                  <c:v>-72.200056924650141</c:v>
                </c:pt>
                <c:pt idx="610">
                  <c:v>-73.684195782849415</c:v>
                </c:pt>
                <c:pt idx="611">
                  <c:v>-75.069916078041842</c:v>
                </c:pt>
                <c:pt idx="612">
                  <c:v>-76.371207387952609</c:v>
                </c:pt>
                <c:pt idx="613">
                  <c:v>-77.599262279593788</c:v>
                </c:pt>
                <c:pt idx="614">
                  <c:v>-78.763163188273012</c:v>
                </c:pt>
                <c:pt idx="615">
                  <c:v>-79.870371976676822</c:v>
                </c:pt>
                <c:pt idx="616">
                  <c:v>-80.927086558348336</c:v>
                </c:pt>
                <c:pt idx="617">
                  <c:v>-81.938505670173939</c:v>
                </c:pt>
                <c:pt idx="618">
                  <c:v>-82.330181024315209</c:v>
                </c:pt>
                <c:pt idx="619">
                  <c:v>-82.715582964889762</c:v>
                </c:pt>
                <c:pt idx="620">
                  <c:v>-83.094948832374968</c:v>
                </c:pt>
                <c:pt idx="621">
                  <c:v>-83.468501802981606</c:v>
                </c:pt>
                <c:pt idx="622">
                  <c:v>-83.836451975384151</c:v>
                </c:pt>
                <c:pt idx="623">
                  <c:v>-84.198997357863291</c:v>
                </c:pt>
                <c:pt idx="624">
                  <c:v>-84.556324766504943</c:v>
                </c:pt>
                <c:pt idx="625">
                  <c:v>-84.908610643793452</c:v>
                </c:pt>
                <c:pt idx="626">
                  <c:v>-85.256021805809098</c:v>
                </c:pt>
                <c:pt idx="627">
                  <c:v>-85.59871612526922</c:v>
                </c:pt>
                <c:pt idx="628">
                  <c:v>-85.936843156808479</c:v>
                </c:pt>
                <c:pt idx="629">
                  <c:v>-86.270544710163392</c:v>
                </c:pt>
                <c:pt idx="630">
                  <c:v>-86.599955376288761</c:v>
                </c:pt>
                <c:pt idx="631">
                  <c:v>-86.925203010878306</c:v>
                </c:pt>
                <c:pt idx="632">
                  <c:v>-87.246409179275091</c:v>
                </c:pt>
                <c:pt idx="633">
                  <c:v>-87.563689566331377</c:v>
                </c:pt>
                <c:pt idx="634">
                  <c:v>-87.877154354402052</c:v>
                </c:pt>
                <c:pt idx="635">
                  <c:v>-88.186908572326374</c:v>
                </c:pt>
                <c:pt idx="636">
                  <c:v>-88.493052417960669</c:v>
                </c:pt>
                <c:pt idx="637">
                  <c:v>-88.795681556567274</c:v>
                </c:pt>
                <c:pt idx="638">
                  <c:v>-89.09488739713629</c:v>
                </c:pt>
                <c:pt idx="639">
                  <c:v>-89.390757348513745</c:v>
                </c:pt>
                <c:pt idx="640">
                  <c:v>-89.683375057029679</c:v>
                </c:pt>
                <c:pt idx="641">
                  <c:v>-89.972820627158001</c:v>
                </c:pt>
                <c:pt idx="642">
                  <c:v>-90.259170826597341</c:v>
                </c:pt>
                <c:pt idx="643">
                  <c:v>-90.54249927703232</c:v>
                </c:pt>
                <c:pt idx="644">
                  <c:v>-90.822876631720987</c:v>
                </c:pt>
                <c:pt idx="645">
                  <c:v>-91.100370740949842</c:v>
                </c:pt>
                <c:pt idx="646">
                  <c:v>-91.375046806305363</c:v>
                </c:pt>
                <c:pt idx="647">
                  <c:v>-91.646967524627598</c:v>
                </c:pt>
                <c:pt idx="648">
                  <c:v>-91.916193222435851</c:v>
                </c:pt>
                <c:pt idx="649">
                  <c:v>-92.182781981548771</c:v>
                </c:pt>
                <c:pt idx="650">
                  <c:v>-92.446789756559326</c:v>
                </c:pt>
                <c:pt idx="651">
                  <c:v>-92.708270484770182</c:v>
                </c:pt>
                <c:pt idx="652">
                  <c:v>-92.967276189143959</c:v>
                </c:pt>
                <c:pt idx="653">
                  <c:v>-93.223857074777655</c:v>
                </c:pt>
                <c:pt idx="654">
                  <c:v>-93.478061619368944</c:v>
                </c:pt>
                <c:pt idx="655">
                  <c:v>-93.729936658103895</c:v>
                </c:pt>
                <c:pt idx="656">
                  <c:v>-93.979527463361904</c:v>
                </c:pt>
                <c:pt idx="657">
                  <c:v>-94.226877819601981</c:v>
                </c:pt>
                <c:pt idx="658">
                  <c:v>-94.472030093765909</c:v>
                </c:pt>
                <c:pt idx="659">
                  <c:v>-94.715025301508078</c:v>
                </c:pt>
                <c:pt idx="660">
                  <c:v>-94.955903169537308</c:v>
                </c:pt>
                <c:pt idx="661">
                  <c:v>-95.194702194335079</c:v>
                </c:pt>
                <c:pt idx="662">
                  <c:v>-95.431459697493537</c:v>
                </c:pt>
                <c:pt idx="663">
                  <c:v>-95.666211877899471</c:v>
                </c:pt>
                <c:pt idx="664">
                  <c:v>-95.898993860972439</c:v>
                </c:pt>
                <c:pt idx="665">
                  <c:v>-96.129839745151159</c:v>
                </c:pt>
                <c:pt idx="666">
                  <c:v>-96.358782645806755</c:v>
                </c:pt>
                <c:pt idx="667">
                  <c:v>-96.585854736749582</c:v>
                </c:pt>
              </c:numCache>
            </c:numRef>
          </c:yVal>
          <c:smooth val="1"/>
          <c:extLst>
            <c:ext xmlns:c16="http://schemas.microsoft.com/office/drawing/2014/chart" uri="{C3380CC4-5D6E-409C-BE32-E72D297353CC}">
              <c16:uniqueId val="{00000001-C323-45F5-AD89-2A9969707A73}"/>
            </c:ext>
          </c:extLst>
        </c:ser>
        <c:dLbls>
          <c:showLegendKey val="0"/>
          <c:showVal val="0"/>
          <c:showCatName val="0"/>
          <c:showSerName val="0"/>
          <c:showPercent val="0"/>
          <c:showBubbleSize val="0"/>
        </c:dLbls>
        <c:axId val="177420544"/>
        <c:axId val="177426816"/>
      </c:scatterChart>
      <c:scatterChart>
        <c:scatterStyle val="lineMarker"/>
        <c:varyColors val="0"/>
        <c:ser>
          <c:idx val="1"/>
          <c:order val="1"/>
          <c:tx>
            <c:v>PhaseMargin</c:v>
          </c:tx>
          <c:spPr>
            <a:ln w="12700">
              <a:solidFill>
                <a:srgbClr val="000000"/>
              </a:solidFill>
              <a:prstDash val="lgDash"/>
            </a:ln>
          </c:spPr>
          <c:marker>
            <c:symbol val="square"/>
            <c:size val="3"/>
            <c:spPr>
              <a:noFill/>
              <a:ln w="9525">
                <a:noFill/>
              </a:ln>
            </c:spPr>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Calculations'!$Z$9:$Z$676</c:f>
              <c:numCache>
                <c:formatCode>General</c:formatCode>
                <c:ptCount val="668"/>
                <c:pt idx="0">
                  <c:v>90.031116169775586</c:v>
                </c:pt>
                <c:pt idx="1">
                  <c:v>90.06223232899076</c:v>
                </c:pt>
                <c:pt idx="2">
                  <c:v>90.093348467085121</c:v>
                </c:pt>
                <c:pt idx="3">
                  <c:v>90.124464573498301</c:v>
                </c:pt>
                <c:pt idx="4">
                  <c:v>90.155580637669956</c:v>
                </c:pt>
                <c:pt idx="5">
                  <c:v>90.186696649039902</c:v>
                </c:pt>
                <c:pt idx="6">
                  <c:v>90.217812597047967</c:v>
                </c:pt>
                <c:pt idx="7">
                  <c:v>90.248928471134136</c:v>
                </c:pt>
                <c:pt idx="8">
                  <c:v>90.280044260738521</c:v>
                </c:pt>
                <c:pt idx="9">
                  <c:v>90.311159955301349</c:v>
                </c:pt>
                <c:pt idx="10">
                  <c:v>90.622309350644613</c:v>
                </c:pt>
                <c:pt idx="11">
                  <c:v>90.933437627941004</c:v>
                </c:pt>
                <c:pt idx="12">
                  <c:v>91.244534232839129</c:v>
                </c:pt>
                <c:pt idx="13">
                  <c:v>91.55558861659118</c:v>
                </c:pt>
                <c:pt idx="14">
                  <c:v>91.866590237915844</c:v>
                </c:pt>
                <c:pt idx="15">
                  <c:v>92.177528564857084</c:v>
                </c:pt>
                <c:pt idx="16">
                  <c:v>92.488393076637692</c:v>
                </c:pt>
                <c:pt idx="17">
                  <c:v>92.799173265506568</c:v>
                </c:pt>
                <c:pt idx="18">
                  <c:v>93.109858638578658</c:v>
                </c:pt>
                <c:pt idx="19">
                  <c:v>96.209203330646446</c:v>
                </c:pt>
                <c:pt idx="20">
                  <c:v>99.287703639473023</c:v>
                </c:pt>
                <c:pt idx="21">
                  <c:v>102.33538606914324</c:v>
                </c:pt>
                <c:pt idx="22">
                  <c:v>105.34278830155256</c:v>
                </c:pt>
                <c:pt idx="23">
                  <c:v>108.30108690235906</c:v>
                </c:pt>
                <c:pt idx="24">
                  <c:v>111.20219348756777</c:v>
                </c:pt>
                <c:pt idx="25">
                  <c:v>114.03881689701724</c:v>
                </c:pt>
                <c:pt idx="26">
                  <c:v>116.80449138013174</c:v>
                </c:pt>
                <c:pt idx="27">
                  <c:v>119.49357289871926</c:v>
                </c:pt>
                <c:pt idx="28">
                  <c:v>131.64424248884569</c:v>
                </c:pt>
                <c:pt idx="29">
                  <c:v>141.39910750190612</c:v>
                </c:pt>
                <c:pt idx="30">
                  <c:v>148.52267421209379</c:v>
                </c:pt>
                <c:pt idx="31">
                  <c:v>152.59241611694952</c:v>
                </c:pt>
                <c:pt idx="32">
                  <c:v>152.50290249176405</c:v>
                </c:pt>
                <c:pt idx="33">
                  <c:v>145.48140080937361</c:v>
                </c:pt>
                <c:pt idx="34">
                  <c:v>126.18210502194898</c:v>
                </c:pt>
                <c:pt idx="35">
                  <c:v>95.988542072824444</c:v>
                </c:pt>
                <c:pt idx="36">
                  <c:v>73.336583528578004</c:v>
                </c:pt>
                <c:pt idx="37">
                  <c:v>62.318102603946357</c:v>
                </c:pt>
                <c:pt idx="38">
                  <c:v>57.393335867532954</c:v>
                </c:pt>
                <c:pt idx="39">
                  <c:v>55.288026520787326</c:v>
                </c:pt>
                <c:pt idx="40">
                  <c:v>54.55446815386702</c:v>
                </c:pt>
                <c:pt idx="41">
                  <c:v>54.525446517772053</c:v>
                </c:pt>
                <c:pt idx="42">
                  <c:v>54.86894133431764</c:v>
                </c:pt>
                <c:pt idx="43">
                  <c:v>55.408559057583219</c:v>
                </c:pt>
                <c:pt idx="44">
                  <c:v>56.045896535457999</c:v>
                </c:pt>
                <c:pt idx="45">
                  <c:v>56.724189730145966</c:v>
                </c:pt>
                <c:pt idx="46">
                  <c:v>57.410052540361335</c:v>
                </c:pt>
                <c:pt idx="47">
                  <c:v>58.083748786633805</c:v>
                </c:pt>
                <c:pt idx="48">
                  <c:v>58.733754035383981</c:v>
                </c:pt>
                <c:pt idx="49">
                  <c:v>59.353593322429163</c:v>
                </c:pt>
                <c:pt idx="50">
                  <c:v>59.939942249789084</c:v>
                </c:pt>
                <c:pt idx="51">
                  <c:v>60.49145663289498</c:v>
                </c:pt>
                <c:pt idx="52">
                  <c:v>61.008035994561951</c:v>
                </c:pt>
                <c:pt idx="53">
                  <c:v>61.490352507733476</c:v>
                </c:pt>
                <c:pt idx="54">
                  <c:v>61.93954610386848</c:v>
                </c:pt>
                <c:pt idx="55">
                  <c:v>62.357025609110181</c:v>
                </c:pt>
                <c:pt idx="56">
                  <c:v>62.744338619880281</c:v>
                </c:pt>
                <c:pt idx="57">
                  <c:v>63.103086524607846</c:v>
                </c:pt>
                <c:pt idx="58">
                  <c:v>63.434869479949853</c:v>
                </c:pt>
                <c:pt idx="59">
                  <c:v>63.741251411061128</c:v>
                </c:pt>
                <c:pt idx="60">
                  <c:v>64.023738460393929</c:v>
                </c:pt>
                <c:pt idx="61">
                  <c:v>64.283766483401124</c:v>
                </c:pt>
                <c:pt idx="62">
                  <c:v>64.5226946181849</c:v>
                </c:pt>
                <c:pt idx="63">
                  <c:v>64.741802906790284</c:v>
                </c:pt>
                <c:pt idx="64">
                  <c:v>64.942292585330861</c:v>
                </c:pt>
                <c:pt idx="65">
                  <c:v>65.125288094380323</c:v>
                </c:pt>
                <c:pt idx="66">
                  <c:v>65.29184015830522</c:v>
                </c:pt>
                <c:pt idx="67">
                  <c:v>65.442929487050364</c:v>
                </c:pt>
                <c:pt idx="68">
                  <c:v>65.579470795785667</c:v>
                </c:pt>
                <c:pt idx="69">
                  <c:v>65.702316936515402</c:v>
                </c:pt>
                <c:pt idx="70">
                  <c:v>65.812263004554239</c:v>
                </c:pt>
                <c:pt idx="71">
                  <c:v>65.910050330772407</c:v>
                </c:pt>
                <c:pt idx="72">
                  <c:v>65.996370303960902</c:v>
                </c:pt>
                <c:pt idx="73">
                  <c:v>66.071867990884897</c:v>
                </c:pt>
                <c:pt idx="74">
                  <c:v>66.13714553760785</c:v>
                </c:pt>
                <c:pt idx="75">
                  <c:v>66.192765346588118</c:v>
                </c:pt>
                <c:pt idx="76">
                  <c:v>66.2392530313778</c:v>
                </c:pt>
                <c:pt idx="77">
                  <c:v>66.277100155537156</c:v>
                </c:pt>
                <c:pt idx="78">
                  <c:v>66.306766765378484</c:v>
                </c:pt>
                <c:pt idx="79">
                  <c:v>66.328683727896504</c:v>
                </c:pt>
                <c:pt idx="80">
                  <c:v>66.343254886120278</c:v>
                </c:pt>
                <c:pt idx="81">
                  <c:v>66.350859044397396</c:v>
                </c:pt>
                <c:pt idx="82">
                  <c:v>66.351851795997362</c:v>
                </c:pt>
                <c:pt idx="83">
                  <c:v>66.346567205032159</c:v>
                </c:pt>
                <c:pt idx="84">
                  <c:v>66.33531935413599</c:v>
                </c:pt>
                <c:pt idx="85">
                  <c:v>66.318403768696385</c:v>
                </c:pt>
                <c:pt idx="86">
                  <c:v>66.296098727729927</c:v>
                </c:pt>
                <c:pt idx="87">
                  <c:v>66.268666470780985</c:v>
                </c:pt>
                <c:pt idx="88">
                  <c:v>66.236354309519783</c:v>
                </c:pt>
                <c:pt idx="89">
                  <c:v>66.199395652031725</c:v>
                </c:pt>
                <c:pt idx="90">
                  <c:v>66.158010947141733</c:v>
                </c:pt>
                <c:pt idx="91">
                  <c:v>66.112408555507741</c:v>
                </c:pt>
                <c:pt idx="92">
                  <c:v>66.06278555364328</c:v>
                </c:pt>
                <c:pt idx="93">
                  <c:v>66.009328476503754</c:v>
                </c:pt>
                <c:pt idx="94">
                  <c:v>65.952214003779005</c:v>
                </c:pt>
                <c:pt idx="95">
                  <c:v>65.891609594589596</c:v>
                </c:pt>
                <c:pt idx="96">
                  <c:v>65.827674074867829</c:v>
                </c:pt>
                <c:pt idx="97">
                  <c:v>65.760558181332826</c:v>
                </c:pt>
                <c:pt idx="98">
                  <c:v>65.690405065623168</c:v>
                </c:pt>
                <c:pt idx="99">
                  <c:v>65.617350761836732</c:v>
                </c:pt>
                <c:pt idx="100">
                  <c:v>65.54152462044442</c:v>
                </c:pt>
                <c:pt idx="101">
                  <c:v>65.463049711284299</c:v>
                </c:pt>
                <c:pt idx="102">
                  <c:v>65.382043198105322</c:v>
                </c:pt>
                <c:pt idx="103">
                  <c:v>65.298616686918081</c:v>
                </c:pt>
                <c:pt idx="104">
                  <c:v>65.212876550212926</c:v>
                </c:pt>
                <c:pt idx="105">
                  <c:v>65.124924228929686</c:v>
                </c:pt>
                <c:pt idx="106">
                  <c:v>65.034856513902426</c:v>
                </c:pt>
                <c:pt idx="107">
                  <c:v>64.942765808355702</c:v>
                </c:pt>
                <c:pt idx="108">
                  <c:v>64.848740372895605</c:v>
                </c:pt>
                <c:pt idx="109">
                  <c:v>64.752864554319117</c:v>
                </c:pt>
                <c:pt idx="110">
                  <c:v>64.655218999453879</c:v>
                </c:pt>
                <c:pt idx="111">
                  <c:v>64.55588085513979</c:v>
                </c:pt>
                <c:pt idx="112">
                  <c:v>64.454923955374866</c:v>
                </c:pt>
                <c:pt idx="113">
                  <c:v>64.352418996561568</c:v>
                </c:pt>
                <c:pt idx="114">
                  <c:v>64.248433701716138</c:v>
                </c:pt>
                <c:pt idx="115">
                  <c:v>64.143032974433581</c:v>
                </c:pt>
                <c:pt idx="116">
                  <c:v>64.036279043336918</c:v>
                </c:pt>
                <c:pt idx="117">
                  <c:v>63.928231597683848</c:v>
                </c:pt>
                <c:pt idx="118">
                  <c:v>63.818947914747866</c:v>
                </c:pt>
                <c:pt idx="119">
                  <c:v>63.70848297954646</c:v>
                </c:pt>
                <c:pt idx="120">
                  <c:v>63.596889597441972</c:v>
                </c:pt>
                <c:pt idx="121">
                  <c:v>63.484218500101576</c:v>
                </c:pt>
                <c:pt idx="122">
                  <c:v>63.37051844526556</c:v>
                </c:pt>
                <c:pt idx="123">
                  <c:v>63.25583631074042</c:v>
                </c:pt>
                <c:pt idx="124">
                  <c:v>63.140217182998427</c:v>
                </c:pt>
                <c:pt idx="125">
                  <c:v>63.023704440742634</c:v>
                </c:pt>
                <c:pt idx="126">
                  <c:v>62.906339833763852</c:v>
                </c:pt>
                <c:pt idx="127">
                  <c:v>62.78816355739697</c:v>
                </c:pt>
                <c:pt idx="128">
                  <c:v>62.66921432285892</c:v>
                </c:pt>
                <c:pt idx="129">
                  <c:v>62.549529423731215</c:v>
                </c:pt>
                <c:pt idx="130">
                  <c:v>62.429144798830862</c:v>
                </c:pt>
                <c:pt idx="131">
                  <c:v>62.308095091697353</c:v>
                </c:pt>
                <c:pt idx="132">
                  <c:v>62.186413706904617</c:v>
                </c:pt>
                <c:pt idx="133">
                  <c:v>62.064132863396424</c:v>
                </c:pt>
                <c:pt idx="134">
                  <c:v>61.941283645025351</c:v>
                </c:pt>
                <c:pt idx="135">
                  <c:v>61.817896048466778</c:v>
                </c:pt>
                <c:pt idx="136">
                  <c:v>61.693999028665644</c:v>
                </c:pt>
                <c:pt idx="137">
                  <c:v>61.569620541963445</c:v>
                </c:pt>
                <c:pt idx="138">
                  <c:v>61.444787587043535</c:v>
                </c:pt>
                <c:pt idx="139">
                  <c:v>61.319526243822992</c:v>
                </c:pt>
                <c:pt idx="140">
                  <c:v>61.193861710410914</c:v>
                </c:pt>
                <c:pt idx="141">
                  <c:v>61.067818338245246</c:v>
                </c:pt>
                <c:pt idx="142">
                  <c:v>60.941419665513706</c:v>
                </c:pt>
                <c:pt idx="143">
                  <c:v>60.814688448954982</c:v>
                </c:pt>
                <c:pt idx="144">
                  <c:v>60.687646694134244</c:v>
                </c:pt>
                <c:pt idx="145">
                  <c:v>60.560315684276674</c:v>
                </c:pt>
                <c:pt idx="146">
                  <c:v>60.432716007740751</c:v>
                </c:pt>
                <c:pt idx="147">
                  <c:v>60.304867584206235</c:v>
                </c:pt>
                <c:pt idx="148">
                  <c:v>60.176789689647251</c:v>
                </c:pt>
                <c:pt idx="149">
                  <c:v>60.048500980156945</c:v>
                </c:pt>
                <c:pt idx="150">
                  <c:v>59.920019514686174</c:v>
                </c:pt>
                <c:pt idx="151">
                  <c:v>59.7913627767538</c:v>
                </c:pt>
                <c:pt idx="152">
                  <c:v>59.662547695184244</c:v>
                </c:pt>
                <c:pt idx="153">
                  <c:v>59.533590663923263</c:v>
                </c:pt>
                <c:pt idx="154">
                  <c:v>59.404507560980718</c:v>
                </c:pt>
                <c:pt idx="155">
                  <c:v>59.275313766545636</c:v>
                </c:pt>
                <c:pt idx="156">
                  <c:v>59.146024180316644</c:v>
                </c:pt>
                <c:pt idx="157">
                  <c:v>59.016653238087642</c:v>
                </c:pt>
                <c:pt idx="158">
                  <c:v>58.887214927627568</c:v>
                </c:pt>
                <c:pt idx="159">
                  <c:v>58.757722803889052</c:v>
                </c:pt>
                <c:pt idx="160">
                  <c:v>58.628190003580784</c:v>
                </c:pt>
                <c:pt idx="161">
                  <c:v>58.49862925913375</c:v>
                </c:pt>
                <c:pt idx="162">
                  <c:v>58.369052912093579</c:v>
                </c:pt>
                <c:pt idx="163">
                  <c:v>58.239472925965032</c:v>
                </c:pt>
                <c:pt idx="164">
                  <c:v>58.109900898537177</c:v>
                </c:pt>
                <c:pt idx="165">
                  <c:v>57.980348073713245</c:v>
                </c:pt>
                <c:pt idx="166">
                  <c:v>57.850825352869791</c:v>
                </c:pt>
                <c:pt idx="167">
                  <c:v>57.721343305766908</c:v>
                </c:pt>
                <c:pt idx="168">
                  <c:v>57.591912181031802</c:v>
                </c:pt>
                <c:pt idx="169">
                  <c:v>57.462541916234983</c:v>
                </c:pt>
                <c:pt idx="170">
                  <c:v>57.333242147578446</c:v>
                </c:pt>
                <c:pt idx="171">
                  <c:v>57.20402221921394</c:v>
                </c:pt>
                <c:pt idx="172">
                  <c:v>57.07489119220854</c:v>
                </c:pt>
                <c:pt idx="173">
                  <c:v>56.945857853173138</c:v>
                </c:pt>
                <c:pt idx="174">
                  <c:v>56.816930722569694</c:v>
                </c:pt>
                <c:pt idx="175">
                  <c:v>56.688118062711624</c:v>
                </c:pt>
                <c:pt idx="176">
                  <c:v>56.559427885471024</c:v>
                </c:pt>
                <c:pt idx="177">
                  <c:v>56.430867959705935</c:v>
                </c:pt>
                <c:pt idx="178">
                  <c:v>56.302445818419514</c:v>
                </c:pt>
                <c:pt idx="179">
                  <c:v>56.174168765664149</c:v>
                </c:pt>
                <c:pt idx="180">
                  <c:v>56.046043883199303</c:v>
                </c:pt>
                <c:pt idx="181">
                  <c:v>55.918078036916953</c:v>
                </c:pt>
                <c:pt idx="182">
                  <c:v>55.790277883041455</c:v>
                </c:pt>
                <c:pt idx="183">
                  <c:v>55.662649874115644</c:v>
                </c:pt>
                <c:pt idx="184">
                  <c:v>55.535200264780954</c:v>
                </c:pt>
                <c:pt idx="185">
                  <c:v>55.407935117361632</c:v>
                </c:pt>
                <c:pt idx="186">
                  <c:v>55.280860307258592</c:v>
                </c:pt>
                <c:pt idx="187">
                  <c:v>55.153981528164508</c:v>
                </c:pt>
                <c:pt idx="188">
                  <c:v>55.027304297104209</c:v>
                </c:pt>
                <c:pt idx="189">
                  <c:v>54.900833959308997</c:v>
                </c:pt>
                <c:pt idx="190">
                  <c:v>54.774575692931947</c:v>
                </c:pt>
                <c:pt idx="191">
                  <c:v>54.648534513609732</c:v>
                </c:pt>
                <c:pt idx="192">
                  <c:v>54.522715278877314</c:v>
                </c:pt>
                <c:pt idx="193">
                  <c:v>54.397122692441812</c:v>
                </c:pt>
                <c:pt idx="194">
                  <c:v>54.271761308320677</c:v>
                </c:pt>
                <c:pt idx="195">
                  <c:v>54.14663553484975</c:v>
                </c:pt>
                <c:pt idx="196">
                  <c:v>54.021749638565538</c:v>
                </c:pt>
                <c:pt idx="197">
                  <c:v>53.897107747967908</c:v>
                </c:pt>
                <c:pt idx="198">
                  <c:v>53.772713857166281</c:v>
                </c:pt>
                <c:pt idx="199">
                  <c:v>53.648571829415033</c:v>
                </c:pt>
                <c:pt idx="200">
                  <c:v>53.524685400541159</c:v>
                </c:pt>
                <c:pt idx="201">
                  <c:v>53.401058182269296</c:v>
                </c:pt>
                <c:pt idx="202">
                  <c:v>53.277693665447032</c:v>
                </c:pt>
                <c:pt idx="203">
                  <c:v>53.154595223174724</c:v>
                </c:pt>
                <c:pt idx="204">
                  <c:v>53.031766113843219</c:v>
                </c:pt>
                <c:pt idx="205">
                  <c:v>52.909209484082439</c:v>
                </c:pt>
                <c:pt idx="206">
                  <c:v>52.786928371624768</c:v>
                </c:pt>
                <c:pt idx="207">
                  <c:v>52.664925708085676</c:v>
                </c:pt>
                <c:pt idx="208">
                  <c:v>52.543204321664845</c:v>
                </c:pt>
                <c:pt idx="209">
                  <c:v>52.421766939770379</c:v>
                </c:pt>
                <c:pt idx="210">
                  <c:v>52.300616191568906</c:v>
                </c:pt>
                <c:pt idx="211">
                  <c:v>52.179754610464258</c:v>
                </c:pt>
                <c:pt idx="212">
                  <c:v>52.059184636507382</c:v>
                </c:pt>
                <c:pt idx="213">
                  <c:v>51.938908618738566</c:v>
                </c:pt>
                <c:pt idx="214">
                  <c:v>51.818928817466684</c:v>
                </c:pt>
                <c:pt idx="215">
                  <c:v>51.699247406484886</c:v>
                </c:pt>
                <c:pt idx="216">
                  <c:v>51.579866475226794</c:v>
                </c:pt>
                <c:pt idx="217">
                  <c:v>51.460788030864734</c:v>
                </c:pt>
                <c:pt idx="218">
                  <c:v>51.342014000350929</c:v>
                </c:pt>
                <c:pt idx="219">
                  <c:v>51.223546232405198</c:v>
                </c:pt>
                <c:pt idx="220">
                  <c:v>51.105386499449338</c:v>
                </c:pt>
                <c:pt idx="221">
                  <c:v>50.987536499491</c:v>
                </c:pt>
                <c:pt idx="222">
                  <c:v>50.869997857958197</c:v>
                </c:pt>
                <c:pt idx="223">
                  <c:v>50.752772129485862</c:v>
                </c:pt>
                <c:pt idx="224">
                  <c:v>50.635860799656456</c:v>
                </c:pt>
                <c:pt idx="225">
                  <c:v>50.519265286695742</c:v>
                </c:pt>
                <c:pt idx="226">
                  <c:v>49.370947120539171</c:v>
                </c:pt>
                <c:pt idx="227">
                  <c:v>48.255329181355563</c:v>
                </c:pt>
                <c:pt idx="228">
                  <c:v>47.17294230822273</c:v>
                </c:pt>
                <c:pt idx="229">
                  <c:v>46.123923198475467</c:v>
                </c:pt>
                <c:pt idx="230">
                  <c:v>45.108102330190633</c:v>
                </c:pt>
                <c:pt idx="231">
                  <c:v>44.125073940896471</c:v>
                </c:pt>
                <c:pt idx="232">
                  <c:v>43.174252014781018</c:v>
                </c:pt>
                <c:pt idx="233">
                  <c:v>42.254915220281362</c:v>
                </c:pt>
                <c:pt idx="234">
                  <c:v>41.366243031498499</c:v>
                </c:pt>
                <c:pt idx="235">
                  <c:v>40.507344758907919</c:v>
                </c:pt>
                <c:pt idx="236">
                  <c:v>39.677282842589307</c:v>
                </c:pt>
                <c:pt idx="237">
                  <c:v>38.875091482712719</c:v>
                </c:pt>
                <c:pt idx="238">
                  <c:v>38.099791469680497</c:v>
                </c:pt>
                <c:pt idx="239">
                  <c:v>37.350401911632076</c:v>
                </c:pt>
                <c:pt idx="240">
                  <c:v>36.625949427375105</c:v>
                </c:pt>
                <c:pt idx="241">
                  <c:v>35.925475269470013</c:v>
                </c:pt>
                <c:pt idx="242">
                  <c:v>35.248040758964436</c:v>
                </c:pt>
                <c:pt idx="243">
                  <c:v>34.592731345693153</c:v>
                </c:pt>
                <c:pt idx="244">
                  <c:v>33.95865955280928</c:v>
                </c:pt>
                <c:pt idx="245">
                  <c:v>33.344967018840578</c:v>
                </c:pt>
                <c:pt idx="246">
                  <c:v>32.750825813146776</c:v>
                </c:pt>
                <c:pt idx="247">
                  <c:v>32.175439169729344</c:v>
                </c:pt>
                <c:pt idx="248">
                  <c:v>31.618041758732005</c:v>
                </c:pt>
                <c:pt idx="249">
                  <c:v>31.077899593741108</c:v>
                </c:pt>
                <c:pt idx="250">
                  <c:v>30.554309655381218</c:v>
                </c:pt>
                <c:pt idx="251">
                  <c:v>30.046599297096748</c:v>
                </c:pt>
                <c:pt idx="252">
                  <c:v>29.554125486895259</c:v>
                </c:pt>
                <c:pt idx="253">
                  <c:v>29.076273928791096</c:v>
                </c:pt>
                <c:pt idx="254">
                  <c:v>28.612458099377022</c:v>
                </c:pt>
                <c:pt idx="255">
                  <c:v>28.162118228080175</c:v>
                </c:pt>
                <c:pt idx="256">
                  <c:v>27.724720243984194</c:v>
                </c:pt>
                <c:pt idx="257">
                  <c:v>27.299754707421101</c:v>
                </c:pt>
                <c:pt idx="258">
                  <c:v>26.886735740692188</c:v>
                </c:pt>
                <c:pt idx="259">
                  <c:v>26.485199969115712</c:v>
                </c:pt>
                <c:pt idx="260">
                  <c:v>26.094705481018707</c:v>
                </c:pt>
                <c:pt idx="261">
                  <c:v>25.714830813178366</c:v>
                </c:pt>
                <c:pt idx="262">
                  <c:v>25.345173966506366</c:v>
                </c:pt>
                <c:pt idx="263">
                  <c:v>24.985351455379686</c:v>
                </c:pt>
                <c:pt idx="264">
                  <c:v>24.634997392905632</c:v>
                </c:pt>
                <c:pt idx="265">
                  <c:v>24.293762613510381</c:v>
                </c:pt>
                <c:pt idx="266">
                  <c:v>23.961313833530966</c:v>
                </c:pt>
                <c:pt idx="267">
                  <c:v>23.637332849928526</c:v>
                </c:pt>
                <c:pt idx="268">
                  <c:v>23.32151577680213</c:v>
                </c:pt>
                <c:pt idx="269">
                  <c:v>23.013572319047427</c:v>
                </c:pt>
                <c:pt idx="270">
                  <c:v>22.713225082249352</c:v>
                </c:pt>
                <c:pt idx="271">
                  <c:v>22.420208917711363</c:v>
                </c:pt>
                <c:pt idx="272">
                  <c:v>22.134270301390046</c:v>
                </c:pt>
                <c:pt idx="273">
                  <c:v>21.855166745415204</c:v>
                </c:pt>
                <c:pt idx="274">
                  <c:v>21.582666240820515</c:v>
                </c:pt>
                <c:pt idx="275">
                  <c:v>21.316546730082649</c:v>
                </c:pt>
                <c:pt idx="276">
                  <c:v>21.056595608061485</c:v>
                </c:pt>
                <c:pt idx="277">
                  <c:v>20.802609249946443</c:v>
                </c:pt>
                <c:pt idx="278">
                  <c:v>20.554392564837798</c:v>
                </c:pt>
                <c:pt idx="279">
                  <c:v>20.311758573626463</c:v>
                </c:pt>
                <c:pt idx="280">
                  <c:v>20.074528009878662</c:v>
                </c:pt>
                <c:pt idx="281">
                  <c:v>19.842528942476719</c:v>
                </c:pt>
                <c:pt idx="282">
                  <c:v>19.615596418818797</c:v>
                </c:pt>
                <c:pt idx="283">
                  <c:v>19.393572127432606</c:v>
                </c:pt>
                <c:pt idx="284">
                  <c:v>19.176304078911016</c:v>
                </c:pt>
                <c:pt idx="285">
                  <c:v>18.963646304130805</c:v>
                </c:pt>
                <c:pt idx="286">
                  <c:v>18.75545856876866</c:v>
                </c:pt>
                <c:pt idx="287">
                  <c:v>18.55160610318174</c:v>
                </c:pt>
                <c:pt idx="288">
                  <c:v>18.351959346768467</c:v>
                </c:pt>
                <c:pt idx="289">
                  <c:v>18.156393705976086</c:v>
                </c:pt>
                <c:pt idx="290">
                  <c:v>17.964789325166862</c:v>
                </c:pt>
                <c:pt idx="291">
                  <c:v>17.777030869602186</c:v>
                </c:pt>
                <c:pt idx="292">
                  <c:v>17.59300731984419</c:v>
                </c:pt>
                <c:pt idx="293">
                  <c:v>17.412611776917402</c:v>
                </c:pt>
                <c:pt idx="294">
                  <c:v>17.235741277611396</c:v>
                </c:pt>
                <c:pt idx="295">
                  <c:v>17.062296619341623</c:v>
                </c:pt>
                <c:pt idx="296">
                  <c:v>16.892182194022041</c:v>
                </c:pt>
                <c:pt idx="297">
                  <c:v>16.725305830432887</c:v>
                </c:pt>
                <c:pt idx="298">
                  <c:v>16.561578644602946</c:v>
                </c:pt>
                <c:pt idx="299">
                  <c:v>16.400914897749431</c:v>
                </c:pt>
                <c:pt idx="300">
                  <c:v>16.243231861350296</c:v>
                </c:pt>
                <c:pt idx="301">
                  <c:v>16.08844968894644</c:v>
                </c:pt>
                <c:pt idx="302">
                  <c:v>15.936491294299088</c:v>
                </c:pt>
                <c:pt idx="303">
                  <c:v>15.787282235546002</c:v>
                </c:pt>
                <c:pt idx="304">
                  <c:v>15.640750605025914</c:v>
                </c:pt>
                <c:pt idx="305">
                  <c:v>15.496826924457196</c:v>
                </c:pt>
                <c:pt idx="306">
                  <c:v>15.355444045177421</c:v>
                </c:pt>
                <c:pt idx="307">
                  <c:v>15.216537053168139</c:v>
                </c:pt>
                <c:pt idx="308">
                  <c:v>15.080043178603688</c:v>
                </c:pt>
                <c:pt idx="309">
                  <c:v>14.945901709682062</c:v>
                </c:pt>
                <c:pt idx="310">
                  <c:v>14.81405391050555</c:v>
                </c:pt>
                <c:pt idx="311">
                  <c:v>14.684442942797091</c:v>
                </c:pt>
                <c:pt idx="312">
                  <c:v>14.557013791247641</c:v>
                </c:pt>
                <c:pt idx="313">
                  <c:v>14.431713192303562</c:v>
                </c:pt>
                <c:pt idx="314">
                  <c:v>14.308489566213751</c:v>
                </c:pt>
                <c:pt idx="315">
                  <c:v>14.187292952166246</c:v>
                </c:pt>
                <c:pt idx="316">
                  <c:v>14.06807494635467</c:v>
                </c:pt>
                <c:pt idx="317">
                  <c:v>13.950788642823682</c:v>
                </c:pt>
                <c:pt idx="318">
                  <c:v>13.835388576950947</c:v>
                </c:pt>
                <c:pt idx="319">
                  <c:v>13.721830671431604</c:v>
                </c:pt>
                <c:pt idx="320">
                  <c:v>13.610072184639336</c:v>
                </c:pt>
                <c:pt idx="321">
                  <c:v>13.500071661243567</c:v>
                </c:pt>
                <c:pt idx="322">
                  <c:v>13.391788884971305</c:v>
                </c:pt>
                <c:pt idx="323">
                  <c:v>13.285184833406134</c:v>
                </c:pt>
                <c:pt idx="324">
                  <c:v>13.180221634724887</c:v>
                </c:pt>
                <c:pt idx="325">
                  <c:v>13.076862526276358</c:v>
                </c:pt>
                <c:pt idx="326">
                  <c:v>12.975071814912496</c:v>
                </c:pt>
                <c:pt idx="327">
                  <c:v>12.874814838987334</c:v>
                </c:pt>
                <c:pt idx="328">
                  <c:v>12.776057931943427</c:v>
                </c:pt>
                <c:pt idx="329">
                  <c:v>12.678768387409605</c:v>
                </c:pt>
                <c:pt idx="330">
                  <c:v>12.582914425738579</c:v>
                </c:pt>
                <c:pt idx="331">
                  <c:v>12.488465161916253</c:v>
                </c:pt>
                <c:pt idx="332">
                  <c:v>12.395390574777792</c:v>
                </c:pt>
                <c:pt idx="333">
                  <c:v>12.303661477470712</c:v>
                </c:pt>
                <c:pt idx="334">
                  <c:v>12.213249489105749</c:v>
                </c:pt>
                <c:pt idx="335">
                  <c:v>12.124127007541432</c:v>
                </c:pt>
                <c:pt idx="336">
                  <c:v>12.036267183250459</c:v>
                </c:pt>
                <c:pt idx="337">
                  <c:v>11.949643894218696</c:v>
                </c:pt>
                <c:pt idx="338">
                  <c:v>11.864231721828759</c:v>
                </c:pt>
                <c:pt idx="339">
                  <c:v>11.780005927686091</c:v>
                </c:pt>
                <c:pt idx="340">
                  <c:v>11.696942431343189</c:v>
                </c:pt>
                <c:pt idx="341">
                  <c:v>11.615017788883222</c:v>
                </c:pt>
                <c:pt idx="342">
                  <c:v>11.534209172324694</c:v>
                </c:pt>
                <c:pt idx="343">
                  <c:v>11.454494349811029</c:v>
                </c:pt>
                <c:pt idx="344">
                  <c:v>11.375851666550858</c:v>
                </c:pt>
                <c:pt idx="345">
                  <c:v>11.298260026475788</c:v>
                </c:pt>
                <c:pt idx="346">
                  <c:v>11.221698874585911</c:v>
                </c:pt>
                <c:pt idx="347">
                  <c:v>11.146148179951979</c:v>
                </c:pt>
                <c:pt idx="348">
                  <c:v>11.07158841934725</c:v>
                </c:pt>
                <c:pt idx="349">
                  <c:v>10.998000561481859</c:v>
                </c:pt>
                <c:pt idx="350">
                  <c:v>10.925366051814052</c:v>
                </c:pt>
                <c:pt idx="351">
                  <c:v>10.853666797914315</c:v>
                </c:pt>
                <c:pt idx="352">
                  <c:v>10.782885155359594</c:v>
                </c:pt>
                <c:pt idx="353">
                  <c:v>10.713003914134674</c:v>
                </c:pt>
                <c:pt idx="354">
                  <c:v>10.644006285520447</c:v>
                </c:pt>
                <c:pt idx="355">
                  <c:v>10.575875889449208</c:v>
                </c:pt>
                <c:pt idx="356">
                  <c:v>10.50859674230685</c:v>
                </c:pt>
                <c:pt idx="357">
                  <c:v>10.442153245165571</c:v>
                </c:pt>
                <c:pt idx="358">
                  <c:v>10.376530172427294</c:v>
                </c:pt>
                <c:pt idx="359">
                  <c:v>10.311712660863634</c:v>
                </c:pt>
                <c:pt idx="360">
                  <c:v>10.247686199035229</c:v>
                </c:pt>
                <c:pt idx="361">
                  <c:v>10.184436617074937</c:v>
                </c:pt>
                <c:pt idx="362">
                  <c:v>10.121950076822543</c:v>
                </c:pt>
                <c:pt idx="363">
                  <c:v>10.060213062293997</c:v>
                </c:pt>
                <c:pt idx="364">
                  <c:v>9.9992123704755045</c:v>
                </c:pt>
                <c:pt idx="365">
                  <c:v>9.9389351024269104</c:v>
                </c:pt>
                <c:pt idx="366">
                  <c:v>9.8793686546843844</c:v>
                </c:pt>
                <c:pt idx="367">
                  <c:v>9.8205007109493181</c:v>
                </c:pt>
                <c:pt idx="368">
                  <c:v>9.7623192340541038</c:v>
                </c:pt>
                <c:pt idx="369">
                  <c:v>9.7048124581926913</c:v>
                </c:pt>
                <c:pt idx="370">
                  <c:v>9.6479688814066833</c:v>
                </c:pt>
                <c:pt idx="371">
                  <c:v>9.5917772583172223</c:v>
                </c:pt>
                <c:pt idx="372">
                  <c:v>9.5362265930931187</c:v>
                </c:pt>
                <c:pt idx="373">
                  <c:v>9.48130613264712</c:v>
                </c:pt>
                <c:pt idx="374">
                  <c:v>9.4270053600504298</c:v>
                </c:pt>
                <c:pt idx="375">
                  <c:v>9.3733139881593956</c:v>
                </c:pt>
                <c:pt idx="376">
                  <c:v>9.320221953444161</c:v>
                </c:pt>
                <c:pt idx="377">
                  <c:v>9.267719410014422</c:v>
                </c:pt>
                <c:pt idx="378">
                  <c:v>9.2157967238327956</c:v>
                </c:pt>
                <c:pt idx="379">
                  <c:v>9.164444467110485</c:v>
                </c:pt>
                <c:pt idx="380">
                  <c:v>9.1136534128780227</c:v>
                </c:pt>
                <c:pt idx="381">
                  <c:v>9.0634145297250939</c:v>
                </c:pt>
                <c:pt idx="382">
                  <c:v>9.0137189767029611</c:v>
                </c:pt>
                <c:pt idx="383">
                  <c:v>8.9645580983842592</c:v>
                </c:pt>
                <c:pt idx="384">
                  <c:v>8.9159234200739661</c:v>
                </c:pt>
                <c:pt idx="385">
                  <c:v>8.8678066431669151</c:v>
                </c:pt>
                <c:pt idx="386">
                  <c:v>8.8201996406457965</c:v>
                </c:pt>
                <c:pt idx="387">
                  <c:v>8.7730944527159807</c:v>
                </c:pt>
                <c:pt idx="388">
                  <c:v>8.7264832825708254</c:v>
                </c:pt>
                <c:pt idx="389">
                  <c:v>8.6803584922846539</c:v>
                </c:pt>
                <c:pt idx="390">
                  <c:v>8.6347125988274911</c:v>
                </c:pt>
                <c:pt idx="391">
                  <c:v>8.5895382701982896</c:v>
                </c:pt>
                <c:pt idx="392">
                  <c:v>8.5448283216725827</c:v>
                </c:pt>
                <c:pt idx="393">
                  <c:v>8.5005757121599288</c:v>
                </c:pt>
                <c:pt idx="394">
                  <c:v>8.4567735406683369</c:v>
                </c:pt>
                <c:pt idx="395">
                  <c:v>8.4134150428716623</c:v>
                </c:pt>
                <c:pt idx="396">
                  <c:v>8.3704935877762523</c:v>
                </c:pt>
                <c:pt idx="397">
                  <c:v>8.3280026744840825</c:v>
                </c:pt>
                <c:pt idx="398">
                  <c:v>8.285935929048776</c:v>
                </c:pt>
                <c:pt idx="399">
                  <c:v>8.2442871014213495</c:v>
                </c:pt>
                <c:pt idx="400">
                  <c:v>8.2030500624836975</c:v>
                </c:pt>
                <c:pt idx="401">
                  <c:v>8.1622188011651247</c:v>
                </c:pt>
                <c:pt idx="402">
                  <c:v>8.1217874216407893</c:v>
                </c:pt>
                <c:pt idx="403">
                  <c:v>8.0817501406091026</c:v>
                </c:pt>
                <c:pt idx="404">
                  <c:v>8.0421012846450424</c:v>
                </c:pt>
                <c:pt idx="405">
                  <c:v>8.0028352876267377</c:v>
                </c:pt>
                <c:pt idx="406">
                  <c:v>7.9639466882345005</c:v>
                </c:pt>
                <c:pt idx="407">
                  <c:v>7.9254301275176715</c:v>
                </c:pt>
                <c:pt idx="408">
                  <c:v>7.8872803465293089</c:v>
                </c:pt>
                <c:pt idx="409">
                  <c:v>7.8494921840251664</c:v>
                </c:pt>
                <c:pt idx="410">
                  <c:v>7.8120605742255123</c:v>
                </c:pt>
                <c:pt idx="411">
                  <c:v>7.7749805446375149</c:v>
                </c:pt>
                <c:pt idx="412">
                  <c:v>7.7382472139368303</c:v>
                </c:pt>
                <c:pt idx="413">
                  <c:v>7.7018557899058919</c:v>
                </c:pt>
                <c:pt idx="414">
                  <c:v>7.6658015674274793</c:v>
                </c:pt>
                <c:pt idx="415">
                  <c:v>7.6300799265319768</c:v>
                </c:pt>
                <c:pt idx="416">
                  <c:v>7.5946863304962733</c:v>
                </c:pt>
                <c:pt idx="417">
                  <c:v>7.5596163239932537</c:v>
                </c:pt>
                <c:pt idx="418">
                  <c:v>7.5248655312899473</c:v>
                </c:pt>
                <c:pt idx="419">
                  <c:v>7.4904296544926012</c:v>
                </c:pt>
                <c:pt idx="420">
                  <c:v>7.4563044718383082</c:v>
                </c:pt>
                <c:pt idx="421">
                  <c:v>7.422485836030404</c:v>
                </c:pt>
                <c:pt idx="422">
                  <c:v>7.3889696726175487</c:v>
                </c:pt>
                <c:pt idx="423">
                  <c:v>7.3557519784141903</c:v>
                </c:pt>
                <c:pt idx="424">
                  <c:v>7.3228288199620408</c:v>
                </c:pt>
                <c:pt idx="425">
                  <c:v>7.2901963320304617</c:v>
                </c:pt>
                <c:pt idx="426">
                  <c:v>7.2578507161558719</c:v>
                </c:pt>
                <c:pt idx="427">
                  <c:v>7.2257882392171666</c:v>
                </c:pt>
                <c:pt idx="428">
                  <c:v>7.1940052320483687</c:v>
                </c:pt>
                <c:pt idx="429">
                  <c:v>7.1624980880850444</c:v>
                </c:pt>
                <c:pt idx="430">
                  <c:v>7.1312632620456498</c:v>
                </c:pt>
                <c:pt idx="431">
                  <c:v>7.1002972686451642</c:v>
                </c:pt>
                <c:pt idx="432">
                  <c:v>7.0695966813414941</c:v>
                </c:pt>
                <c:pt idx="433">
                  <c:v>7.0391581311119182</c:v>
                </c:pt>
                <c:pt idx="434">
                  <c:v>7.008978305260797</c:v>
                </c:pt>
                <c:pt idx="435">
                  <c:v>6.9790539462559309</c:v>
                </c:pt>
                <c:pt idx="436">
                  <c:v>6.9493818505937952</c:v>
                </c:pt>
                <c:pt idx="437">
                  <c:v>6.9199588676922019</c:v>
                </c:pt>
                <c:pt idx="438">
                  <c:v>6.8907818988102179</c:v>
                </c:pt>
                <c:pt idx="439">
                  <c:v>6.8618478959938329</c:v>
                </c:pt>
                <c:pt idx="440">
                  <c:v>6.8331538610476343</c:v>
                </c:pt>
                <c:pt idx="441">
                  <c:v>6.8046968445306959</c:v>
                </c:pt>
                <c:pt idx="442">
                  <c:v>6.7764739447765976</c:v>
                </c:pt>
                <c:pt idx="443">
                  <c:v>6.7484823069370066</c:v>
                </c:pt>
                <c:pt idx="444">
                  <c:v>6.7207191220481093</c:v>
                </c:pt>
                <c:pt idx="445">
                  <c:v>6.6931816261186441</c:v>
                </c:pt>
                <c:pt idx="446">
                  <c:v>6.6658670992399323</c:v>
                </c:pt>
                <c:pt idx="447">
                  <c:v>6.6387728647165432</c:v>
                </c:pt>
                <c:pt idx="448">
                  <c:v>6.6118962882175083</c:v>
                </c:pt>
                <c:pt idx="449">
                  <c:v>6.5852347769472885</c:v>
                </c:pt>
                <c:pt idx="450">
                  <c:v>6.55878577883567</c:v>
                </c:pt>
                <c:pt idx="451">
                  <c:v>6.5325467817470724</c:v>
                </c:pt>
                <c:pt idx="452">
                  <c:v>6.5065153127075064</c:v>
                </c:pt>
                <c:pt idx="453">
                  <c:v>6.4806889371496652</c:v>
                </c:pt>
                <c:pt idx="454">
                  <c:v>6.4550652581748977</c:v>
                </c:pt>
                <c:pt idx="455">
                  <c:v>6.4296419158327751</c:v>
                </c:pt>
                <c:pt idx="456">
                  <c:v>6.4044165864159766</c:v>
                </c:pt>
                <c:pt idx="457">
                  <c:v>6.3793869817721998</c:v>
                </c:pt>
                <c:pt idx="458">
                  <c:v>6.354550848630879</c:v>
                </c:pt>
                <c:pt idx="459">
                  <c:v>6.3299059679452796</c:v>
                </c:pt>
                <c:pt idx="460">
                  <c:v>6.3054501542494279</c:v>
                </c:pt>
                <c:pt idx="461">
                  <c:v>6.2811812550293951</c:v>
                </c:pt>
                <c:pt idx="462">
                  <c:v>6.2570971501083363</c:v>
                </c:pt>
                <c:pt idx="463">
                  <c:v>6.2331957510453719</c:v>
                </c:pt>
                <c:pt idx="464">
                  <c:v>6.2094750005477408</c:v>
                </c:pt>
                <c:pt idx="465">
                  <c:v>6.1859328718957727</c:v>
                </c:pt>
                <c:pt idx="466">
                  <c:v>6.1625673683807634</c:v>
                </c:pt>
                <c:pt idx="467">
                  <c:v>6.1393765227546169</c:v>
                </c:pt>
                <c:pt idx="468">
                  <c:v>6.1163583966920783</c:v>
                </c:pt>
                <c:pt idx="469">
                  <c:v>6.093511080264193</c:v>
                </c:pt>
                <c:pt idx="470">
                  <c:v>6.0708326914233339</c:v>
                </c:pt>
                <c:pt idx="471">
                  <c:v>6.0483213754994551</c:v>
                </c:pt>
                <c:pt idx="472">
                  <c:v>6.0259753047067761</c:v>
                </c:pt>
                <c:pt idx="473">
                  <c:v>6.0037926776616075</c:v>
                </c:pt>
                <c:pt idx="474">
                  <c:v>5.9817717189097266</c:v>
                </c:pt>
                <c:pt idx="475">
                  <c:v>5.9599106784647802</c:v>
                </c:pt>
                <c:pt idx="476">
                  <c:v>5.9382078313553563</c:v>
                </c:pt>
                <c:pt idx="477">
                  <c:v>5.9166614771824868</c:v>
                </c:pt>
                <c:pt idx="478">
                  <c:v>5.8952699396860737</c:v>
                </c:pt>
                <c:pt idx="479">
                  <c:v>5.8740315663204683</c:v>
                </c:pt>
                <c:pt idx="480">
                  <c:v>5.8529447278390023</c:v>
                </c:pt>
                <c:pt idx="481">
                  <c:v>5.8320078178871029</c:v>
                </c:pt>
                <c:pt idx="482">
                  <c:v>5.8112192526038768</c:v>
                </c:pt>
                <c:pt idx="483">
                  <c:v>5.7905774702317956</c:v>
                </c:pt>
                <c:pt idx="484">
                  <c:v>5.7700809307349914</c:v>
                </c:pt>
                <c:pt idx="485">
                  <c:v>5.7497281154244604</c:v>
                </c:pt>
                <c:pt idx="486">
                  <c:v>5.7295175265918772</c:v>
                </c:pt>
                <c:pt idx="487">
                  <c:v>5.7094476871504298</c:v>
                </c:pt>
                <c:pt idx="488">
                  <c:v>5.68951714028276</c:v>
                </c:pt>
                <c:pt idx="489">
                  <c:v>5.6697244490966625</c:v>
                </c:pt>
                <c:pt idx="490">
                  <c:v>5.6500681962872648</c:v>
                </c:pt>
                <c:pt idx="491">
                  <c:v>5.6305469838060844</c:v>
                </c:pt>
                <c:pt idx="492">
                  <c:v>5.611159432537022</c:v>
                </c:pt>
                <c:pt idx="493">
                  <c:v>5.5919041819783502</c:v>
                </c:pt>
                <c:pt idx="494">
                  <c:v>5.5727798899316099</c:v>
                </c:pt>
                <c:pt idx="495">
                  <c:v>5.5537852321963612</c:v>
                </c:pt>
                <c:pt idx="496">
                  <c:v>5.5349189022709027</c:v>
                </c:pt>
                <c:pt idx="497">
                  <c:v>5.5161796110593002</c:v>
                </c:pt>
                <c:pt idx="498">
                  <c:v>5.4975660865837028</c:v>
                </c:pt>
                <c:pt idx="499">
                  <c:v>5.4790770737029106</c:v>
                </c:pt>
                <c:pt idx="500">
                  <c:v>5.4607113338358317</c:v>
                </c:pt>
                <c:pt idx="501">
                  <c:v>5.4424676446905949</c:v>
                </c:pt>
                <c:pt idx="502">
                  <c:v>5.424344799999318</c:v>
                </c:pt>
                <c:pt idx="503">
                  <c:v>5.4063416092572538</c:v>
                </c:pt>
                <c:pt idx="504">
                  <c:v>5.3884568974677052</c:v>
                </c:pt>
                <c:pt idx="505">
                  <c:v>5.3706895048914589</c:v>
                </c:pt>
                <c:pt idx="506">
                  <c:v>5.3530382868008815</c:v>
                </c:pt>
                <c:pt idx="507">
                  <c:v>5.3355021132394995</c:v>
                </c:pt>
                <c:pt idx="508">
                  <c:v>5.3180798687852757</c:v>
                </c:pt>
                <c:pt idx="509">
                  <c:v>5.3007704523187442</c:v>
                </c:pt>
                <c:pt idx="510">
                  <c:v>5.2835727767959781</c:v>
                </c:pt>
                <c:pt idx="511">
                  <c:v>5.2664857690248255</c:v>
                </c:pt>
                <c:pt idx="512">
                  <c:v>5.2495083694467723</c:v>
                </c:pt>
                <c:pt idx="513">
                  <c:v>5.2326395319213646</c:v>
                </c:pt>
                <c:pt idx="514">
                  <c:v>5.2158782235160572</c:v>
                </c:pt>
                <c:pt idx="515">
                  <c:v>5.1992234242990776</c:v>
                </c:pt>
                <c:pt idx="516">
                  <c:v>5.1826741271364654</c:v>
                </c:pt>
                <c:pt idx="517">
                  <c:v>5.1662293374930357</c:v>
                </c:pt>
                <c:pt idx="518">
                  <c:v>5.1498880732368093</c:v>
                </c:pt>
                <c:pt idx="519">
                  <c:v>5.133649364446967</c:v>
                </c:pt>
                <c:pt idx="520">
                  <c:v>5.1175122532258683</c:v>
                </c:pt>
                <c:pt idx="521">
                  <c:v>5.1014757935136856</c:v>
                </c:pt>
                <c:pt idx="522">
                  <c:v>5.0855390509073288</c:v>
                </c:pt>
                <c:pt idx="523">
                  <c:v>5.0697011024820142</c:v>
                </c:pt>
                <c:pt idx="524">
                  <c:v>5.0539610366163856</c:v>
                </c:pt>
                <c:pt idx="525">
                  <c:v>5.038317952820762</c:v>
                </c:pt>
                <c:pt idx="526">
                  <c:v>5.022770961568483</c:v>
                </c:pt>
                <c:pt idx="527">
                  <c:v>5.0073191841302673</c:v>
                </c:pt>
                <c:pt idx="528">
                  <c:v>4.9919617524115836</c:v>
                </c:pt>
                <c:pt idx="529">
                  <c:v>4.9766978087929772</c:v>
                </c:pt>
                <c:pt idx="530">
                  <c:v>4.9615265059730689</c:v>
                </c:pt>
                <c:pt idx="531">
                  <c:v>4.9464470068147932</c:v>
                </c:pt>
                <c:pt idx="532">
                  <c:v>4.9314584841937972</c:v>
                </c:pt>
                <c:pt idx="533">
                  <c:v>4.9165601208498231</c:v>
                </c:pt>
                <c:pt idx="534">
                  <c:v>4.9017511092410473</c:v>
                </c:pt>
                <c:pt idx="535">
                  <c:v>4.8870306514001527</c:v>
                </c:pt>
                <c:pt idx="536">
                  <c:v>4.8723979587937265</c:v>
                </c:pt>
                <c:pt idx="537">
                  <c:v>4.8578522521839034</c:v>
                </c:pt>
                <c:pt idx="538">
                  <c:v>4.8433927614920549</c:v>
                </c:pt>
                <c:pt idx="539">
                  <c:v>4.829018725665378</c:v>
                </c:pt>
                <c:pt idx="540">
                  <c:v>4.8147293925455301</c:v>
                </c:pt>
                <c:pt idx="541">
                  <c:v>4.800524018739452</c:v>
                </c:pt>
                <c:pt idx="542">
                  <c:v>4.7864018694928632</c:v>
                </c:pt>
                <c:pt idx="543">
                  <c:v>4.7723622185653198</c:v>
                </c:pt>
                <c:pt idx="544">
                  <c:v>4.7584043481078311</c:v>
                </c:pt>
                <c:pt idx="545">
                  <c:v>4.7445275485426635</c:v>
                </c:pt>
                <c:pt idx="546">
                  <c:v>4.7307311184447087</c:v>
                </c:pt>
                <c:pt idx="547">
                  <c:v>4.7170143644254949</c:v>
                </c:pt>
                <c:pt idx="548">
                  <c:v>4.70337660101859</c:v>
                </c:pt>
                <c:pt idx="549">
                  <c:v>4.6898171505673361</c:v>
                </c:pt>
                <c:pt idx="550">
                  <c:v>4.6763353431144594</c:v>
                </c:pt>
                <c:pt idx="551">
                  <c:v>4.662930516293244</c:v>
                </c:pt>
                <c:pt idx="552">
                  <c:v>4.6496020152209496</c:v>
                </c:pt>
                <c:pt idx="553">
                  <c:v>4.6363491923935953</c:v>
                </c:pt>
                <c:pt idx="554">
                  <c:v>4.6231714075828165</c:v>
                </c:pt>
                <c:pt idx="555">
                  <c:v>4.6100680277344566</c:v>
                </c:pt>
                <c:pt idx="556">
                  <c:v>4.5970384268685223</c:v>
                </c:pt>
                <c:pt idx="557">
                  <c:v>4.5840819859810722</c:v>
                </c:pt>
                <c:pt idx="558">
                  <c:v>4.5711980929477818</c:v>
                </c:pt>
                <c:pt idx="559">
                  <c:v>4.5583861424288159</c:v>
                </c:pt>
                <c:pt idx="560">
                  <c:v>4.5456455357755488</c:v>
                </c:pt>
                <c:pt idx="561">
                  <c:v>4.5329756809385913</c:v>
                </c:pt>
                <c:pt idx="562">
                  <c:v>4.5203759923775237</c:v>
                </c:pt>
                <c:pt idx="563">
                  <c:v>4.5078458909719643</c:v>
                </c:pt>
                <c:pt idx="564">
                  <c:v>4.4953848039342006</c:v>
                </c:pt>
                <c:pt idx="565">
                  <c:v>4.4829921647230435</c:v>
                </c:pt>
                <c:pt idx="566">
                  <c:v>4.4706674129593296</c:v>
                </c:pt>
                <c:pt idx="567">
                  <c:v>4.4584099943426452</c:v>
                </c:pt>
                <c:pt idx="568">
                  <c:v>4.4462193605692164</c:v>
                </c:pt>
                <c:pt idx="569">
                  <c:v>4.434094969251646</c:v>
                </c:pt>
                <c:pt idx="570">
                  <c:v>4.4220362838393896</c:v>
                </c:pt>
                <c:pt idx="571">
                  <c:v>4.4100427735407663</c:v>
                </c:pt>
                <c:pt idx="572">
                  <c:v>4.398113913245993</c:v>
                </c:pt>
                <c:pt idx="573">
                  <c:v>4.386249183452037</c:v>
                </c:pt>
                <c:pt idx="574">
                  <c:v>4.3744480701878956</c:v>
                </c:pt>
                <c:pt idx="575">
                  <c:v>4.3627100649413819</c:v>
                </c:pt>
                <c:pt idx="576">
                  <c:v>4.3510346645873028</c:v>
                </c:pt>
                <c:pt idx="577">
                  <c:v>4.3394213713164618</c:v>
                </c:pt>
                <c:pt idx="578">
                  <c:v>4.3278696925656845</c:v>
                </c:pt>
                <c:pt idx="579">
                  <c:v>4.3163791409494081</c:v>
                </c:pt>
                <c:pt idx="580">
                  <c:v>4.3049492341920086</c:v>
                </c:pt>
                <c:pt idx="581">
                  <c:v>4.2935794950608397</c:v>
                </c:pt>
                <c:pt idx="582">
                  <c:v>4.2822694513013744</c:v>
                </c:pt>
                <c:pt idx="583">
                  <c:v>4.2710186355720055</c:v>
                </c:pt>
                <c:pt idx="584">
                  <c:v>4.259826585380921</c:v>
                </c:pt>
                <c:pt idx="585">
                  <c:v>4.2486928430235764</c:v>
                </c:pt>
                <c:pt idx="586">
                  <c:v>4.2376169555208207</c:v>
                </c:pt>
                <c:pt idx="587">
                  <c:v>4.226598474558557</c:v>
                </c:pt>
                <c:pt idx="588">
                  <c:v>4.2156369564277441</c:v>
                </c:pt>
                <c:pt idx="589">
                  <c:v>4.204731961966047</c:v>
                </c:pt>
                <c:pt idx="590">
                  <c:v>4.1938830564993737</c:v>
                </c:pt>
                <c:pt idx="591">
                  <c:v>4.1830898097852867</c:v>
                </c:pt>
                <c:pt idx="592">
                  <c:v>4.1723517959567289</c:v>
                </c:pt>
                <c:pt idx="593">
                  <c:v>4.1616685934665441</c:v>
                </c:pt>
                <c:pt idx="594">
                  <c:v>4.1510397850332481</c:v>
                </c:pt>
                <c:pt idx="595">
                  <c:v>4.1404649575873123</c:v>
                </c:pt>
                <c:pt idx="596">
                  <c:v>4.1299437022181849</c:v>
                </c:pt>
                <c:pt idx="597">
                  <c:v>4.1194756141223365</c:v>
                </c:pt>
                <c:pt idx="598">
                  <c:v>4.1090602925520159</c:v>
                </c:pt>
                <c:pt idx="599">
                  <c:v>4.0986973407646587</c:v>
                </c:pt>
                <c:pt idx="600">
                  <c:v>4.0883863659732071</c:v>
                </c:pt>
                <c:pt idx="601">
                  <c:v>4.0781269792969113</c:v>
                </c:pt>
                <c:pt idx="602">
                  <c:v>4.0679187957132967</c:v>
                </c:pt>
                <c:pt idx="603">
                  <c:v>4.057761434010331</c:v>
                </c:pt>
                <c:pt idx="604">
                  <c:v>4.0476545167396409</c:v>
                </c:pt>
                <c:pt idx="605">
                  <c:v>4.0375976701703848</c:v>
                </c:pt>
                <c:pt idx="606">
                  <c:v>3.5912960247523813</c:v>
                </c:pt>
                <c:pt idx="607">
                  <c:v>3.2336654885673113</c:v>
                </c:pt>
                <c:pt idx="608">
                  <c:v>2.940706825534761</c:v>
                </c:pt>
                <c:pt idx="609">
                  <c:v>2.6963541158697808</c:v>
                </c:pt>
                <c:pt idx="610">
                  <c:v>2.489450330641489</c:v>
                </c:pt>
                <c:pt idx="611">
                  <c:v>2.3120072344564733</c:v>
                </c:pt>
                <c:pt idx="612">
                  <c:v>2.1581558859659538</c:v>
                </c:pt>
                <c:pt idx="613">
                  <c:v>2.0234880401968667</c:v>
                </c:pt>
                <c:pt idx="614">
                  <c:v>1.9046286246397131</c:v>
                </c:pt>
                <c:pt idx="615">
                  <c:v>1.7989499819394155</c:v>
                </c:pt>
                <c:pt idx="616">
                  <c:v>1.7043759349478194</c:v>
                </c:pt>
                <c:pt idx="617">
                  <c:v>1.6192443895923532</c:v>
                </c:pt>
                <c:pt idx="618">
                  <c:v>1.5875252535599031</c:v>
                </c:pt>
                <c:pt idx="619">
                  <c:v>1.5570243644956463</c:v>
                </c:pt>
                <c:pt idx="620">
                  <c:v>1.527672890855996</c:v>
                </c:pt>
                <c:pt idx="621">
                  <c:v>1.4994070884339976</c:v>
                </c:pt>
                <c:pt idx="622">
                  <c:v>1.4721678390689306</c:v>
                </c:pt>
                <c:pt idx="623">
                  <c:v>1.4459002386351756</c:v>
                </c:pt>
                <c:pt idx="624">
                  <c:v>1.420553228278294</c:v>
                </c:pt>
                <c:pt idx="625">
                  <c:v>1.3960792636946451</c:v>
                </c:pt>
                <c:pt idx="626">
                  <c:v>1.3724340179554133</c:v>
                </c:pt>
                <c:pt idx="627">
                  <c:v>1.3495761139721765</c:v>
                </c:pt>
                <c:pt idx="628">
                  <c:v>1.3274668832130203</c:v>
                </c:pt>
                <c:pt idx="629">
                  <c:v>1.3060701477124042</c:v>
                </c:pt>
                <c:pt idx="630">
                  <c:v>1.2853520227952515</c:v>
                </c:pt>
                <c:pt idx="631">
                  <c:v>1.2652807382529545</c:v>
                </c:pt>
                <c:pt idx="632">
                  <c:v>1.2458264759921462</c:v>
                </c:pt>
                <c:pt idx="633">
                  <c:v>1.2269612224101536</c:v>
                </c:pt>
                <c:pt idx="634">
                  <c:v>1.2086586339649728</c:v>
                </c:pt>
                <c:pt idx="635">
                  <c:v>1.1908939145824888</c:v>
                </c:pt>
                <c:pt idx="636">
                  <c:v>1.1736437037039309</c:v>
                </c:pt>
                <c:pt idx="637">
                  <c:v>1.1568859739113577</c:v>
                </c:pt>
                <c:pt idx="638">
                  <c:v>1.1405999371887958</c:v>
                </c:pt>
                <c:pt idx="639">
                  <c:v>1.1247659589812713</c:v>
                </c:pt>
                <c:pt idx="640">
                  <c:v>1.1093654793055521</c:v>
                </c:pt>
                <c:pt idx="641">
                  <c:v>1.0943809402463671</c:v>
                </c:pt>
                <c:pt idx="642">
                  <c:v>1.079795719244089</c:v>
                </c:pt>
                <c:pt idx="643">
                  <c:v>1.0655940676403475</c:v>
                </c:pt>
                <c:pt idx="644">
                  <c:v>1.0517610540053397</c:v>
                </c:pt>
                <c:pt idx="645">
                  <c:v>1.0382825118178118</c:v>
                </c:pt>
                <c:pt idx="646">
                  <c:v>1.0251449911131942</c:v>
                </c:pt>
                <c:pt idx="647">
                  <c:v>1.0123357137529183</c:v>
                </c:pt>
                <c:pt idx="648">
                  <c:v>0.9998425320021056</c:v>
                </c:pt>
                <c:pt idx="649">
                  <c:v>0.98765389013505001</c:v>
                </c:pt>
                <c:pt idx="650">
                  <c:v>0.97575878881144718</c:v>
                </c:pt>
                <c:pt idx="651">
                  <c:v>0.96414675199460476</c:v>
                </c:pt>
                <c:pt idx="652">
                  <c:v>0.95280779620185285</c:v>
                </c:pt>
                <c:pt idx="653">
                  <c:v>0.94173240189735452</c:v>
                </c:pt>
                <c:pt idx="654">
                  <c:v>0.93091148685579128</c:v>
                </c:pt>
                <c:pt idx="655">
                  <c:v>0.9203363813397516</c:v>
                </c:pt>
                <c:pt idx="656">
                  <c:v>0.90999880494896956</c:v>
                </c:pt>
                <c:pt idx="657">
                  <c:v>0.89989084501084449</c:v>
                </c:pt>
                <c:pt idx="658">
                  <c:v>0.89000493639454703</c:v>
                </c:pt>
                <c:pt idx="659">
                  <c:v>0.88033384264008419</c:v>
                </c:pt>
                <c:pt idx="660">
                  <c:v>0.87087063830341549</c:v>
                </c:pt>
                <c:pt idx="661">
                  <c:v>0.86160869242758054</c:v>
                </c:pt>
                <c:pt idx="662">
                  <c:v>0.85254165305653373</c:v>
                </c:pt>
                <c:pt idx="663">
                  <c:v>0.84366343271582878</c:v>
                </c:pt>
                <c:pt idx="664">
                  <c:v>0.83496819479105966</c:v>
                </c:pt>
                <c:pt idx="665">
                  <c:v>0.82645034073868828</c:v>
                </c:pt>
                <c:pt idx="666">
                  <c:v>0.81810449807198893</c:v>
                </c:pt>
                <c:pt idx="667">
                  <c:v>0.80992550906682936</c:v>
                </c:pt>
              </c:numCache>
            </c:numRef>
          </c:yVal>
          <c:smooth val="0"/>
          <c:extLst>
            <c:ext xmlns:c16="http://schemas.microsoft.com/office/drawing/2014/chart" uri="{C3380CC4-5D6E-409C-BE32-E72D297353CC}">
              <c16:uniqueId val="{00000002-C323-45F5-AD89-2A9969707A73}"/>
            </c:ext>
          </c:extLst>
        </c:ser>
        <c:ser>
          <c:idx val="3"/>
          <c:order val="3"/>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Calculations'!$BI$9:$BI$676</c:f>
              <c:numCache>
                <c:formatCode>General</c:formatCode>
                <c:ptCount val="668"/>
                <c:pt idx="0">
                  <c:v>120.77159579260058</c:v>
                </c:pt>
                <c:pt idx="1">
                  <c:v>106.62234957057194</c:v>
                </c:pt>
                <c:pt idx="2">
                  <c:v>101.30604032935341</c:v>
                </c:pt>
                <c:pt idx="3">
                  <c:v>98.580989888616017</c:v>
                </c:pt>
                <c:pt idx="4">
                  <c:v>96.938416657751773</c:v>
                </c:pt>
                <c:pt idx="5">
                  <c:v>95.847049525531176</c:v>
                </c:pt>
                <c:pt idx="6">
                  <c:v>95.073651614250366</c:v>
                </c:pt>
                <c:pt idx="7">
                  <c:v>94.500091993725547</c:v>
                </c:pt>
                <c:pt idx="8">
                  <c:v>94.060231551179143</c:v>
                </c:pt>
                <c:pt idx="9">
                  <c:v>93.714186072824816</c:v>
                </c:pt>
                <c:pt idx="10">
                  <c:v>92.32469093319223</c:v>
                </c:pt>
                <c:pt idx="11">
                  <c:v>92.067840161478543</c:v>
                </c:pt>
                <c:pt idx="12">
                  <c:v>92.094645366204304</c:v>
                </c:pt>
                <c:pt idx="13">
                  <c:v>92.234934902790698</c:v>
                </c:pt>
                <c:pt idx="14">
                  <c:v>92.431945547664654</c:v>
                </c:pt>
                <c:pt idx="15">
                  <c:v>92.661338222044307</c:v>
                </c:pt>
                <c:pt idx="16">
                  <c:v>92.910936546170674</c:v>
                </c:pt>
                <c:pt idx="17">
                  <c:v>93.173970673617958</c:v>
                </c:pt>
                <c:pt idx="18">
                  <c:v>93.44637430248207</c:v>
                </c:pt>
                <c:pt idx="19">
                  <c:v>96.371123612883835</c:v>
                </c:pt>
                <c:pt idx="20">
                  <c:v>99.388607192619673</c:v>
                </c:pt>
                <c:pt idx="21">
                  <c:v>102.40366795023655</c:v>
                </c:pt>
                <c:pt idx="22">
                  <c:v>105.38980644030144</c:v>
                </c:pt>
                <c:pt idx="23">
                  <c:v>108.33252011923079</c:v>
                </c:pt>
                <c:pt idx="24">
                  <c:v>111.22128666357978</c:v>
                </c:pt>
                <c:pt idx="25">
                  <c:v>114.04759791605227</c:v>
                </c:pt>
                <c:pt idx="26">
                  <c:v>116.80431199307364</c:v>
                </c:pt>
                <c:pt idx="27">
                  <c:v>119.48537915579394</c:v>
                </c:pt>
                <c:pt idx="28">
                  <c:v>131.60354030917091</c:v>
                </c:pt>
                <c:pt idx="29">
                  <c:v>141.33155661483076</c:v>
                </c:pt>
                <c:pt idx="30">
                  <c:v>148.4305204466805</c:v>
                </c:pt>
                <c:pt idx="31">
                  <c:v>152.47676304779301</c:v>
                </c:pt>
                <c:pt idx="32">
                  <c:v>152.36436048936125</c:v>
                </c:pt>
                <c:pt idx="33">
                  <c:v>145.32033044315946</c:v>
                </c:pt>
                <c:pt idx="34">
                  <c:v>125.99872524899764</c:v>
                </c:pt>
                <c:pt idx="35">
                  <c:v>95.782984342124095</c:v>
                </c:pt>
                <c:pt idx="36">
                  <c:v>73.108921302661727</c:v>
                </c:pt>
                <c:pt idx="37">
                  <c:v>62.068368590283043</c:v>
                </c:pt>
                <c:pt idx="38">
                  <c:v>57.121532633091221</c:v>
                </c:pt>
                <c:pt idx="39">
                  <c:v>54.994133326472493</c:v>
                </c:pt>
                <c:pt idx="40">
                  <c:v>54.238445521732658</c:v>
                </c:pt>
                <c:pt idx="41">
                  <c:v>54.187239382007562</c:v>
                </c:pt>
                <c:pt idx="42">
                  <c:v>54.508481276594281</c:v>
                </c:pt>
                <c:pt idx="43">
                  <c:v>55.025765932665138</c:v>
                </c:pt>
                <c:pt idx="44">
                  <c:v>55.640679680275468</c:v>
                </c:pt>
                <c:pt idx="45">
                  <c:v>56.296448881903743</c:v>
                </c:pt>
                <c:pt idx="46">
                  <c:v>56.959678547390652</c:v>
                </c:pt>
                <c:pt idx="47">
                  <c:v>57.610624169056379</c:v>
                </c:pt>
                <c:pt idx="48">
                  <c:v>58.237753435281007</c:v>
                </c:pt>
                <c:pt idx="49">
                  <c:v>58.834583871625767</c:v>
                </c:pt>
                <c:pt idx="50">
                  <c:v>59.397783875486866</c:v>
                </c:pt>
                <c:pt idx="51">
                  <c:v>59.92600231593255</c:v>
                </c:pt>
                <c:pt idx="52">
                  <c:v>60.419131991244043</c:v>
                </c:pt>
                <c:pt idx="53">
                  <c:v>60.877838543429746</c:v>
                </c:pt>
                <c:pt idx="54">
                  <c:v>61.303255544595686</c:v>
                </c:pt>
                <c:pt idx="55">
                  <c:v>61.696785615856101</c:v>
                </c:pt>
                <c:pt idx="56">
                  <c:v>62.059970289346865</c:v>
                </c:pt>
                <c:pt idx="57">
                  <c:v>62.39440501924112</c:v>
                </c:pt>
                <c:pt idx="58">
                  <c:v>62.701684149508154</c:v>
                </c:pt>
                <c:pt idx="59">
                  <c:v>62.983365907505416</c:v>
                </c:pt>
                <c:pt idx="60">
                  <c:v>63.24095084751967</c:v>
                </c:pt>
                <c:pt idx="61">
                  <c:v>63.47586934234954</c:v>
                </c:pt>
                <c:pt idx="62">
                  <c:v>63.689475149750479</c:v>
                </c:pt>
                <c:pt idx="63">
                  <c:v>63.883043031265828</c:v>
                </c:pt>
                <c:pt idx="64">
                  <c:v>64.057769040492687</c:v>
                </c:pt>
                <c:pt idx="65">
                  <c:v>64.214772532104575</c:v>
                </c:pt>
                <c:pt idx="66">
                  <c:v>64.355099240217115</c:v>
                </c:pt>
                <c:pt idx="67">
                  <c:v>64.47972497953397</c:v>
                </c:pt>
                <c:pt idx="68">
                  <c:v>64.589559664624062</c:v>
                </c:pt>
                <c:pt idx="69">
                  <c:v>64.68545144138163</c:v>
                </c:pt>
                <c:pt idx="70">
                  <c:v>64.768190793533435</c:v>
                </c:pt>
                <c:pt idx="71">
                  <c:v>64.838514535061989</c:v>
                </c:pt>
                <c:pt idx="72">
                  <c:v>64.897109632868776</c:v>
                </c:pt>
                <c:pt idx="73">
                  <c:v>64.944616827222333</c:v>
                </c:pt>
                <c:pt idx="74">
                  <c:v>64.981634033553718</c:v>
                </c:pt>
                <c:pt idx="75">
                  <c:v>65.008719520085464</c:v>
                </c:pt>
                <c:pt idx="76">
                  <c:v>65.026394863109644</c:v>
                </c:pt>
                <c:pt idx="77">
                  <c:v>65.035147686516964</c:v>
                </c:pt>
                <c:pt idx="78">
                  <c:v>65.035434195179747</c:v>
                </c:pt>
                <c:pt idx="79">
                  <c:v>65.027681513538695</c:v>
                </c:pt>
                <c:pt idx="80">
                  <c:v>65.012289841619932</c:v>
                </c:pt>
                <c:pt idx="81">
                  <c:v>64.989634440987132</c:v>
                </c:pt>
                <c:pt idx="82">
                  <c:v>64.960067463010304</c:v>
                </c:pt>
                <c:pt idx="83">
                  <c:v>64.923919631443908</c:v>
                </c:pt>
                <c:pt idx="84">
                  <c:v>64.881501790752736</c:v>
                </c:pt>
                <c:pt idx="85">
                  <c:v>64.833106330973976</c:v>
                </c:pt>
                <c:pt idx="86">
                  <c:v>64.779008499205062</c:v>
                </c:pt>
                <c:pt idx="87">
                  <c:v>64.719467607093861</c:v>
                </c:pt>
                <c:pt idx="88">
                  <c:v>64.654728143003979</c:v>
                </c:pt>
                <c:pt idx="89">
                  <c:v>64.585020796845669</c:v>
                </c:pt>
                <c:pt idx="90">
                  <c:v>64.510563404914848</c:v>
                </c:pt>
                <c:pt idx="91">
                  <c:v>64.431561821470595</c:v>
                </c:pt>
                <c:pt idx="92">
                  <c:v>64.348210723212176</c:v>
                </c:pt>
                <c:pt idx="93">
                  <c:v>64.26069435228689</c:v>
                </c:pt>
                <c:pt idx="94">
                  <c:v>64.169187202971813</c:v>
                </c:pt>
                <c:pt idx="95">
                  <c:v>64.073854656724137</c:v>
                </c:pt>
                <c:pt idx="96">
                  <c:v>63.974853569881944</c:v>
                </c:pt>
                <c:pt idx="97">
                  <c:v>63.872332817923137</c:v>
                </c:pt>
                <c:pt idx="98">
                  <c:v>63.766433799844933</c:v>
                </c:pt>
                <c:pt idx="99">
                  <c:v>63.657290905914323</c:v>
                </c:pt>
                <c:pt idx="100">
                  <c:v>63.545031951754282</c:v>
                </c:pt>
                <c:pt idx="101">
                  <c:v>63.429778581472718</c:v>
                </c:pt>
                <c:pt idx="102">
                  <c:v>63.311646642302719</c:v>
                </c:pt>
                <c:pt idx="103">
                  <c:v>63.190746533011193</c:v>
                </c:pt>
                <c:pt idx="104">
                  <c:v>63.067183528136141</c:v>
                </c:pt>
                <c:pt idx="105">
                  <c:v>62.94105807993661</c:v>
                </c:pt>
                <c:pt idx="106">
                  <c:v>62.812466099778334</c:v>
                </c:pt>
                <c:pt idx="107">
                  <c:v>62.681499220532032</c:v>
                </c:pt>
                <c:pt idx="108">
                  <c:v>62.548245041427265</c:v>
                </c:pt>
                <c:pt idx="109">
                  <c:v>62.412787356685044</c:v>
                </c:pt>
                <c:pt idx="110">
                  <c:v>62.275206369142097</c:v>
                </c:pt>
                <c:pt idx="111">
                  <c:v>62.135578889977864</c:v>
                </c:pt>
                <c:pt idx="112">
                  <c:v>61.993978525566348</c:v>
                </c:pt>
                <c:pt idx="113">
                  <c:v>61.85047585239036</c:v>
                </c:pt>
                <c:pt idx="114">
                  <c:v>61.705138580879407</c:v>
                </c:pt>
                <c:pt idx="115">
                  <c:v>61.558031708965459</c:v>
                </c:pt>
                <c:pt idx="116">
                  <c:v>61.409217666084444</c:v>
                </c:pt>
                <c:pt idx="117">
                  <c:v>61.258756448297078</c:v>
                </c:pt>
                <c:pt idx="118">
                  <c:v>61.10670574514721</c:v>
                </c:pt>
                <c:pt idx="119">
                  <c:v>60.95312105882924</c:v>
                </c:pt>
                <c:pt idx="120">
                  <c:v>60.798055816191635</c:v>
                </c:pt>
                <c:pt idx="121">
                  <c:v>60.64156147406301</c:v>
                </c:pt>
                <c:pt idx="122">
                  <c:v>60.483687618350288</c:v>
                </c:pt>
                <c:pt idx="123">
                  <c:v>60.324482057325568</c:v>
                </c:pt>
                <c:pt idx="124">
                  <c:v>60.163990909484838</c:v>
                </c:pt>
                <c:pt idx="125">
                  <c:v>60.002258686336504</c:v>
                </c:pt>
                <c:pt idx="126">
                  <c:v>59.839328370448271</c:v>
                </c:pt>
                <c:pt idx="127">
                  <c:v>59.67524148905882</c:v>
                </c:pt>
                <c:pt idx="128">
                  <c:v>59.510038183538072</c:v>
                </c:pt>
                <c:pt idx="129">
                  <c:v>59.343757274959088</c:v>
                </c:pt>
                <c:pt idx="130">
                  <c:v>59.176436326026433</c:v>
                </c:pt>
                <c:pt idx="131">
                  <c:v>59.008111699588156</c:v>
                </c:pt>
                <c:pt idx="132">
                  <c:v>58.83881861394255</c:v>
                </c:pt>
                <c:pt idx="133">
                  <c:v>58.668591195137083</c:v>
                </c:pt>
                <c:pt idx="134">
                  <c:v>58.497462526441382</c:v>
                </c:pt>
                <c:pt idx="135">
                  <c:v>58.325464695165962</c:v>
                </c:pt>
                <c:pt idx="136">
                  <c:v>58.152628836985045</c:v>
                </c:pt>
                <c:pt idx="137">
                  <c:v>57.978985177911795</c:v>
                </c:pt>
                <c:pt idx="138">
                  <c:v>57.804563074064532</c:v>
                </c:pt>
                <c:pt idx="139">
                  <c:v>57.62939104935279</c:v>
                </c:pt>
                <c:pt idx="140">
                  <c:v>57.453496831204419</c:v>
                </c:pt>
                <c:pt idx="141">
                  <c:v>57.276907384445536</c:v>
                </c:pt>
                <c:pt idx="142">
                  <c:v>57.099648943440414</c:v>
                </c:pt>
                <c:pt idx="143">
                  <c:v>56.921747042588137</c:v>
                </c:pt>
                <c:pt idx="144">
                  <c:v>56.743226545270275</c:v>
                </c:pt>
                <c:pt idx="145">
                  <c:v>56.5641116713347</c:v>
                </c:pt>
                <c:pt idx="146">
                  <c:v>56.384426023197705</c:v>
                </c:pt>
                <c:pt idx="147">
                  <c:v>56.204192610639993</c:v>
                </c:pt>
                <c:pt idx="148">
                  <c:v>56.023433874368251</c:v>
                </c:pt>
                <c:pt idx="149">
                  <c:v>55.842171708409097</c:v>
                </c:pt>
                <c:pt idx="150">
                  <c:v>55.660427481398585</c:v>
                </c:pt>
                <c:pt idx="151">
                  <c:v>55.478222056826311</c:v>
                </c:pt>
                <c:pt idx="152">
                  <c:v>55.295575812289883</c:v>
                </c:pt>
                <c:pt idx="153">
                  <c:v>55.112508657811603</c:v>
                </c:pt>
                <c:pt idx="154">
                  <c:v>54.92904005326767</c:v>
                </c:pt>
                <c:pt idx="155">
                  <c:v>54.745189024975019</c:v>
                </c:pt>
                <c:pt idx="156">
                  <c:v>54.560974181480191</c:v>
                </c:pt>
                <c:pt idx="157">
                  <c:v>54.376413728591373</c:v>
                </c:pt>
                <c:pt idx="158">
                  <c:v>54.191525483692359</c:v>
                </c:pt>
                <c:pt idx="159">
                  <c:v>54.006326889374662</c:v>
                </c:pt>
                <c:pt idx="160">
                  <c:v>53.82083502642331</c:v>
                </c:pt>
                <c:pt idx="161">
                  <c:v>53.635066626187538</c:v>
                </c:pt>
                <c:pt idx="162">
                  <c:v>53.449038082368887</c:v>
                </c:pt>
                <c:pt idx="163">
                  <c:v>53.262765462254066</c:v>
                </c:pt>
                <c:pt idx="164">
                  <c:v>53.076264517421791</c:v>
                </c:pt>
                <c:pt idx="165">
                  <c:v>52.889550693948593</c:v>
                </c:pt>
                <c:pt idx="166">
                  <c:v>52.702639142138239</c:v>
                </c:pt>
                <c:pt idx="167">
                  <c:v>52.51554472579916</c:v>
                </c:pt>
                <c:pt idx="168">
                  <c:v>52.328282031090453</c:v>
                </c:pt>
                <c:pt idx="169">
                  <c:v>52.140865374958935</c:v>
                </c:pt>
                <c:pt idx="170">
                  <c:v>51.953308813185913</c:v>
                </c:pt>
                <c:pt idx="171">
                  <c:v>51.765626148063291</c:v>
                </c:pt>
                <c:pt idx="172">
                  <c:v>51.577830935716577</c:v>
                </c:pt>
                <c:pt idx="173">
                  <c:v>51.389936493091398</c:v>
                </c:pt>
                <c:pt idx="174">
                  <c:v>51.201955904620576</c:v>
                </c:pt>
                <c:pt idx="175">
                  <c:v>51.013902028586045</c:v>
                </c:pt>
                <c:pt idx="176">
                  <c:v>50.825787503190725</c:v>
                </c:pt>
                <c:pt idx="177">
                  <c:v>50.637624752354014</c:v>
                </c:pt>
                <c:pt idx="178">
                  <c:v>50.449425991243885</c:v>
                </c:pt>
                <c:pt idx="179">
                  <c:v>50.261203231558738</c:v>
                </c:pt>
                <c:pt idx="180">
                  <c:v>50.07296828656942</c:v>
                </c:pt>
                <c:pt idx="181">
                  <c:v>49.884732775934737</c:v>
                </c:pt>
                <c:pt idx="182">
                  <c:v>49.69650813029952</c:v>
                </c:pt>
                <c:pt idx="183">
                  <c:v>49.508305595686323</c:v>
                </c:pt>
                <c:pt idx="184">
                  <c:v>49.320136237690463</c:v>
                </c:pt>
                <c:pt idx="185">
                  <c:v>49.132010945487565</c:v>
                </c:pt>
                <c:pt idx="186">
                  <c:v>48.943940435662512</c:v>
                </c:pt>
                <c:pt idx="187">
                  <c:v>48.755935255868224</c:v>
                </c:pt>
                <c:pt idx="188">
                  <c:v>48.568005788322779</c:v>
                </c:pt>
                <c:pt idx="189">
                  <c:v>48.380162253151894</c:v>
                </c:pt>
                <c:pt idx="190">
                  <c:v>48.192414711584263</c:v>
                </c:pt>
                <c:pt idx="191">
                  <c:v>48.004773069007683</c:v>
                </c:pt>
                <c:pt idx="192">
                  <c:v>47.817247077891238</c:v>
                </c:pt>
                <c:pt idx="193">
                  <c:v>47.629846340580769</c:v>
                </c:pt>
                <c:pt idx="194">
                  <c:v>47.442580311974183</c:v>
                </c:pt>
                <c:pt idx="195">
                  <c:v>47.255458302080939</c:v>
                </c:pt>
                <c:pt idx="196">
                  <c:v>47.068489478473055</c:v>
                </c:pt>
                <c:pt idx="197">
                  <c:v>46.881682868631515</c:v>
                </c:pt>
                <c:pt idx="198">
                  <c:v>46.695047362194401</c:v>
                </c:pt>
                <c:pt idx="199">
                  <c:v>46.508591713110292</c:v>
                </c:pt>
                <c:pt idx="200">
                  <c:v>46.322324541702926</c:v>
                </c:pt>
                <c:pt idx="201">
                  <c:v>46.136254336650438</c:v>
                </c:pt>
                <c:pt idx="202">
                  <c:v>45.950389456884551</c:v>
                </c:pt>
                <c:pt idx="203">
                  <c:v>45.764738133412351</c:v>
                </c:pt>
                <c:pt idx="204">
                  <c:v>45.579308471065957</c:v>
                </c:pt>
                <c:pt idx="205">
                  <c:v>45.394108450183182</c:v>
                </c:pt>
                <c:pt idx="206">
                  <c:v>45.209145928222512</c:v>
                </c:pt>
                <c:pt idx="207">
                  <c:v>45.024428641316035</c:v>
                </c:pt>
                <c:pt idx="208">
                  <c:v>44.83996420576392</c:v>
                </c:pt>
                <c:pt idx="209">
                  <c:v>44.655760119472916</c:v>
                </c:pt>
                <c:pt idx="210">
                  <c:v>44.471823763342201</c:v>
                </c:pt>
                <c:pt idx="211">
                  <c:v>44.28816240259971</c:v>
                </c:pt>
                <c:pt idx="212">
                  <c:v>44.104783188090806</c:v>
                </c:pt>
                <c:pt idx="213">
                  <c:v>43.921693157522753</c:v>
                </c:pt>
                <c:pt idx="214">
                  <c:v>43.738899236667123</c:v>
                </c:pt>
                <c:pt idx="215">
                  <c:v>43.556408240522501</c:v>
                </c:pt>
                <c:pt idx="216">
                  <c:v>43.374226874439671</c:v>
                </c:pt>
                <c:pt idx="217">
                  <c:v>43.192361735211733</c:v>
                </c:pt>
                <c:pt idx="218">
                  <c:v>43.010819312130934</c:v>
                </c:pt>
                <c:pt idx="219">
                  <c:v>42.829605988014293</c:v>
                </c:pt>
                <c:pt idx="220">
                  <c:v>42.648728040200012</c:v>
                </c:pt>
                <c:pt idx="221">
                  <c:v>42.468191641516313</c:v>
                </c:pt>
                <c:pt idx="222">
                  <c:v>42.288002861224555</c:v>
                </c:pt>
                <c:pt idx="223">
                  <c:v>42.108167665937998</c:v>
                </c:pt>
                <c:pt idx="224">
                  <c:v>41.928691920518276</c:v>
                </c:pt>
                <c:pt idx="225">
                  <c:v>41.749581388950446</c:v>
                </c:pt>
                <c:pt idx="226">
                  <c:v>39.979760446997318</c:v>
                </c:pt>
                <c:pt idx="227">
                  <c:v>38.252083236570854</c:v>
                </c:pt>
                <c:pt idx="228">
                  <c:v>36.57077064073934</c:v>
                </c:pt>
                <c:pt idx="229">
                  <c:v>34.939196005558472</c:v>
                </c:pt>
                <c:pt idx="230">
                  <c:v>33.359951938064967</c:v>
                </c:pt>
                <c:pt idx="231">
                  <c:v>31.834917299286616</c:v>
                </c:pt>
                <c:pt idx="232">
                  <c:v>30.365325258018004</c:v>
                </c:pt>
                <c:pt idx="233">
                  <c:v>28.95183209759233</c:v>
                </c:pt>
                <c:pt idx="234">
                  <c:v>27.594585838723219</c:v>
                </c:pt>
                <c:pt idx="235">
                  <c:v>26.293293491525333</c:v>
                </c:pt>
                <c:pt idx="236">
                  <c:v>25.047285750414659</c:v>
                </c:pt>
                <c:pt idx="237">
                  <c:v>23.855578097764123</c:v>
                </c:pt>
                <c:pt idx="238">
                  <c:v>22.716927512240034</c:v>
                </c:pt>
                <c:pt idx="239">
                  <c:v>21.629884233468232</c:v>
                </c:pt>
                <c:pt idx="240">
                  <c:v>20.592838281602042</c:v>
                </c:pt>
                <c:pt idx="241">
                  <c:v>19.604060648030526</c:v>
                </c:pt>
                <c:pt idx="242">
                  <c:v>18.661739251863651</c:v>
                </c:pt>
                <c:pt idx="243">
                  <c:v>17.764009893269758</c:v>
                </c:pt>
                <c:pt idx="244">
                  <c:v>16.908982531250103</c:v>
                </c:pt>
                <c:pt idx="245">
                  <c:v>16.094763274748715</c:v>
                </c:pt>
                <c:pt idx="246">
                  <c:v>15.319472508067662</c:v>
                </c:pt>
                <c:pt idx="247">
                  <c:v>14.58125958058497</c:v>
                </c:pt>
                <c:pt idx="248">
                  <c:v>13.878314482563582</c:v>
                </c:pt>
                <c:pt idx="249">
                  <c:v>13.208876908478373</c:v>
                </c:pt>
                <c:pt idx="250">
                  <c:v>12.571243081013137</c:v>
                </c:pt>
                <c:pt idx="251">
                  <c:v>11.963770676055248</c:v>
                </c:pt>
                <c:pt idx="252">
                  <c:v>11.384882154213699</c:v>
                </c:pt>
                <c:pt idx="253">
                  <c:v>10.833066769491182</c:v>
                </c:pt>
                <c:pt idx="254">
                  <c:v>10.306881492060597</c:v>
                </c:pt>
                <c:pt idx="255">
                  <c:v>9.8049510504820319</c:v>
                </c:pt>
                <c:pt idx="256">
                  <c:v>9.3259672696588893</c:v>
                </c:pt>
                <c:pt idx="257">
                  <c:v>8.8686878546042749</c:v>
                </c:pt>
                <c:pt idx="258">
                  <c:v>8.4319347467353793</c:v>
                </c:pt>
                <c:pt idx="259">
                  <c:v>8.0145921588569422</c:v>
                </c:pt>
                <c:pt idx="260">
                  <c:v>7.6156043770795918</c:v>
                </c:pt>
                <c:pt idx="261">
                  <c:v>7.2339734024422455</c:v>
                </c:pt>
                <c:pt idx="262">
                  <c:v>6.8687564917399015</c:v>
                </c:pt>
                <c:pt idx="263">
                  <c:v>6.5190636457611504</c:v>
                </c:pt>
                <c:pt idx="264">
                  <c:v>6.1840550835839281</c:v>
                </c:pt>
                <c:pt idx="265">
                  <c:v>5.8629387335430749</c:v>
                </c:pt>
                <c:pt idx="266">
                  <c:v>5.5549677647665305</c:v>
                </c:pt>
                <c:pt idx="267">
                  <c:v>5.2594381775968202</c:v>
                </c:pt>
                <c:pt idx="268">
                  <c:v>4.9756864665982619</c:v>
                </c:pt>
                <c:pt idx="269">
                  <c:v>4.7030873660669386</c:v>
                </c:pt>
                <c:pt idx="270">
                  <c:v>4.4410516848685688</c:v>
                </c:pt>
                <c:pt idx="271">
                  <c:v>4.1890242349266202</c:v>
                </c:pt>
                <c:pt idx="272">
                  <c:v>3.9464818556732837</c:v>
                </c:pt>
                <c:pt idx="273">
                  <c:v>3.7129315351758123</c:v>
                </c:pt>
                <c:pt idx="274">
                  <c:v>3.4879086273930113</c:v>
                </c:pt>
                <c:pt idx="275">
                  <c:v>3.2709751640381057</c:v>
                </c:pt>
                <c:pt idx="276">
                  <c:v>3.0617182587837988</c:v>
                </c:pt>
                <c:pt idx="277">
                  <c:v>2.8597486009884392</c:v>
                </c:pt>
                <c:pt idx="278">
                  <c:v>2.664699035726926</c:v>
                </c:pt>
                <c:pt idx="279">
                  <c:v>2.476223226635085</c:v>
                </c:pt>
                <c:pt idx="280">
                  <c:v>2.2939943979081079</c:v>
                </c:pt>
                <c:pt idx="281">
                  <c:v>2.1177041517000532</c:v>
                </c:pt>
                <c:pt idx="282">
                  <c:v>1.9470613571489537</c:v>
                </c:pt>
                <c:pt idx="283">
                  <c:v>1.7817911072731079</c:v>
                </c:pt>
                <c:pt idx="284">
                  <c:v>1.6216337400484235</c:v>
                </c:pt>
                <c:pt idx="285">
                  <c:v>1.4663439200683968</c:v>
                </c:pt>
                <c:pt idx="286">
                  <c:v>1.3156897773015714</c:v>
                </c:pt>
                <c:pt idx="287">
                  <c:v>1.1694520995909841</c:v>
                </c:pt>
                <c:pt idx="288">
                  <c:v>1.0274235756786254</c:v>
                </c:pt>
                <c:pt idx="289">
                  <c:v>0.88940808568568741</c:v>
                </c:pt>
                <c:pt idx="290">
                  <c:v>0.75522003612601907</c:v>
                </c:pt>
                <c:pt idx="291">
                  <c:v>0.62468373668320964</c:v>
                </c:pt>
                <c:pt idx="292">
                  <c:v>0.49763281612737842</c:v>
                </c:pt>
                <c:pt idx="293">
                  <c:v>0.37390967489611171</c:v>
                </c:pt>
                <c:pt idx="294">
                  <c:v>0.25336497200478902</c:v>
                </c:pt>
                <c:pt idx="295">
                  <c:v>0.13585714408932859</c:v>
                </c:pt>
                <c:pt idx="296">
                  <c:v>2.1251954516600335E-2</c:v>
                </c:pt>
                <c:pt idx="297">
                  <c:v>-9.0577929376081556E-2</c:v>
                </c:pt>
                <c:pt idx="298">
                  <c:v>-0.1997533327298413</c:v>
                </c:pt>
                <c:pt idx="299">
                  <c:v>-0.30638894500532388</c:v>
                </c:pt>
                <c:pt idx="300">
                  <c:v>-0.41059366881023607</c:v>
                </c:pt>
                <c:pt idx="301">
                  <c:v>-0.51247094720602604</c:v>
                </c:pt>
                <c:pt idx="302">
                  <c:v>-0.61211907088886619</c:v>
                </c:pt>
                <c:pt idx="303">
                  <c:v>-0.70963146654983689</c:v>
                </c:pt>
                <c:pt idx="304">
                  <c:v>-0.80509696763260763</c:v>
                </c:pt>
                <c:pt idx="305">
                  <c:v>-0.89860006862801356</c:v>
                </c:pt>
                <c:pt idx="306">
                  <c:v>-0.99022116396793081</c:v>
                </c:pt>
                <c:pt idx="307">
                  <c:v>-1.0800367725123294</c:v>
                </c:pt>
                <c:pt idx="308">
                  <c:v>-1.1681197485552275</c:v>
                </c:pt>
                <c:pt idx="309">
                  <c:v>-1.2545394802152998</c:v>
                </c:pt>
                <c:pt idx="310">
                  <c:v>-1.3393620760191993</c:v>
                </c:pt>
                <c:pt idx="311">
                  <c:v>-1.422650540429629</c:v>
                </c:pt>
                <c:pt idx="312">
                  <c:v>-1.5044649390239329</c:v>
                </c:pt>
                <c:pt idx="313">
                  <c:v>-1.5848625539773309</c:v>
                </c:pt>
                <c:pt idx="314">
                  <c:v>-1.6638980304660151</c:v>
                </c:pt>
                <c:pt idx="315">
                  <c:v>-1.7416235145607288</c:v>
                </c:pt>
                <c:pt idx="316">
                  <c:v>-1.818088783145356</c:v>
                </c:pt>
                <c:pt idx="317">
                  <c:v>-1.8933413663598913</c:v>
                </c:pt>
                <c:pt idx="318">
                  <c:v>-1.96742666303237</c:v>
                </c:pt>
                <c:pt idx="319">
                  <c:v>-2.0403880495362046</c:v>
                </c:pt>
                <c:pt idx="320">
                  <c:v>-2.1122669824776779</c:v>
                </c:pt>
                <c:pt idx="321">
                  <c:v>-2.1831030955949871</c:v>
                </c:pt>
                <c:pt idx="322">
                  <c:v>-2.2529342912220045</c:v>
                </c:pt>
                <c:pt idx="323">
                  <c:v>-2.3217968266496598</c:v>
                </c:pt>
                <c:pt idx="324">
                  <c:v>-2.3897253956938016</c:v>
                </c:pt>
                <c:pt idx="325">
                  <c:v>-2.4567532057607195</c:v>
                </c:pt>
                <c:pt idx="326">
                  <c:v>-2.5229120506801053</c:v>
                </c:pt>
                <c:pt idx="327">
                  <c:v>-2.588232379560452</c:v>
                </c:pt>
                <c:pt idx="328">
                  <c:v>-2.6527433619027363</c:v>
                </c:pt>
                <c:pt idx="329">
                  <c:v>-2.7164729491962305</c:v>
                </c:pt>
                <c:pt idx="330">
                  <c:v>-2.7794479332029027</c:v>
                </c:pt>
                <c:pt idx="331">
                  <c:v>-2.8416940011260863</c:v>
                </c:pt>
                <c:pt idx="332">
                  <c:v>-2.9032357878455173</c:v>
                </c:pt>
                <c:pt idx="333">
                  <c:v>-2.9640969253900664</c:v>
                </c:pt>
                <c:pt idx="334">
                  <c:v>-3.0243000898074683</c:v>
                </c:pt>
                <c:pt idx="335">
                  <c:v>-3.0838670455824797</c:v>
                </c:pt>
                <c:pt idx="336">
                  <c:v>-3.1428186877431017</c:v>
                </c:pt>
                <c:pt idx="337">
                  <c:v>-3.2011750817880227</c:v>
                </c:pt>
                <c:pt idx="338">
                  <c:v>-3.2589555015582903</c:v>
                </c:pt>
                <c:pt idx="339">
                  <c:v>-3.3161784651699691</c:v>
                </c:pt>
                <c:pt idx="340">
                  <c:v>-3.3728617691174065</c:v>
                </c:pt>
                <c:pt idx="341">
                  <c:v>-3.4290225206486298</c:v>
                </c:pt>
                <c:pt idx="342">
                  <c:v>-3.4846771685101885</c:v>
                </c:pt>
                <c:pt idx="343">
                  <c:v>-3.5398415321512005</c:v>
                </c:pt>
                <c:pt idx="344">
                  <c:v>-3.5945308294720633</c:v>
                </c:pt>
                <c:pt idx="345">
                  <c:v>-3.648759703197868</c:v>
                </c:pt>
                <c:pt idx="346">
                  <c:v>-3.7025422459511503</c:v>
                </c:pt>
                <c:pt idx="347">
                  <c:v>-3.7558920240953171</c:v>
                </c:pt>
                <c:pt idx="348">
                  <c:v>-3.8088221004149432</c:v>
                </c:pt>
                <c:pt idx="349">
                  <c:v>-3.8613450556958924</c:v>
                </c:pt>
                <c:pt idx="350">
                  <c:v>-3.9134730092634413</c:v>
                </c:pt>
                <c:pt idx="351">
                  <c:v>-3.9652176385351652</c:v>
                </c:pt>
                <c:pt idx="352">
                  <c:v>-4.0165901976398573</c:v>
                </c:pt>
                <c:pt idx="353">
                  <c:v>-4.0676015351520505</c:v>
                </c:pt>
                <c:pt idx="354">
                  <c:v>-4.1182621109888942</c:v>
                </c:pt>
                <c:pt idx="355">
                  <c:v>-4.1685820125130419</c:v>
                </c:pt>
                <c:pt idx="356">
                  <c:v>-4.2185709698820801</c:v>
                </c:pt>
                <c:pt idx="357">
                  <c:v>-4.2682383706851965</c:v>
                </c:pt>
                <c:pt idx="358">
                  <c:v>-4.317593273901764</c:v>
                </c:pt>
                <c:pt idx="359">
                  <c:v>-4.3666444232183323</c:v>
                </c:pt>
                <c:pt idx="360">
                  <c:v>-4.4154002597354349</c:v>
                </c:pt>
                <c:pt idx="361">
                  <c:v>-4.4638689340960411</c:v>
                </c:pt>
                <c:pt idx="362">
                  <c:v>-4.5120583180643337</c:v>
                </c:pt>
                <c:pt idx="363">
                  <c:v>-4.5599760155828619</c:v>
                </c:pt>
                <c:pt idx="364">
                  <c:v>-4.607629373333566</c:v>
                </c:pt>
                <c:pt idx="365">
                  <c:v>-4.6550254908280806</c:v>
                </c:pt>
                <c:pt idx="366">
                  <c:v>-4.7021712300497711</c:v>
                </c:pt>
                <c:pt idx="367">
                  <c:v>-4.7490732246705818</c:v>
                </c:pt>
                <c:pt idx="368">
                  <c:v>-4.7957378888625328</c:v>
                </c:pt>
                <c:pt idx="369">
                  <c:v>-4.8421714257244162</c:v>
                </c:pt>
                <c:pt idx="370">
                  <c:v>-4.8883798353418797</c:v>
                </c:pt>
                <c:pt idx="371">
                  <c:v>-4.934368922498976</c:v>
                </c:pt>
                <c:pt idx="372">
                  <c:v>-4.9801443040577169</c:v>
                </c:pt>
                <c:pt idx="373">
                  <c:v>-5.0257114160213234</c:v>
                </c:pt>
                <c:pt idx="374">
                  <c:v>-5.0710755202969438</c:v>
                </c:pt>
                <c:pt idx="375">
                  <c:v>-5.116241711171142</c:v>
                </c:pt>
                <c:pt idx="376">
                  <c:v>-5.16121492151251</c:v>
                </c:pt>
                <c:pt idx="377">
                  <c:v>-5.2059999287137657</c:v>
                </c:pt>
                <c:pt idx="378">
                  <c:v>-5.2506013603855877</c:v>
                </c:pt>
                <c:pt idx="379">
                  <c:v>-5.2950236998136972</c:v>
                </c:pt>
                <c:pt idx="380">
                  <c:v>-5.3392712911904994</c:v>
                </c:pt>
                <c:pt idx="381">
                  <c:v>-5.3833483446311163</c:v>
                </c:pt>
                <c:pt idx="382">
                  <c:v>-5.4272589409840464</c:v>
                </c:pt>
                <c:pt idx="383">
                  <c:v>-5.4710070364458545</c:v>
                </c:pt>
                <c:pt idx="384">
                  <c:v>-5.5145964669881948</c:v>
                </c:pt>
                <c:pt idx="385">
                  <c:v>-5.5580309526069129</c:v>
                </c:pt>
                <c:pt idx="386">
                  <c:v>-5.6013141013999075</c:v>
                </c:pt>
                <c:pt idx="387">
                  <c:v>-5.6444494134820786</c:v>
                </c:pt>
                <c:pt idx="388">
                  <c:v>-5.6874402847443832</c:v>
                </c:pt>
                <c:pt idx="389">
                  <c:v>-5.7302900104643584</c:v>
                </c:pt>
                <c:pt idx="390">
                  <c:v>-5.7730017887741667</c:v>
                </c:pt>
                <c:pt idx="391">
                  <c:v>-5.815578723992644</c:v>
                </c:pt>
                <c:pt idx="392">
                  <c:v>-5.8580238298270331</c:v>
                </c:pt>
                <c:pt idx="393">
                  <c:v>-5.9003400324510551</c:v>
                </c:pt>
                <c:pt idx="394">
                  <c:v>-5.9425301734629272</c:v>
                </c:pt>
                <c:pt idx="395">
                  <c:v>-5.9845970127303474</c:v>
                </c:pt>
                <c:pt idx="396">
                  <c:v>-6.0265432311261691</c:v>
                </c:pt>
                <c:pt idx="397">
                  <c:v>-6.0683714331598537</c:v>
                </c:pt>
                <c:pt idx="398">
                  <c:v>-6.110084149508765</c:v>
                </c:pt>
                <c:pt idx="399">
                  <c:v>-6.1516838394544209</c:v>
                </c:pt>
                <c:pt idx="400">
                  <c:v>-6.1931728932264605</c:v>
                </c:pt>
                <c:pt idx="401">
                  <c:v>-6.2345536342593846</c:v>
                </c:pt>
                <c:pt idx="402">
                  <c:v>-6.2758283213650543</c:v>
                </c:pt>
                <c:pt idx="403">
                  <c:v>-6.3169991508242731</c:v>
                </c:pt>
                <c:pt idx="404">
                  <c:v>-6.3580682584018859</c:v>
                </c:pt>
                <c:pt idx="405">
                  <c:v>-6.3990377212870726</c:v>
                </c:pt>
                <c:pt idx="406">
                  <c:v>-6.4399095599630982</c:v>
                </c:pt>
                <c:pt idx="407">
                  <c:v>-6.4806857400087381</c:v>
                </c:pt>
                <c:pt idx="408">
                  <c:v>-6.5213681738346452</c:v>
                </c:pt>
                <c:pt idx="409">
                  <c:v>-6.5619587223565645</c:v>
                </c:pt>
                <c:pt idx="410">
                  <c:v>-6.6024591966090895</c:v>
                </c:pt>
                <c:pt idx="411">
                  <c:v>-6.6428713593010968</c:v>
                </c:pt>
                <c:pt idx="412">
                  <c:v>-6.6831969263159294</c:v>
                </c:pt>
                <c:pt idx="413">
                  <c:v>-6.7234375681587437</c:v>
                </c:pt>
                <c:pt idx="414">
                  <c:v>-6.7635949113522429</c:v>
                </c:pt>
                <c:pt idx="415">
                  <c:v>-6.8036705397836101</c:v>
                </c:pt>
                <c:pt idx="416">
                  <c:v>-6.8436659960043187</c:v>
                </c:pt>
                <c:pt idx="417">
                  <c:v>-6.8835827824846945</c:v>
                </c:pt>
                <c:pt idx="418">
                  <c:v>-6.9234223628247094</c:v>
                </c:pt>
                <c:pt idx="419">
                  <c:v>-6.9631861629232787</c:v>
                </c:pt>
                <c:pt idx="420">
                  <c:v>-7.0028755721070581</c:v>
                </c:pt>
                <c:pt idx="421">
                  <c:v>-7.0424919442208136</c:v>
                </c:pt>
                <c:pt idx="422">
                  <c:v>-7.0820365986804745</c:v>
                </c:pt>
                <c:pt idx="423">
                  <c:v>-7.1215108214904319</c:v>
                </c:pt>
                <c:pt idx="424">
                  <c:v>-7.1609158662266452</c:v>
                </c:pt>
                <c:pt idx="425">
                  <c:v>-7.2002529549862402</c:v>
                </c:pt>
                <c:pt idx="426">
                  <c:v>-7.2395232793058426</c:v>
                </c:pt>
                <c:pt idx="427">
                  <c:v>-7.2787280010488189</c:v>
                </c:pt>
                <c:pt idx="428">
                  <c:v>-7.3178682532630432</c:v>
                </c:pt>
                <c:pt idx="429">
                  <c:v>-7.3569451410106126</c:v>
                </c:pt>
                <c:pt idx="430">
                  <c:v>-7.3959597421697936</c:v>
                </c:pt>
                <c:pt idx="431">
                  <c:v>-7.4349131082110773</c:v>
                </c:pt>
                <c:pt idx="432">
                  <c:v>-7.4738062649474841</c:v>
                </c:pt>
                <c:pt idx="433">
                  <c:v>-7.5126402132606813</c:v>
                </c:pt>
                <c:pt idx="434">
                  <c:v>-7.5514159298033974</c:v>
                </c:pt>
                <c:pt idx="435">
                  <c:v>-7.5901343676793829</c:v>
                </c:pt>
                <c:pt idx="436">
                  <c:v>-7.6287964571013163</c:v>
                </c:pt>
                <c:pt idx="437">
                  <c:v>-7.6674031060277059</c:v>
                </c:pt>
                <c:pt idx="438">
                  <c:v>-7.705955200779556</c:v>
                </c:pt>
                <c:pt idx="439">
                  <c:v>-7.7444536066371938</c:v>
                </c:pt>
                <c:pt idx="440">
                  <c:v>-7.7828991684187088</c:v>
                </c:pt>
                <c:pt idx="441">
                  <c:v>-7.8212927110396038</c:v>
                </c:pt>
                <c:pt idx="442">
                  <c:v>-7.8596350400552524</c:v>
                </c:pt>
                <c:pt idx="443">
                  <c:v>-7.8979269421864728</c:v>
                </c:pt>
                <c:pt idx="444">
                  <c:v>-7.9361691858281631</c:v>
                </c:pt>
                <c:pt idx="445">
                  <c:v>-7.974362521543128</c:v>
                </c:pt>
                <c:pt idx="446">
                  <c:v>-8.0125076825396491</c:v>
                </c:pt>
                <c:pt idx="447">
                  <c:v>-8.0506053851351282</c:v>
                </c:pt>
                <c:pt idx="448">
                  <c:v>-8.0886563292051221</c:v>
                </c:pt>
                <c:pt idx="449">
                  <c:v>-8.1266611986188195</c:v>
                </c:pt>
                <c:pt idx="450">
                  <c:v>-8.1646206616612176</c:v>
                </c:pt>
                <c:pt idx="451">
                  <c:v>-8.2025353714427069</c:v>
                </c:pt>
                <c:pt idx="452">
                  <c:v>-8.2404059662960094</c:v>
                </c:pt>
                <c:pt idx="453">
                  <c:v>-8.2782330701614057</c:v>
                </c:pt>
                <c:pt idx="454">
                  <c:v>-8.3160172929603391</c:v>
                </c:pt>
                <c:pt idx="455">
                  <c:v>-8.3537592309580475</c:v>
                </c:pt>
                <c:pt idx="456">
                  <c:v>-8.3914594671151974</c:v>
                </c:pt>
                <c:pt idx="457">
                  <c:v>-8.429118571429143</c:v>
                </c:pt>
                <c:pt idx="458">
                  <c:v>-8.4667371012655792</c:v>
                </c:pt>
                <c:pt idx="459">
                  <c:v>-8.5043156016796786</c:v>
                </c:pt>
                <c:pt idx="460">
                  <c:v>-8.5418546057284459</c:v>
                </c:pt>
                <c:pt idx="461">
                  <c:v>-8.5793546347738641</c:v>
                </c:pt>
                <c:pt idx="462">
                  <c:v>-8.616816198777201</c:v>
                </c:pt>
                <c:pt idx="463">
                  <c:v>-8.6542397965845055</c:v>
                </c:pt>
                <c:pt idx="464">
                  <c:v>-8.6916259162045435</c:v>
                </c:pt>
                <c:pt idx="465">
                  <c:v>-8.728975035078065</c:v>
                </c:pt>
                <c:pt idx="466">
                  <c:v>-8.7662876203399378</c:v>
                </c:pt>
                <c:pt idx="467">
                  <c:v>-8.8035641290734361</c:v>
                </c:pt>
                <c:pt idx="468">
                  <c:v>-8.8408050085574246</c:v>
                </c:pt>
                <c:pt idx="469">
                  <c:v>-8.8780106965067489</c:v>
                </c:pt>
                <c:pt idx="470">
                  <c:v>-8.9151816213055497</c:v>
                </c:pt>
                <c:pt idx="471">
                  <c:v>-8.9523182022342667</c:v>
                </c:pt>
                <c:pt idx="472">
                  <c:v>-8.9894208496901911</c:v>
                </c:pt>
                <c:pt idx="473">
                  <c:v>-9.0264899654018507</c:v>
                </c:pt>
                <c:pt idx="474">
                  <c:v>-9.0635259426376535</c:v>
                </c:pt>
                <c:pt idx="475">
                  <c:v>-9.1005291664083359</c:v>
                </c:pt>
                <c:pt idx="476">
                  <c:v>-9.1375000136642939</c:v>
                </c:pt>
                <c:pt idx="477">
                  <c:v>-9.1744388534874872</c:v>
                </c:pt>
                <c:pt idx="478">
                  <c:v>-9.2113460472775159</c:v>
                </c:pt>
                <c:pt idx="479">
                  <c:v>-9.2482219489333488</c:v>
                </c:pt>
                <c:pt idx="480">
                  <c:v>-9.2850669050296801</c:v>
                </c:pt>
                <c:pt idx="481">
                  <c:v>-9.3218812549887389</c:v>
                </c:pt>
                <c:pt idx="482">
                  <c:v>-9.3586653312472095</c:v>
                </c:pt>
                <c:pt idx="483">
                  <c:v>-9.3954194594190312</c:v>
                </c:pt>
                <c:pt idx="484">
                  <c:v>-9.4321439584535085</c:v>
                </c:pt>
                <c:pt idx="485">
                  <c:v>-9.4688391407894414</c:v>
                </c:pt>
                <c:pt idx="486">
                  <c:v>-9.5055053125049369</c:v>
                </c:pt>
                <c:pt idx="487">
                  <c:v>-9.5421427734635529</c:v>
                </c:pt>
                <c:pt idx="488">
                  <c:v>-9.5787518174562365</c:v>
                </c:pt>
                <c:pt idx="489">
                  <c:v>-9.6153327323398514</c:v>
                </c:pt>
                <c:pt idx="490">
                  <c:v>-9.6518858001718968</c:v>
                </c:pt>
                <c:pt idx="491">
                  <c:v>-9.6884112973417871</c:v>
                </c:pt>
                <c:pt idx="492">
                  <c:v>-9.7249094946984656</c:v>
                </c:pt>
                <c:pt idx="493">
                  <c:v>-9.7613806576753461</c:v>
                </c:pt>
                <c:pt idx="494">
                  <c:v>-9.7978250464111909</c:v>
                </c:pt>
                <c:pt idx="495">
                  <c:v>-9.8342429158684581</c:v>
                </c:pt>
                <c:pt idx="496">
                  <c:v>-9.8706345159485807</c:v>
                </c:pt>
                <c:pt idx="497">
                  <c:v>-9.9070000916038907</c:v>
                </c:pt>
                <c:pt idx="498">
                  <c:v>-9.9433398829472708</c:v>
                </c:pt>
                <c:pt idx="499">
                  <c:v>-9.979654125358536</c:v>
                </c:pt>
                <c:pt idx="500">
                  <c:v>-10.015943049588202</c:v>
                </c:pt>
                <c:pt idx="501">
                  <c:v>-10.052206881859036</c:v>
                </c:pt>
                <c:pt idx="502">
                  <c:v>-10.088445843964678</c:v>
                </c:pt>
                <c:pt idx="503">
                  <c:v>-10.124660153365625</c:v>
                </c:pt>
                <c:pt idx="504">
                  <c:v>-10.160850023283388</c:v>
                </c:pt>
                <c:pt idx="505">
                  <c:v>-10.197015662791813</c:v>
                </c:pt>
                <c:pt idx="506">
                  <c:v>-10.233157276906439</c:v>
                </c:pt>
                <c:pt idx="507">
                  <c:v>-10.269275066671383</c:v>
                </c:pt>
                <c:pt idx="508">
                  <c:v>-10.305369229244405</c:v>
                </c:pt>
                <c:pt idx="509">
                  <c:v>-10.341439957979446</c:v>
                </c:pt>
                <c:pt idx="510">
                  <c:v>-10.377487442507743</c:v>
                </c:pt>
                <c:pt idx="511">
                  <c:v>-10.413511868816357</c:v>
                </c:pt>
                <c:pt idx="512">
                  <c:v>-10.449513419325257</c:v>
                </c:pt>
                <c:pt idx="513">
                  <c:v>-10.485492272962119</c:v>
                </c:pt>
                <c:pt idx="514">
                  <c:v>-10.521448605235975</c:v>
                </c:pt>
                <c:pt idx="515">
                  <c:v>-10.557382588308116</c:v>
                </c:pt>
                <c:pt idx="516">
                  <c:v>-10.593294391062187</c:v>
                </c:pt>
                <c:pt idx="517">
                  <c:v>-10.62918417917237</c:v>
                </c:pt>
                <c:pt idx="518">
                  <c:v>-10.665052115169431</c:v>
                </c:pt>
                <c:pt idx="519">
                  <c:v>-10.700898358506009</c:v>
                </c:pt>
                <c:pt idx="520">
                  <c:v>-10.7367230656196</c:v>
                </c:pt>
                <c:pt idx="521">
                  <c:v>-10.772526389994795</c:v>
                </c:pt>
                <c:pt idx="522">
                  <c:v>-10.808308482223396</c:v>
                </c:pt>
                <c:pt idx="523">
                  <c:v>-10.844069490063418</c:v>
                </c:pt>
                <c:pt idx="524">
                  <c:v>-10.879809558496817</c:v>
                </c:pt>
                <c:pt idx="525">
                  <c:v>-10.915528829785529</c:v>
                </c:pt>
                <c:pt idx="526">
                  <c:v>-10.951227443526733</c:v>
                </c:pt>
                <c:pt idx="527">
                  <c:v>-10.986905536706359</c:v>
                </c:pt>
                <c:pt idx="528">
                  <c:v>-11.022563243751392</c:v>
                </c:pt>
                <c:pt idx="529">
                  <c:v>-11.058200696581366</c:v>
                </c:pt>
                <c:pt idx="530">
                  <c:v>-11.093818024658333</c:v>
                </c:pt>
                <c:pt idx="531">
                  <c:v>-11.129415355035661</c:v>
                </c:pt>
                <c:pt idx="532">
                  <c:v>-11.164992812406126</c:v>
                </c:pt>
                <c:pt idx="533">
                  <c:v>-11.200550519148265</c:v>
                </c:pt>
                <c:pt idx="534">
                  <c:v>-11.23608859537228</c:v>
                </c:pt>
                <c:pt idx="535">
                  <c:v>-11.271607158964656</c:v>
                </c:pt>
                <c:pt idx="536">
                  <c:v>-11.307106325631707</c:v>
                </c:pt>
                <c:pt idx="537">
                  <c:v>-11.342586208942265</c:v>
                </c:pt>
                <c:pt idx="538">
                  <c:v>-11.378046920369428</c:v>
                </c:pt>
                <c:pt idx="539">
                  <c:v>-11.413488569331207</c:v>
                </c:pt>
                <c:pt idx="540">
                  <c:v>-11.448911263230428</c:v>
                </c:pt>
                <c:pt idx="541">
                  <c:v>-11.48431510749387</c:v>
                </c:pt>
                <c:pt idx="542">
                  <c:v>-11.51970020561015</c:v>
                </c:pt>
                <c:pt idx="543">
                  <c:v>-11.555066659167068</c:v>
                </c:pt>
                <c:pt idx="544">
                  <c:v>-11.590414567888274</c:v>
                </c:pt>
                <c:pt idx="545">
                  <c:v>-11.625744029668539</c:v>
                </c:pt>
                <c:pt idx="546">
                  <c:v>-11.661055140609051</c:v>
                </c:pt>
                <c:pt idx="547">
                  <c:v>-11.696347995051212</c:v>
                </c:pt>
                <c:pt idx="548">
                  <c:v>-11.73162268561029</c:v>
                </c:pt>
                <c:pt idx="549">
                  <c:v>-11.766879303207872</c:v>
                </c:pt>
                <c:pt idx="550">
                  <c:v>-11.802117937103986</c:v>
                </c:pt>
                <c:pt idx="551">
                  <c:v>-11.837338674928304</c:v>
                </c:pt>
                <c:pt idx="552">
                  <c:v>-11.872541602710669</c:v>
                </c:pt>
                <c:pt idx="553">
                  <c:v>-11.907726804911249</c:v>
                </c:pt>
                <c:pt idx="554">
                  <c:v>-11.942894364449586</c:v>
                </c:pt>
                <c:pt idx="555">
                  <c:v>-11.978044362733584</c:v>
                </c:pt>
                <c:pt idx="556">
                  <c:v>-12.01317687968745</c:v>
                </c:pt>
                <c:pt idx="557">
                  <c:v>-12.048291993779031</c:v>
                </c:pt>
                <c:pt idx="558">
                  <c:v>-12.083389782047021</c:v>
                </c:pt>
                <c:pt idx="559">
                  <c:v>-12.118470320127159</c:v>
                </c:pt>
                <c:pt idx="560">
                  <c:v>-12.153533682277981</c:v>
                </c:pt>
                <c:pt idx="561">
                  <c:v>-12.188579941406147</c:v>
                </c:pt>
                <c:pt idx="562">
                  <c:v>-12.223609169091276</c:v>
                </c:pt>
                <c:pt idx="563">
                  <c:v>-12.258621435609882</c:v>
                </c:pt>
                <c:pt idx="564">
                  <c:v>-12.293616809959474</c:v>
                </c:pt>
                <c:pt idx="565">
                  <c:v>-12.32859535988149</c:v>
                </c:pt>
                <c:pt idx="566">
                  <c:v>-12.363557151884152</c:v>
                </c:pt>
                <c:pt idx="567">
                  <c:v>-12.398502251264802</c:v>
                </c:pt>
                <c:pt idx="568">
                  <c:v>-12.433430722131703</c:v>
                </c:pt>
                <c:pt idx="569">
                  <c:v>-12.468342627425443</c:v>
                </c:pt>
                <c:pt idx="570">
                  <c:v>-12.503238028939762</c:v>
                </c:pt>
                <c:pt idx="571">
                  <c:v>-12.538116987342306</c:v>
                </c:pt>
                <c:pt idx="572">
                  <c:v>-12.572979562194604</c:v>
                </c:pt>
                <c:pt idx="573">
                  <c:v>-12.607825811971821</c:v>
                </c:pt>
                <c:pt idx="574">
                  <c:v>-12.642655794082032</c:v>
                </c:pt>
                <c:pt idx="575">
                  <c:v>-12.677469564885172</c:v>
                </c:pt>
                <c:pt idx="576">
                  <c:v>-12.71226717971166</c:v>
                </c:pt>
                <c:pt idx="577">
                  <c:v>-12.747048692880412</c:v>
                </c:pt>
                <c:pt idx="578">
                  <c:v>-12.781814157716838</c:v>
                </c:pt>
                <c:pt idx="579">
                  <c:v>-12.816563626570257</c:v>
                </c:pt>
                <c:pt idx="580">
                  <c:v>-12.851297150830959</c:v>
                </c:pt>
                <c:pt idx="581">
                  <c:v>-12.886014780947107</c:v>
                </c:pt>
                <c:pt idx="582">
                  <c:v>-12.920716566440944</c:v>
                </c:pt>
                <c:pt idx="583">
                  <c:v>-12.955402555925332</c:v>
                </c:pt>
                <c:pt idx="584">
                  <c:v>-12.990072797119211</c:v>
                </c:pt>
                <c:pt idx="585">
                  <c:v>-13.024727336863265</c:v>
                </c:pt>
                <c:pt idx="586">
                  <c:v>-13.059366221135122</c:v>
                </c:pt>
                <c:pt idx="587">
                  <c:v>-13.093989495064278</c:v>
                </c:pt>
                <c:pt idx="588">
                  <c:v>-13.128597202946764</c:v>
                </c:pt>
                <c:pt idx="589">
                  <c:v>-13.163189388259269</c:v>
                </c:pt>
                <c:pt idx="590">
                  <c:v>-13.19776609367355</c:v>
                </c:pt>
                <c:pt idx="591">
                  <c:v>-13.232327361069963</c:v>
                </c:pt>
                <c:pt idx="592">
                  <c:v>-13.266873231551244</c:v>
                </c:pt>
                <c:pt idx="593">
                  <c:v>-13.301403745455389</c:v>
                </c:pt>
                <c:pt idx="594">
                  <c:v>-13.335918942369318</c:v>
                </c:pt>
                <c:pt idx="595">
                  <c:v>-13.370418861140934</c:v>
                </c:pt>
                <c:pt idx="596">
                  <c:v>-13.404903539892189</c:v>
                </c:pt>
                <c:pt idx="597">
                  <c:v>-13.439373016031197</c:v>
                </c:pt>
                <c:pt idx="598">
                  <c:v>-13.473827326264342</c:v>
                </c:pt>
                <c:pt idx="599">
                  <c:v>-13.50826650660801</c:v>
                </c:pt>
                <c:pt idx="600">
                  <c:v>-13.542690592400447</c:v>
                </c:pt>
                <c:pt idx="601">
                  <c:v>-13.5770996183129</c:v>
                </c:pt>
                <c:pt idx="602">
                  <c:v>-13.611493618361123</c:v>
                </c:pt>
                <c:pt idx="603">
                  <c:v>-13.645872625915956</c:v>
                </c:pt>
                <c:pt idx="604">
                  <c:v>-13.680236673714546</c:v>
                </c:pt>
                <c:pt idx="605">
                  <c:v>-13.714585793870668</c:v>
                </c:pt>
                <c:pt idx="606">
                  <c:v>-15.41356482177676</c:v>
                </c:pt>
                <c:pt idx="607">
                  <c:v>-17.077603879851637</c:v>
                </c:pt>
                <c:pt idx="608">
                  <c:v>-18.707458660421821</c:v>
                </c:pt>
                <c:pt idx="609">
                  <c:v>-20.303053092249257</c:v>
                </c:pt>
                <c:pt idx="610">
                  <c:v>-21.863963216612092</c:v>
                </c:pt>
                <c:pt idx="611">
                  <c:v>-23.389659368641048</c:v>
                </c:pt>
                <c:pt idx="612">
                  <c:v>-24.879632422923521</c:v>
                </c:pt>
                <c:pt idx="613">
                  <c:v>-26.333460097498261</c:v>
                </c:pt>
                <c:pt idx="614">
                  <c:v>-27.750840283309827</c:v>
                </c:pt>
                <c:pt idx="615">
                  <c:v>-29.131605325368184</c:v>
                </c:pt>
                <c:pt idx="616">
                  <c:v>-30.475724917632903</c:v>
                </c:pt>
                <c:pt idx="617">
                  <c:v>-31.783302076710356</c:v>
                </c:pt>
                <c:pt idx="618">
                  <c:v>-32.340527683477347</c:v>
                </c:pt>
                <c:pt idx="619">
                  <c:v>-32.89055793168302</c:v>
                </c:pt>
                <c:pt idx="620">
                  <c:v>-33.433493733252476</c:v>
                </c:pt>
                <c:pt idx="621">
                  <c:v>-33.969432578332913</c:v>
                </c:pt>
                <c:pt idx="622">
                  <c:v>-34.498468984433032</c:v>
                </c:pt>
                <c:pt idx="623">
                  <c:v>-35.02069488225743</c:v>
                </c:pt>
                <c:pt idx="624">
                  <c:v>-35.536199946656637</c:v>
                </c:pt>
                <c:pt idx="625">
                  <c:v>-36.045071879962421</c:v>
                </c:pt>
                <c:pt idx="626">
                  <c:v>-36.547396653990177</c:v>
                </c:pt>
                <c:pt idx="627">
                  <c:v>-37.043258716156089</c:v>
                </c:pt>
                <c:pt idx="628">
                  <c:v>-37.532741164435066</c:v>
                </c:pt>
                <c:pt idx="629">
                  <c:v>-38.015925895272773</c:v>
                </c:pt>
                <c:pt idx="630">
                  <c:v>-38.492893728031447</c:v>
                </c:pt>
                <c:pt idx="631">
                  <c:v>-38.963724509094419</c:v>
                </c:pt>
                <c:pt idx="632">
                  <c:v>-39.428497198354137</c:v>
                </c:pt>
                <c:pt idx="633">
                  <c:v>-39.887289940470055</c:v>
                </c:pt>
                <c:pt idx="634">
                  <c:v>-40.340180122978126</c:v>
                </c:pt>
                <c:pt idx="635">
                  <c:v>-40.787244423078164</c:v>
                </c:pt>
                <c:pt idx="636">
                  <c:v>-41.228558844695272</c:v>
                </c:pt>
                <c:pt idx="637">
                  <c:v>-41.664198747213959</c:v>
                </c:pt>
                <c:pt idx="638">
                  <c:v>-42.094238867109965</c:v>
                </c:pt>
                <c:pt idx="639">
                  <c:v>-42.518753333551047</c:v>
                </c:pt>
                <c:pt idx="640">
                  <c:v>-42.93781567890548</c:v>
                </c:pt>
                <c:pt idx="641">
                  <c:v>-43.351498844978067</c:v>
                </c:pt>
                <c:pt idx="642">
                  <c:v>-43.759875185691072</c:v>
                </c:pt>
                <c:pt idx="643">
                  <c:v>-44.163016466834222</c:v>
                </c:pt>
                <c:pt idx="644">
                  <c:v>-44.560993863430213</c:v>
                </c:pt>
                <c:pt idx="645">
                  <c:v>-44.953877955189171</c:v>
                </c:pt>
                <c:pt idx="646">
                  <c:v>-45.341738720463354</c:v>
                </c:pt>
                <c:pt idx="647">
                  <c:v>-45.724645529058762</c:v>
                </c:pt>
                <c:pt idx="648">
                  <c:v>-46.10266713421214</c:v>
                </c:pt>
                <c:pt idx="649">
                  <c:v>-46.475871663996429</c:v>
                </c:pt>
                <c:pt idx="650">
                  <c:v>-46.844326612383639</c:v>
                </c:pt>
                <c:pt idx="651">
                  <c:v>-47.208098830156558</c:v>
                </c:pt>
                <c:pt idx="652">
                  <c:v>-47.567254515835799</c:v>
                </c:pt>
                <c:pt idx="653">
                  <c:v>-47.921859206758342</c:v>
                </c:pt>
                <c:pt idx="654">
                  <c:v>-48.271977770424172</c:v>
                </c:pt>
                <c:pt idx="655">
                  <c:v>-48.617674396206894</c:v>
                </c:pt>
                <c:pt idx="656">
                  <c:v>-48.959012587505271</c:v>
                </c:pt>
                <c:pt idx="657">
                  <c:v>-49.296055154399284</c:v>
                </c:pt>
                <c:pt idx="658">
                  <c:v>-49.628864206859845</c:v>
                </c:pt>
                <c:pt idx="659">
                  <c:v>-49.957501148549653</c:v>
                </c:pt>
                <c:pt idx="660">
                  <c:v>-50.282026671242619</c:v>
                </c:pt>
                <c:pt idx="661">
                  <c:v>-50.602500749881045</c:v>
                </c:pt>
                <c:pt idx="662">
                  <c:v>-50.918982638281079</c:v>
                </c:pt>
                <c:pt idx="663">
                  <c:v>-51.231530865491635</c:v>
                </c:pt>
                <c:pt idx="664">
                  <c:v>-51.540203232805368</c:v>
                </c:pt>
                <c:pt idx="665">
                  <c:v>-51.845056811416129</c:v>
                </c:pt>
                <c:pt idx="666">
                  <c:v>-52.146147940713576</c:v>
                </c:pt>
                <c:pt idx="667">
                  <c:v>-52.443532227201558</c:v>
                </c:pt>
              </c:numCache>
            </c:numRef>
          </c:yVal>
          <c:smooth val="0"/>
          <c:extLst>
            <c:ext xmlns:c16="http://schemas.microsoft.com/office/drawing/2014/chart" uri="{C3380CC4-5D6E-409C-BE32-E72D297353CC}">
              <c16:uniqueId val="{00000003-C323-45F5-AD89-2A9969707A73}"/>
            </c:ext>
          </c:extLst>
        </c:ser>
        <c:dLbls>
          <c:showLegendKey val="0"/>
          <c:showVal val="0"/>
          <c:showCatName val="0"/>
          <c:showSerName val="0"/>
          <c:showPercent val="0"/>
          <c:showBubbleSize val="0"/>
        </c:dLbls>
        <c:axId val="177428736"/>
        <c:axId val="177430528"/>
      </c:scatterChart>
      <c:valAx>
        <c:axId val="177420544"/>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8566911218015"/>
              <c:y val="0.88189196822838745"/>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6816"/>
        <c:crossesAt val="-80"/>
        <c:crossBetween val="midCat"/>
      </c:valAx>
      <c:valAx>
        <c:axId val="177426816"/>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2.9010238907849841E-2"/>
              <c:y val="0.4409459841141904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0544"/>
        <c:crosses val="autoZero"/>
        <c:crossBetween val="midCat"/>
      </c:valAx>
      <c:valAx>
        <c:axId val="177428736"/>
        <c:scaling>
          <c:logBase val="10"/>
          <c:orientation val="minMax"/>
        </c:scaling>
        <c:delete val="1"/>
        <c:axPos val="b"/>
        <c:numFmt formatCode="General" sourceLinked="1"/>
        <c:majorTickMark val="out"/>
        <c:minorTickMark val="none"/>
        <c:tickLblPos val="none"/>
        <c:crossAx val="177430528"/>
        <c:crosses val="autoZero"/>
        <c:crossBetween val="midCat"/>
      </c:valAx>
      <c:valAx>
        <c:axId val="177430528"/>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733860059302123"/>
              <c:y val="0.36483022299377932"/>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8736"/>
        <c:crosses val="max"/>
        <c:crossBetween val="midCat"/>
      </c:valAx>
      <c:spPr>
        <a:noFill/>
        <a:ln w="12700">
          <a:solidFill>
            <a:srgbClr val="808080"/>
          </a:solidFill>
          <a:prstDash val="solid"/>
        </a:ln>
      </c:spPr>
    </c:plotArea>
    <c:legend>
      <c:legendPos val="t"/>
      <c:layout>
        <c:manualLayout>
          <c:xMode val="edge"/>
          <c:yMode val="edge"/>
          <c:x val="0.78157068250427764"/>
          <c:y val="1.3123359580052583E-2"/>
          <c:w val="0.20307185151344131"/>
          <c:h val="0.14698190285269724"/>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a:t>
            </a:r>
          </a:p>
        </c:rich>
      </c:tx>
      <c:layout>
        <c:manualLayout>
          <c:xMode val="edge"/>
          <c:yMode val="edge"/>
          <c:x val="0.40108892921960942"/>
          <c:y val="3.3854166666666671E-2"/>
        </c:manualLayout>
      </c:layout>
      <c:overlay val="0"/>
      <c:spPr>
        <a:noFill/>
        <a:ln w="25400">
          <a:noFill/>
        </a:ln>
      </c:spPr>
    </c:title>
    <c:autoTitleDeleted val="0"/>
    <c:plotArea>
      <c:layout>
        <c:manualLayout>
          <c:layoutTarget val="inner"/>
          <c:xMode val="edge"/>
          <c:yMode val="edge"/>
          <c:x val="0.11615245009074388"/>
          <c:y val="0.20833386315374539"/>
          <c:w val="0.79128856624319865"/>
          <c:h val="0.60416820314586173"/>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58.253383421172259</c:v>
                </c:pt>
                <c:pt idx="1">
                  <c:v>53.179990577063478</c:v>
                </c:pt>
                <c:pt idx="2">
                  <c:v>49.858737499089557</c:v>
                </c:pt>
                <c:pt idx="3">
                  <c:v>47.432415072805156</c:v>
                </c:pt>
                <c:pt idx="4">
                  <c:v>45.528168881940985</c:v>
                </c:pt>
                <c:pt idx="5">
                  <c:v>43.963105740838273</c:v>
                </c:pt>
                <c:pt idx="6">
                  <c:v>42.635406551232919</c:v>
                </c:pt>
                <c:pt idx="7">
                  <c:v>41.482882356663147</c:v>
                </c:pt>
                <c:pt idx="8">
                  <c:v>40.464860321109448</c:v>
                </c:pt>
                <c:pt idx="9">
                  <c:v>39.553317321395383</c:v>
                </c:pt>
                <c:pt idx="10">
                  <c:v>33.54449577410837</c:v>
                </c:pt>
                <c:pt idx="11">
                  <c:v>30.025275140338238</c:v>
                </c:pt>
                <c:pt idx="12">
                  <c:v>27.527908344259963</c:v>
                </c:pt>
                <c:pt idx="13">
                  <c:v>25.590904001009555</c:v>
                </c:pt>
                <c:pt idx="14">
                  <c:v>24.008505976608742</c:v>
                </c:pt>
                <c:pt idx="15">
                  <c:v>22.670911267879788</c:v>
                </c:pt>
                <c:pt idx="16">
                  <c:v>21.512562285584089</c:v>
                </c:pt>
                <c:pt idx="17">
                  <c:v>20.491167161200259</c:v>
                </c:pt>
                <c:pt idx="18">
                  <c:v>19.577846649156413</c:v>
                </c:pt>
                <c:pt idx="19">
                  <c:v>13.585606522996327</c:v>
                </c:pt>
                <c:pt idx="20">
                  <c:v>10.110586311829779</c:v>
                </c:pt>
                <c:pt idx="21">
                  <c:v>7.6767161427996093</c:v>
                </c:pt>
                <c:pt idx="22">
                  <c:v>5.8209541425720772</c:v>
                </c:pt>
                <c:pt idx="23">
                  <c:v>4.3365960487307698</c:v>
                </c:pt>
                <c:pt idx="24">
                  <c:v>3.1129384897003103</c:v>
                </c:pt>
                <c:pt idx="25">
                  <c:v>2.0834842057954059</c:v>
                </c:pt>
                <c:pt idx="26">
                  <c:v>1.2049558681080048</c:v>
                </c:pt>
                <c:pt idx="27">
                  <c:v>0.4474556263062478</c:v>
                </c:pt>
                <c:pt idx="28">
                  <c:v>-2.1249576484943051</c:v>
                </c:pt>
                <c:pt idx="29">
                  <c:v>-3.491299437918312</c:v>
                </c:pt>
                <c:pt idx="30">
                  <c:v>-4.2057950254314278</c:v>
                </c:pt>
                <c:pt idx="31">
                  <c:v>-4.534266578029901</c:v>
                </c:pt>
                <c:pt idx="32">
                  <c:v>-4.6223678242776094</c:v>
                </c:pt>
                <c:pt idx="33">
                  <c:v>-4.5560423752805326</c:v>
                </c:pt>
                <c:pt idx="34">
                  <c:v>-4.388673557604112</c:v>
                </c:pt>
                <c:pt idx="35">
                  <c:v>-4.1547375534528639</c:v>
                </c:pt>
                <c:pt idx="36">
                  <c:v>-3.8771754604354252</c:v>
                </c:pt>
                <c:pt idx="37">
                  <c:v>-3.5715999706963637</c:v>
                </c:pt>
                <c:pt idx="38">
                  <c:v>-3.2488116027182867</c:v>
                </c:pt>
                <c:pt idx="39">
                  <c:v>-2.9163661025019465</c:v>
                </c:pt>
                <c:pt idx="40">
                  <c:v>-2.5795848474938001</c:v>
                </c:pt>
                <c:pt idx="41">
                  <c:v>-2.2422249324093757</c:v>
                </c:pt>
                <c:pt idx="42">
                  <c:v>-1.9069339832168588</c:v>
                </c:pt>
                <c:pt idx="43">
                  <c:v>-1.5755647395359889</c:v>
                </c:pt>
                <c:pt idx="44">
                  <c:v>-1.2493960245807414</c:v>
                </c:pt>
                <c:pt idx="45">
                  <c:v>-0.92928994347421512</c:v>
                </c:pt>
                <c:pt idx="46">
                  <c:v>-0.61580490040527847</c:v>
                </c:pt>
                <c:pt idx="47">
                  <c:v>-0.30927757182999172</c:v>
                </c:pt>
                <c:pt idx="48">
                  <c:v>-9.8828039587115623E-3</c:v>
                </c:pt>
                <c:pt idx="49">
                  <c:v>0.28232235017278506</c:v>
                </c:pt>
                <c:pt idx="50">
                  <c:v>0.56736609072565591</c:v>
                </c:pt>
                <c:pt idx="51">
                  <c:v>0.84533773058721351</c:v>
                </c:pt>
                <c:pt idx="52">
                  <c:v>1.1163697337291192</c:v>
                </c:pt>
                <c:pt idx="53">
                  <c:v>1.3806243264680387</c:v>
                </c:pt>
                <c:pt idx="54">
                  <c:v>1.6382835111807323</c:v>
                </c:pt>
                <c:pt idx="55">
                  <c:v>1.8895416233886275</c:v>
                </c:pt>
                <c:pt idx="56">
                  <c:v>2.1345997976198294</c:v>
                </c:pt>
                <c:pt idx="57">
                  <c:v>2.3736618705542951</c:v>
                </c:pt>
                <c:pt idx="58">
                  <c:v>2.6069313692810638</c:v>
                </c:pt>
                <c:pt idx="59">
                  <c:v>2.8346093203578788</c:v>
                </c:pt>
                <c:pt idx="60">
                  <c:v>3.0568926804449688</c:v>
                </c:pt>
                <c:pt idx="61">
                  <c:v>3.273973237759364</c:v>
                </c:pt>
                <c:pt idx="62">
                  <c:v>3.486036869886747</c:v>
                </c:pt>
                <c:pt idx="63">
                  <c:v>3.6932630707863074</c:v>
                </c:pt>
                <c:pt idx="64">
                  <c:v>3.8958246804487469</c:v>
                </c:pt>
                <c:pt idx="65">
                  <c:v>4.0938877663133191</c:v>
                </c:pt>
                <c:pt idx="66">
                  <c:v>4.2876116174624412</c:v>
                </c:pt>
                <c:pt idx="67">
                  <c:v>4.4771488217134587</c:v>
                </c:pt>
                <c:pt idx="68">
                  <c:v>4.6626454027011226</c:v>
                </c:pt>
                <c:pt idx="69">
                  <c:v>4.8442409994027775</c:v>
                </c:pt>
                <c:pt idx="70">
                  <c:v>5.0220690746847332</c:v>
                </c:pt>
                <c:pt idx="71">
                  <c:v>5.1962571426325264</c:v>
                </c:pt>
                <c:pt idx="72">
                  <c:v>5.3669270068882255</c:v>
                </c:pt>
                <c:pt idx="73">
                  <c:v>5.5341950041214911</c:v>
                </c:pt>
                <c:pt idx="74">
                  <c:v>5.6981722482344583</c:v>
                </c:pt>
                <c:pt idx="75">
                  <c:v>5.8589648720410379</c:v>
                </c:pt>
                <c:pt idx="76">
                  <c:v>6.016674264043643</c:v>
                </c:pt>
                <c:pt idx="77">
                  <c:v>6.1713972986117982</c:v>
                </c:pt>
                <c:pt idx="78">
                  <c:v>6.3232265583928351</c:v>
                </c:pt>
                <c:pt idx="79">
                  <c:v>6.4722505481884749</c:v>
                </c:pt>
                <c:pt idx="80">
                  <c:v>6.6185538998400997</c:v>
                </c:pt>
                <c:pt idx="81">
                  <c:v>6.7622175679002128</c:v>
                </c:pt>
                <c:pt idx="82">
                  <c:v>6.90331901604464</c:v>
                </c:pt>
                <c:pt idx="83">
                  <c:v>7.041932394311937</c:v>
                </c:pt>
                <c:pt idx="84">
                  <c:v>7.1781287073532614</c:v>
                </c:pt>
                <c:pt idx="85">
                  <c:v>7.3119759739454331</c:v>
                </c:pt>
                <c:pt idx="86">
                  <c:v>7.4435393780682579</c:v>
                </c:pt>
                <c:pt idx="87">
                  <c:v>7.5728814118789938</c:v>
                </c:pt>
                <c:pt idx="88">
                  <c:v>7.7000620109364277</c:v>
                </c:pt>
                <c:pt idx="89">
                  <c:v>7.8251386820363376</c:v>
                </c:pt>
                <c:pt idx="90">
                  <c:v>7.9481666240229636</c:v>
                </c:pt>
                <c:pt idx="91">
                  <c:v>8.0691988419377587</c:v>
                </c:pt>
                <c:pt idx="92">
                  <c:v>8.1882862548597188</c:v>
                </c:pt>
                <c:pt idx="93">
                  <c:v>8.3054777977817142</c:v>
                </c:pt>
                <c:pt idx="94">
                  <c:v>8.4208205178549882</c:v>
                </c:pt>
                <c:pt idx="95">
                  <c:v>8.5343596653209275</c:v>
                </c:pt>
                <c:pt idx="96">
                  <c:v>8.6461387794347981</c:v>
                </c:pt>
                <c:pt idx="97">
                  <c:v>8.7561997696714897</c:v>
                </c:pt>
                <c:pt idx="98">
                  <c:v>8.8645829924889092</c:v>
                </c:pt>
                <c:pt idx="99">
                  <c:v>8.9713273239094722</c:v>
                </c:pt>
                <c:pt idx="100">
                  <c:v>9.0764702281663858</c:v>
                </c:pt>
                <c:pt idx="101">
                  <c:v>9.1800478226469835</c:v>
                </c:pt>
                <c:pt idx="102">
                  <c:v>9.2820949393521897</c:v>
                </c:pt>
                <c:pt idx="103">
                  <c:v>9.3826451830781856</c:v>
                </c:pt>
                <c:pt idx="104">
                  <c:v>9.4817309865140089</c:v>
                </c:pt>
                <c:pt idx="105">
                  <c:v>9.5793836624371682</c:v>
                </c:pt>
                <c:pt idx="106">
                  <c:v>9.6756334531780368</c:v>
                </c:pt>
                <c:pt idx="107">
                  <c:v>9.7705095775136428</c:v>
                </c:pt>
                <c:pt idx="108">
                  <c:v>9.8640402751410718</c:v>
                </c:pt>
                <c:pt idx="109">
                  <c:v>9.9562528488718769</c:v>
                </c:pt>
                <c:pt idx="110">
                  <c:v>10.047173704679599</c:v>
                </c:pt>
                <c:pt idx="111">
                  <c:v>10.136828389724702</c:v>
                </c:pt>
                <c:pt idx="112">
                  <c:v>10.225241628473134</c:v>
                </c:pt>
                <c:pt idx="113">
                  <c:v>10.312437357017698</c:v>
                </c:pt>
                <c:pt idx="114">
                  <c:v>10.398438755704484</c:v>
                </c:pt>
                <c:pt idx="115">
                  <c:v>10.483268280160347</c:v>
                </c:pt>
                <c:pt idx="116">
                  <c:v>10.566947690811368</c:v>
                </c:pt>
                <c:pt idx="117">
                  <c:v>10.649498080976759</c:v>
                </c:pt>
                <c:pt idx="118">
                  <c:v>10.730939903617303</c:v>
                </c:pt>
                <c:pt idx="119">
                  <c:v>10.811292996812846</c:v>
                </c:pt>
                <c:pt idx="120">
                  <c:v>10.890576608038371</c:v>
                </c:pt>
                <c:pt idx="121">
                  <c:v>10.968809417304348</c:v>
                </c:pt>
                <c:pt idx="122">
                  <c:v>11.046009559222824</c:v>
                </c:pt>
                <c:pt idx="123">
                  <c:v>11.122194644056975</c:v>
                </c:pt>
                <c:pt idx="124">
                  <c:v>11.197381777808582</c:v>
                </c:pt>
                <c:pt idx="125">
                  <c:v>11.271587581394403</c:v>
                </c:pt>
                <c:pt idx="126">
                  <c:v>11.344828208959408</c:v>
                </c:pt>
                <c:pt idx="127">
                  <c:v>11.417119365372185</c:v>
                </c:pt>
                <c:pt idx="128">
                  <c:v>11.488476322944907</c:v>
                </c:pt>
                <c:pt idx="129">
                  <c:v>11.558913937417847</c:v>
                </c:pt>
                <c:pt idx="130">
                  <c:v>11.628446663246251</c:v>
                </c:pt>
                <c:pt idx="131">
                  <c:v>11.697088568224849</c:v>
                </c:pt>
                <c:pt idx="132">
                  <c:v>11.764853347483639</c:v>
                </c:pt>
                <c:pt idx="133">
                  <c:v>11.831754336886313</c:v>
                </c:pt>
                <c:pt idx="134">
                  <c:v>11.89780452586113</c:v>
                </c:pt>
                <c:pt idx="135">
                  <c:v>11.963016569692201</c:v>
                </c:pt>
                <c:pt idx="136">
                  <c:v>12.027402801297722</c:v>
                </c:pt>
                <c:pt idx="137">
                  <c:v>12.090975242520056</c:v>
                </c:pt>
                <c:pt idx="138">
                  <c:v>12.153745614951273</c:v>
                </c:pt>
                <c:pt idx="139">
                  <c:v>12.215725350316431</c:v>
                </c:pt>
                <c:pt idx="140">
                  <c:v>12.276925600435632</c:v>
                </c:pt>
                <c:pt idx="141">
                  <c:v>12.337357246784777</c:v>
                </c:pt>
                <c:pt idx="142">
                  <c:v>12.397030909673818</c:v>
                </c:pt>
                <c:pt idx="143">
                  <c:v>12.455956957060316</c:v>
                </c:pt>
                <c:pt idx="144">
                  <c:v>12.514145513015194</c:v>
                </c:pt>
                <c:pt idx="145">
                  <c:v>12.571606465856537</c:v>
                </c:pt>
                <c:pt idx="146">
                  <c:v>12.628349475966729</c:v>
                </c:pt>
                <c:pt idx="147">
                  <c:v>12.684383983306963</c:v>
                </c:pt>
                <c:pt idx="148">
                  <c:v>12.739719214643017</c:v>
                </c:pt>
                <c:pt idx="149">
                  <c:v>12.794364190494889</c:v>
                </c:pt>
                <c:pt idx="150">
                  <c:v>12.848327731822621</c:v>
                </c:pt>
                <c:pt idx="151">
                  <c:v>12.901618466459855</c:v>
                </c:pt>
                <c:pt idx="152">
                  <c:v>12.95424483530609</c:v>
                </c:pt>
                <c:pt idx="153">
                  <c:v>13.006215098288123</c:v>
                </c:pt>
                <c:pt idx="154">
                  <c:v>13.05753734010046</c:v>
                </c:pt>
                <c:pt idx="155">
                  <c:v>13.10821947573424</c:v>
                </c:pt>
                <c:pt idx="156">
                  <c:v>13.158269255803546</c:v>
                </c:pt>
                <c:pt idx="157">
                  <c:v>13.207694271677576</c:v>
                </c:pt>
                <c:pt idx="158">
                  <c:v>13.256501960426837</c:v>
                </c:pt>
                <c:pt idx="159">
                  <c:v>13.304699609590982</c:v>
                </c:pt>
                <c:pt idx="160">
                  <c:v>13.352294361775678</c:v>
                </c:pt>
                <c:pt idx="161">
                  <c:v>13.399293219085372</c:v>
                </c:pt>
                <c:pt idx="162">
                  <c:v>13.445703047398748</c:v>
                </c:pt>
                <c:pt idx="163">
                  <c:v>13.491530580493038</c:v>
                </c:pt>
                <c:pt idx="164">
                  <c:v>13.536782424023301</c:v>
                </c:pt>
                <c:pt idx="165">
                  <c:v>13.581465059362422</c:v>
                </c:pt>
                <c:pt idx="166">
                  <c:v>13.625584847307277</c:v>
                </c:pt>
                <c:pt idx="167">
                  <c:v>13.66914803165626</c:v>
                </c:pt>
                <c:pt idx="168">
                  <c:v>13.712160742663283</c:v>
                </c:pt>
                <c:pt idx="169">
                  <c:v>13.75462900037283</c:v>
                </c:pt>
                <c:pt idx="170">
                  <c:v>13.796558717840803</c:v>
                </c:pt>
                <c:pt idx="171">
                  <c:v>13.837955704245337</c:v>
                </c:pt>
                <c:pt idx="172">
                  <c:v>13.878825667891832</c:v>
                </c:pt>
                <c:pt idx="173">
                  <c:v>13.919174219116165</c:v>
                </c:pt>
                <c:pt idx="174">
                  <c:v>13.959006873089816</c:v>
                </c:pt>
                <c:pt idx="175">
                  <c:v>13.998329052530636</c:v>
                </c:pt>
                <c:pt idx="176">
                  <c:v>14.037146090322556</c:v>
                </c:pt>
                <c:pt idx="177">
                  <c:v>14.075463232047831</c:v>
                </c:pt>
                <c:pt idx="178">
                  <c:v>14.113285638434682</c:v>
                </c:pt>
                <c:pt idx="179">
                  <c:v>14.150618387723672</c:v>
                </c:pt>
                <c:pt idx="180">
                  <c:v>14.187466477955519</c:v>
                </c:pt>
                <c:pt idx="181">
                  <c:v>14.223834829183286</c:v>
                </c:pt>
                <c:pt idx="182">
                  <c:v>14.259728285611557</c:v>
                </c:pt>
                <c:pt idx="183">
                  <c:v>14.295151617665194</c:v>
                </c:pt>
                <c:pt idx="184">
                  <c:v>14.330109523990163</c:v>
                </c:pt>
                <c:pt idx="185">
                  <c:v>14.36460663338873</c:v>
                </c:pt>
                <c:pt idx="186">
                  <c:v>14.398647506691404</c:v>
                </c:pt>
                <c:pt idx="187">
                  <c:v>14.432236638567728</c:v>
                </c:pt>
                <c:pt idx="188">
                  <c:v>14.465378459278044</c:v>
                </c:pt>
                <c:pt idx="189">
                  <c:v>14.498077336368251</c:v>
                </c:pt>
                <c:pt idx="190">
                  <c:v>14.530337576309488</c:v>
                </c:pt>
                <c:pt idx="191">
                  <c:v>14.56216342608462</c:v>
                </c:pt>
                <c:pt idx="192">
                  <c:v>14.593559074723252</c:v>
                </c:pt>
                <c:pt idx="193">
                  <c:v>14.624528654787156</c:v>
                </c:pt>
                <c:pt idx="194">
                  <c:v>14.655076243807517</c:v>
                </c:pt>
                <c:pt idx="195">
                  <c:v>14.685205865675911</c:v>
                </c:pt>
                <c:pt idx="196">
                  <c:v>14.714921491990182</c:v>
                </c:pt>
                <c:pt idx="197">
                  <c:v>14.744227043357112</c:v>
                </c:pt>
                <c:pt idx="198">
                  <c:v>14.773126390652902</c:v>
                </c:pt>
                <c:pt idx="199">
                  <c:v>14.801623356243214</c:v>
                </c:pt>
                <c:pt idx="200">
                  <c:v>14.829721715163778</c:v>
                </c:pt>
                <c:pt idx="201">
                  <c:v>14.857425196263087</c:v>
                </c:pt>
                <c:pt idx="202">
                  <c:v>14.884737483308275</c:v>
                </c:pt>
                <c:pt idx="203">
                  <c:v>14.911662216055401</c:v>
                </c:pt>
                <c:pt idx="204">
                  <c:v>14.938202991285344</c:v>
                </c:pt>
                <c:pt idx="205">
                  <c:v>14.964363363806319</c:v>
                </c:pt>
                <c:pt idx="206">
                  <c:v>14.990146847424191</c:v>
                </c:pt>
                <c:pt idx="207">
                  <c:v>15.015556915881508</c:v>
                </c:pt>
                <c:pt idx="208">
                  <c:v>15.040597003766415</c:v>
                </c:pt>
                <c:pt idx="209">
                  <c:v>15.065270507392185</c:v>
                </c:pt>
                <c:pt idx="210">
                  <c:v>15.089580785648574</c:v>
                </c:pt>
                <c:pt idx="211">
                  <c:v>15.113531160825662</c:v>
                </c:pt>
                <c:pt idx="212">
                  <c:v>15.137124919411191</c:v>
                </c:pt>
                <c:pt idx="213">
                  <c:v>15.160365312862245</c:v>
                </c:pt>
                <c:pt idx="214">
                  <c:v>15.183255558351991</c:v>
                </c:pt>
                <c:pt idx="215">
                  <c:v>15.205798839492406</c:v>
                </c:pt>
                <c:pt idx="216">
                  <c:v>15.227998307033628</c:v>
                </c:pt>
                <c:pt idx="217">
                  <c:v>15.249857079540787</c:v>
                </c:pt>
                <c:pt idx="218">
                  <c:v>15.271378244048952</c:v>
                </c:pt>
                <c:pt idx="219">
                  <c:v>15.292564856696929</c:v>
                </c:pt>
                <c:pt idx="220">
                  <c:v>15.313419943340584</c:v>
                </c:pt>
                <c:pt idx="221">
                  <c:v>15.333946500146336</c:v>
                </c:pt>
                <c:pt idx="222">
                  <c:v>15.354147494165433</c:v>
                </c:pt>
                <c:pt idx="223">
                  <c:v>15.374025863889685</c:v>
                </c:pt>
                <c:pt idx="224">
                  <c:v>15.393584519789187</c:v>
                </c:pt>
                <c:pt idx="225">
                  <c:v>15.412826344832633</c:v>
                </c:pt>
                <c:pt idx="226">
                  <c:v>15.58843444853988</c:v>
                </c:pt>
                <c:pt idx="227">
                  <c:v>15.735343988887161</c:v>
                </c:pt>
                <c:pt idx="228">
                  <c:v>15.856049649782895</c:v>
                </c:pt>
                <c:pt idx="229">
                  <c:v>15.952849946678651</c:v>
                </c:pt>
                <c:pt idx="230">
                  <c:v>16.027869017552391</c:v>
                </c:pt>
                <c:pt idx="231">
                  <c:v>16.083072731757738</c:v>
                </c:pt>
                <c:pt idx="232">
                  <c:v>16.120280960967058</c:v>
                </c:pt>
                <c:pt idx="233">
                  <c:v>16.14117734374879</c:v>
                </c:pt>
                <c:pt idx="234">
                  <c:v>16.147317481608248</c:v>
                </c:pt>
                <c:pt idx="235">
                  <c:v>16.140136204473706</c:v>
                </c:pt>
                <c:pt idx="236">
                  <c:v>16.120954319061045</c:v>
                </c:pt>
                <c:pt idx="237">
                  <c:v>16.090985089497266</c:v>
                </c:pt>
                <c:pt idx="238">
                  <c:v>16.051340583627727</c:v>
                </c:pt>
                <c:pt idx="239">
                  <c:v>16.003037939990776</c:v>
                </c:pt>
                <c:pt idx="240">
                  <c:v>15.947005560515883</c:v>
                </c:pt>
                <c:pt idx="241">
                  <c:v>15.884089205069994</c:v>
                </c:pt>
                <c:pt idx="242">
                  <c:v>15.815057949923222</c:v>
                </c:pt>
                <c:pt idx="243">
                  <c:v>15.740609968199376</c:v>
                </c:pt>
                <c:pt idx="244">
                  <c:v>15.661378092728055</c:v>
                </c:pt>
                <c:pt idx="245">
                  <c:v>15.577935127707034</c:v>
                </c:pt>
                <c:pt idx="246">
                  <c:v>15.490798883293913</c:v>
                </c:pt>
                <c:pt idx="247">
                  <c:v>15.400436915382008</c:v>
                </c:pt>
                <c:pt idx="248">
                  <c:v>15.307270960561768</c:v>
                </c:pt>
                <c:pt idx="249">
                  <c:v>15.211681063157787</c:v>
                </c:pt>
                <c:pt idx="250">
                  <c:v>15.114009397043418</c:v>
                </c:pt>
                <c:pt idx="251">
                  <c:v>15.014563789610275</c:v>
                </c:pt>
                <c:pt idx="252">
                  <c:v>14.913620958856164</c:v>
                </c:pt>
                <c:pt idx="253">
                  <c:v>14.811429477155215</c:v>
                </c:pt>
                <c:pt idx="254">
                  <c:v>14.708212477022034</c:v>
                </c:pt>
                <c:pt idx="255">
                  <c:v>14.604170115217642</c:v>
                </c:pt>
                <c:pt idx="256">
                  <c:v>14.49948181200577</c:v>
                </c:pt>
                <c:pt idx="257">
                  <c:v>14.394308282377251</c:v>
                </c:pt>
                <c:pt idx="258">
                  <c:v>14.288793375727234</c:v>
                </c:pt>
                <c:pt idx="259">
                  <c:v>14.183065739886874</c:v>
                </c:pt>
                <c:pt idx="260">
                  <c:v>14.077240324654136</c:v>
                </c:pt>
                <c:pt idx="261">
                  <c:v>13.971419739099353</c:v>
                </c:pt>
                <c:pt idx="262">
                  <c:v>13.865695475988247</c:v>
                </c:pt>
                <c:pt idx="263">
                  <c:v>13.760149015706205</c:v>
                </c:pt>
                <c:pt idx="264">
                  <c:v>13.654852821110525</c:v>
                </c:pt>
                <c:pt idx="265">
                  <c:v>13.549871233802477</c:v>
                </c:pt>
                <c:pt idx="266">
                  <c:v>13.44526128141352</c:v>
                </c:pt>
                <c:pt idx="267">
                  <c:v>13.341073404648451</c:v>
                </c:pt>
                <c:pt idx="268">
                  <c:v>13.237352112029338</c:v>
                </c:pt>
                <c:pt idx="269">
                  <c:v>13.134136569540477</c:v>
                </c:pt>
                <c:pt idx="270">
                  <c:v>13.031461131687028</c:v>
                </c:pt>
                <c:pt idx="271">
                  <c:v>12.929355819848089</c:v>
                </c:pt>
                <c:pt idx="272">
                  <c:v>12.827846753226728</c:v>
                </c:pt>
                <c:pt idx="273">
                  <c:v>12.726956537172587</c:v>
                </c:pt>
                <c:pt idx="274">
                  <c:v>12.626704613173889</c:v>
                </c:pt>
                <c:pt idx="275">
                  <c:v>12.527107574382084</c:v>
                </c:pt>
                <c:pt idx="276">
                  <c:v>12.4281794501404</c:v>
                </c:pt>
                <c:pt idx="277">
                  <c:v>12.329931962633971</c:v>
                </c:pt>
                <c:pt idx="278">
                  <c:v>12.232374758460697</c:v>
                </c:pt>
                <c:pt idx="279">
                  <c:v>12.135515617635628</c:v>
                </c:pt>
                <c:pt idx="280">
                  <c:v>12.039360642284102</c:v>
                </c:pt>
                <c:pt idx="281">
                  <c:v>11.943914427048005</c:v>
                </c:pt>
                <c:pt idx="282">
                  <c:v>11.84918021302197</c:v>
                </c:pt>
                <c:pt idx="283">
                  <c:v>11.75516002685062</c:v>
                </c:pt>
                <c:pt idx="284">
                  <c:v>11.661854806451275</c:v>
                </c:pt>
                <c:pt idx="285">
                  <c:v>11.569264514677254</c:v>
                </c:pt>
                <c:pt idx="286">
                  <c:v>11.477388242103126</c:v>
                </c:pt>
                <c:pt idx="287">
                  <c:v>11.386224299993508</c:v>
                </c:pt>
                <c:pt idx="288">
                  <c:v>11.295770304409578</c:v>
                </c:pt>
                <c:pt idx="289">
                  <c:v>11.206023252311386</c:v>
                </c:pt>
                <c:pt idx="290">
                  <c:v>11.116979590427775</c:v>
                </c:pt>
                <c:pt idx="291">
                  <c:v>11.02863527758859</c:v>
                </c:pt>
                <c:pt idx="292">
                  <c:v>10.940985841144551</c:v>
                </c:pt>
                <c:pt idx="293">
                  <c:v>10.854026428038186</c:v>
                </c:pt>
                <c:pt idx="294">
                  <c:v>10.76775185103334</c:v>
                </c:pt>
                <c:pt idx="295">
                  <c:v>10.682156630561099</c:v>
                </c:pt>
                <c:pt idx="296">
                  <c:v>10.597235032594817</c:v>
                </c:pt>
                <c:pt idx="297">
                  <c:v>10.512981102926926</c:v>
                </c:pt>
                <c:pt idx="298">
                  <c:v>10.429388698183821</c:v>
                </c:pt>
                <c:pt idx="299">
                  <c:v>10.346451513882723</c:v>
                </c:pt>
                <c:pt idx="300">
                  <c:v>10.26416310980512</c:v>
                </c:pt>
                <c:pt idx="301">
                  <c:v>10.182516932935087</c:v>
                </c:pt>
                <c:pt idx="302">
                  <c:v>10.101506338187168</c:v>
                </c:pt>
                <c:pt idx="303">
                  <c:v>10.021124607127012</c:v>
                </c:pt>
                <c:pt idx="304">
                  <c:v>9.9413649648690203</c:v>
                </c:pt>
                <c:pt idx="305">
                  <c:v>9.8622205953176501</c:v>
                </c:pt>
                <c:pt idx="306">
                  <c:v>9.7836846549035883</c:v>
                </c:pt>
                <c:pt idx="307">
                  <c:v>9.7057502849519359</c:v>
                </c:pt>
                <c:pt idx="308">
                  <c:v>9.6284106228065767</c:v>
                </c:pt>
                <c:pt idx="309">
                  <c:v>9.5516588118238079</c:v>
                </c:pt>
                <c:pt idx="310">
                  <c:v>9.4754880103375285</c:v>
                </c:pt>
                <c:pt idx="311">
                  <c:v>9.399891399689146</c:v>
                </c:pt>
                <c:pt idx="312">
                  <c:v>9.3248621914067602</c:v>
                </c:pt>
                <c:pt idx="313">
                  <c:v>9.2503936336105568</c:v>
                </c:pt>
                <c:pt idx="314">
                  <c:v>9.176479016714282</c:v>
                </c:pt>
                <c:pt idx="315">
                  <c:v>9.103111678486508</c:v>
                </c:pt>
                <c:pt idx="316">
                  <c:v>9.0302850085294502</c:v>
                </c:pt>
                <c:pt idx="317">
                  <c:v>8.9579924522282504</c:v>
                </c:pt>
                <c:pt idx="318">
                  <c:v>8.8862275142185734</c:v>
                </c:pt>
                <c:pt idx="319">
                  <c:v>8.8149837614163289</c:v>
                </c:pt>
                <c:pt idx="320">
                  <c:v>8.7442548256493762</c:v>
                </c:pt>
                <c:pt idx="321">
                  <c:v>8.6740344059275252</c:v>
                </c:pt>
                <c:pt idx="322">
                  <c:v>8.6043162703840039</c:v>
                </c:pt>
                <c:pt idx="323">
                  <c:v>8.535094257918594</c:v>
                </c:pt>
                <c:pt idx="324">
                  <c:v>8.4663622795699318</c:v>
                </c:pt>
                <c:pt idx="325">
                  <c:v>8.3981143196422821</c:v>
                </c:pt>
                <c:pt idx="326">
                  <c:v>8.3303444366095611</c:v>
                </c:pt>
                <c:pt idx="327">
                  <c:v>8.2630467638177141</c:v>
                </c:pt>
                <c:pt idx="328">
                  <c:v>8.1962155100044853</c:v>
                </c:pt>
                <c:pt idx="329">
                  <c:v>8.1298449596540507</c:v>
                </c:pt>
                <c:pt idx="330">
                  <c:v>8.0639294732025508</c:v>
                </c:pt>
                <c:pt idx="331">
                  <c:v>7.9984634871089657</c:v>
                </c:pt>
                <c:pt idx="332">
                  <c:v>7.9334415138047012</c:v>
                </c:pt>
                <c:pt idx="333">
                  <c:v>7.868858141534087</c:v>
                </c:pt>
                <c:pt idx="334">
                  <c:v>7.8047080340967643</c:v>
                </c:pt>
                <c:pt idx="335">
                  <c:v>7.740985930502192</c:v>
                </c:pt>
                <c:pt idx="336">
                  <c:v>7.6776866445455045</c:v>
                </c:pt>
                <c:pt idx="337">
                  <c:v>7.6148050643131491</c:v>
                </c:pt>
                <c:pt idx="338">
                  <c:v>7.5523361516260774</c:v>
                </c:pt>
                <c:pt idx="339">
                  <c:v>7.4902749414274457</c:v>
                </c:pt>
                <c:pt idx="340">
                  <c:v>7.4286165411213725</c:v>
                </c:pt>
                <c:pt idx="341">
                  <c:v>7.3673561298685231</c:v>
                </c:pt>
                <c:pt idx="342">
                  <c:v>7.306488957843924</c:v>
                </c:pt>
                <c:pt idx="343">
                  <c:v>7.2460103454619116</c:v>
                </c:pt>
                <c:pt idx="344">
                  <c:v>7.1859156825725758</c:v>
                </c:pt>
                <c:pt idx="345">
                  <c:v>7.1262004276338766</c:v>
                </c:pt>
                <c:pt idx="346">
                  <c:v>7.066860106863051</c:v>
                </c:pt>
                <c:pt idx="347">
                  <c:v>7.0078903133706874</c:v>
                </c:pt>
                <c:pt idx="348">
                  <c:v>6.9492867062805264</c:v>
                </c:pt>
                <c:pt idx="349">
                  <c:v>6.8910450098377911</c:v>
                </c:pt>
                <c:pt idx="350">
                  <c:v>6.8331610125085627</c:v>
                </c:pt>
                <c:pt idx="351">
                  <c:v>6.7756305660724685</c:v>
                </c:pt>
                <c:pt idx="352">
                  <c:v>6.7184495847107994</c:v>
                </c:pt>
                <c:pt idx="353">
                  <c:v>6.6616140440919285</c:v>
                </c:pt>
                <c:pt idx="354">
                  <c:v>6.6051199804557106</c:v>
                </c:pt>
                <c:pt idx="355">
                  <c:v>6.5489634896984219</c:v>
                </c:pt>
                <c:pt idx="356">
                  <c:v>6.4931407264596519</c:v>
                </c:pt>
                <c:pt idx="357">
                  <c:v>6.4376479032123317</c:v>
                </c:pt>
                <c:pt idx="358">
                  <c:v>6.3824812893570737</c:v>
                </c:pt>
                <c:pt idx="359">
                  <c:v>6.3276372103218073</c:v>
                </c:pt>
                <c:pt idx="360">
                  <c:v>6.273112046667622</c:v>
                </c:pt>
                <c:pt idx="361">
                  <c:v>6.2189022332016064</c:v>
                </c:pt>
                <c:pt idx="362">
                  <c:v>6.1650042580974151</c:v>
                </c:pt>
                <c:pt idx="363">
                  <c:v>6.1114146620241421</c:v>
                </c:pt>
                <c:pt idx="364">
                  <c:v>6.0581300372841449</c:v>
                </c:pt>
                <c:pt idx="365">
                  <c:v>6.0051470269602305</c:v>
                </c:pt>
                <c:pt idx="366">
                  <c:v>5.9524623240726768</c:v>
                </c:pt>
                <c:pt idx="367">
                  <c:v>5.9000726707464066</c:v>
                </c:pt>
                <c:pt idx="368">
                  <c:v>5.8479748573887029</c:v>
                </c:pt>
                <c:pt idx="369">
                  <c:v>5.7961657218776574</c:v>
                </c:pt>
                <c:pt idx="370">
                  <c:v>5.7446421487616437</c:v>
                </c:pt>
                <c:pt idx="371">
                  <c:v>5.6934010684699734</c:v>
                </c:pt>
                <c:pt idx="372">
                  <c:v>5.6424394565348299</c:v>
                </c:pt>
                <c:pt idx="373">
                  <c:v>5.5917543328247401</c:v>
                </c:pt>
                <c:pt idx="374">
                  <c:v>5.5413427607894929</c:v>
                </c:pt>
                <c:pt idx="375">
                  <c:v>5.4912018467167156</c:v>
                </c:pt>
                <c:pt idx="376">
                  <c:v>5.4413287390000509</c:v>
                </c:pt>
                <c:pt idx="377">
                  <c:v>5.3917206274189811</c:v>
                </c:pt>
                <c:pt idx="378">
                  <c:v>5.3423747424303052</c:v>
                </c:pt>
                <c:pt idx="379">
                  <c:v>5.2932883544712093</c:v>
                </c:pt>
                <c:pt idx="380">
                  <c:v>5.2444587732739105</c:v>
                </c:pt>
                <c:pt idx="381">
                  <c:v>5.1958833471918204</c:v>
                </c:pt>
                <c:pt idx="382">
                  <c:v>5.147559462537151</c:v>
                </c:pt>
                <c:pt idx="383">
                  <c:v>5.0994845429298818</c:v>
                </c:pt>
                <c:pt idx="384">
                  <c:v>5.0516560486579998</c:v>
                </c:pt>
                <c:pt idx="385">
                  <c:v>5.0040714760488978</c:v>
                </c:pt>
                <c:pt idx="386">
                  <c:v>4.9567283568518459</c:v>
                </c:pt>
                <c:pt idx="387">
                  <c:v>4.9096242576313909</c:v>
                </c:pt>
                <c:pt idx="388">
                  <c:v>4.8627567791715904</c:v>
                </c:pt>
                <c:pt idx="389">
                  <c:v>4.8161235558909059</c:v>
                </c:pt>
                <c:pt idx="390">
                  <c:v>4.7697222552676841</c:v>
                </c:pt>
                <c:pt idx="391">
                  <c:v>4.7235505772760273</c:v>
                </c:pt>
                <c:pt idx="392">
                  <c:v>4.6776062538319501</c:v>
                </c:pt>
                <c:pt idx="393">
                  <c:v>4.6318870482496397</c:v>
                </c:pt>
                <c:pt idx="394">
                  <c:v>4.586390754707744</c:v>
                </c:pt>
                <c:pt idx="395">
                  <c:v>4.5411151977254365</c:v>
                </c:pt>
                <c:pt idx="396">
                  <c:v>4.4960582316481918</c:v>
                </c:pt>
                <c:pt idx="397">
                  <c:v>4.451217740143079</c:v>
                </c:pt>
                <c:pt idx="398">
                  <c:v>4.4065916357034247</c:v>
                </c:pt>
                <c:pt idx="399">
                  <c:v>4.3621778591626983</c:v>
                </c:pt>
                <c:pt idx="400">
                  <c:v>4.3179743792174632</c:v>
                </c:pt>
                <c:pt idx="401">
                  <c:v>4.2739791919592438</c:v>
                </c:pt>
                <c:pt idx="402">
                  <c:v>4.2301903204151374</c:v>
                </c:pt>
                <c:pt idx="403">
                  <c:v>4.1866058140970495</c:v>
                </c:pt>
                <c:pt idx="404">
                  <c:v>4.1432237485593673</c:v>
                </c:pt>
                <c:pt idx="405">
                  <c:v>4.1000422249649446</c:v>
                </c:pt>
                <c:pt idx="406">
                  <c:v>4.0570593696592354</c:v>
                </c:pt>
                <c:pt idx="407">
                  <c:v>4.014273333752425</c:v>
                </c:pt>
                <c:pt idx="408">
                  <c:v>3.9716822927094486</c:v>
                </c:pt>
                <c:pt idx="409">
                  <c:v>3.9292844459476539</c:v>
                </c:pt>
                <c:pt idx="410">
                  <c:v>3.8870780164421199</c:v>
                </c:pt>
                <c:pt idx="411">
                  <c:v>3.8450612503383286</c:v>
                </c:pt>
                <c:pt idx="412">
                  <c:v>3.8032324165721216</c:v>
                </c:pt>
                <c:pt idx="413">
                  <c:v>3.7615898064968638</c:v>
                </c:pt>
                <c:pt idx="414">
                  <c:v>3.7201317335175448</c:v>
                </c:pt>
                <c:pt idx="415">
                  <c:v>3.6788565327317806</c:v>
                </c:pt>
                <c:pt idx="416">
                  <c:v>3.6377625605775625</c:v>
                </c:pt>
                <c:pt idx="417">
                  <c:v>3.5968481944875914</c:v>
                </c:pt>
                <c:pt idx="418">
                  <c:v>3.556111832550108</c:v>
                </c:pt>
                <c:pt idx="419">
                  <c:v>3.5155518931760583</c:v>
                </c:pt>
                <c:pt idx="420">
                  <c:v>3.4751668147725172</c:v>
                </c:pt>
                <c:pt idx="421">
                  <c:v>3.4349550554221531</c:v>
                </c:pt>
                <c:pt idx="422">
                  <c:v>3.3949150925687546</c:v>
                </c:pt>
                <c:pt idx="423">
                  <c:v>3.3550454227085451</c:v>
                </c:pt>
                <c:pt idx="424">
                  <c:v>3.3153445610873193</c:v>
                </c:pt>
                <c:pt idx="425">
                  <c:v>3.2758110414031134</c:v>
                </c:pt>
                <c:pt idx="426">
                  <c:v>3.2364434155145068</c:v>
                </c:pt>
                <c:pt idx="427">
                  <c:v>3.1972402531542556</c:v>
                </c:pt>
                <c:pt idx="428">
                  <c:v>3.1582001416482535</c:v>
                </c:pt>
                <c:pt idx="429">
                  <c:v>3.1193216856396813</c:v>
                </c:pt>
                <c:pt idx="430">
                  <c:v>3.0806035068182509</c:v>
                </c:pt>
                <c:pt idx="431">
                  <c:v>3.0420442436544426</c:v>
                </c:pt>
                <c:pt idx="432">
                  <c:v>3.0036425511386131</c:v>
                </c:pt>
                <c:pt idx="433">
                  <c:v>2.9653971005249073</c:v>
                </c:pt>
                <c:pt idx="434">
                  <c:v>2.9273065790798656</c:v>
                </c:pt>
                <c:pt idx="435">
                  <c:v>2.8893696898355996</c:v>
                </c:pt>
                <c:pt idx="436">
                  <c:v>2.8515851513475265</c:v>
                </c:pt>
                <c:pt idx="437">
                  <c:v>2.8139516974564662</c:v>
                </c:pt>
                <c:pt idx="438">
                  <c:v>2.7764680770550769</c:v>
                </c:pt>
                <c:pt idx="439">
                  <c:v>2.7391330538585681</c:v>
                </c:pt>
                <c:pt idx="440">
                  <c:v>2.701945406179509</c:v>
                </c:pt>
                <c:pt idx="441">
                  <c:v>2.6649039267067343</c:v>
                </c:pt>
                <c:pt idx="442">
                  <c:v>2.6280074222882588</c:v>
                </c:pt>
                <c:pt idx="443">
                  <c:v>2.5912547137180471</c:v>
                </c:pt>
                <c:pt idx="444">
                  <c:v>2.5546446355266634</c:v>
                </c:pt>
                <c:pt idx="445">
                  <c:v>2.518176035775646</c:v>
                </c:pt>
                <c:pt idx="446">
                  <c:v>2.4818477758555506</c:v>
                </c:pt>
                <c:pt idx="447">
                  <c:v>2.4456587302876192</c:v>
                </c:pt>
                <c:pt idx="448">
                  <c:v>2.4096077865289764</c:v>
                </c:pt>
                <c:pt idx="449">
                  <c:v>2.3736938447812506</c:v>
                </c:pt>
                <c:pt idx="450">
                  <c:v>2.3379158178026578</c:v>
                </c:pt>
                <c:pt idx="451">
                  <c:v>2.3022726307233041</c:v>
                </c:pt>
                <c:pt idx="452">
                  <c:v>2.2667632208638495</c:v>
                </c:pt>
                <c:pt idx="453">
                  <c:v>2.2313865375572957</c:v>
                </c:pt>
                <c:pt idx="454">
                  <c:v>2.1961415419739239</c:v>
                </c:pt>
                <c:pt idx="455">
                  <c:v>2.1610272069493033</c:v>
                </c:pt>
                <c:pt idx="456">
                  <c:v>2.1260425168152826</c:v>
                </c:pt>
                <c:pt idx="457">
                  <c:v>2.0911864672339511</c:v>
                </c:pt>
                <c:pt idx="458">
                  <c:v>2.0564580650344757</c:v>
                </c:pt>
                <c:pt idx="459">
                  <c:v>2.0218563280527584</c:v>
                </c:pt>
                <c:pt idx="460">
                  <c:v>1.9873802849738897</c:v>
                </c:pt>
                <c:pt idx="461">
                  <c:v>1.9530289751772996</c:v>
                </c:pt>
                <c:pt idx="462">
                  <c:v>1.9188014485845761</c:v>
                </c:pt>
                <c:pt idx="463">
                  <c:v>1.8846967655099067</c:v>
                </c:pt>
                <c:pt idx="464">
                  <c:v>1.8507139965130821</c:v>
                </c:pt>
                <c:pt idx="465">
                  <c:v>1.8168522222550034</c:v>
                </c:pt>
                <c:pt idx="466">
                  <c:v>1.7831105333556425</c:v>
                </c:pt>
                <c:pt idx="467">
                  <c:v>1.7494880302544349</c:v>
                </c:pt>
                <c:pt idx="468">
                  <c:v>1.7159838230730515</c:v>
                </c:pt>
                <c:pt idx="469">
                  <c:v>1.6825970314804448</c:v>
                </c:pt>
                <c:pt idx="470">
                  <c:v>1.6493267845602015</c:v>
                </c:pt>
                <c:pt idx="471">
                  <c:v>1.6161722206801497</c:v>
                </c:pt>
                <c:pt idx="472">
                  <c:v>1.5831324873641048</c:v>
                </c:pt>
                <c:pt idx="473">
                  <c:v>1.5502067411657852</c:v>
                </c:pt>
                <c:pt idx="474">
                  <c:v>1.5173941475448567</c:v>
                </c:pt>
                <c:pt idx="475">
                  <c:v>1.4846938807449952</c:v>
                </c:pt>
                <c:pt idx="476">
                  <c:v>1.4521051236740121</c:v>
                </c:pt>
                <c:pt idx="477">
                  <c:v>1.4196270677859411</c:v>
                </c:pt>
                <c:pt idx="478">
                  <c:v>1.387258912965097</c:v>
                </c:pt>
                <c:pt idx="479">
                  <c:v>1.3549998674120165</c:v>
                </c:pt>
                <c:pt idx="480">
                  <c:v>1.322849147531292</c:v>
                </c:pt>
                <c:pt idx="481">
                  <c:v>1.2908059778212628</c:v>
                </c:pt>
                <c:pt idx="482">
                  <c:v>1.2588695907654506</c:v>
                </c:pt>
                <c:pt idx="483">
                  <c:v>1.2270392267258321</c:v>
                </c:pt>
                <c:pt idx="484">
                  <c:v>1.1953141338378095</c:v>
                </c:pt>
                <c:pt idx="485">
                  <c:v>1.1636935679068936</c:v>
                </c:pt>
                <c:pt idx="486">
                  <c:v>1.1321767923070614</c:v>
                </c:pt>
                <c:pt idx="487">
                  <c:v>1.1007630778807513</c:v>
                </c:pt>
                <c:pt idx="488">
                  <c:v>1.0694517028404558</c:v>
                </c:pt>
                <c:pt idx="489">
                  <c:v>1.038241952671932</c:v>
                </c:pt>
                <c:pt idx="490">
                  <c:v>1.0071331200389031</c:v>
                </c:pt>
                <c:pt idx="491">
                  <c:v>0.97612450468935275</c:v>
                </c:pt>
                <c:pt idx="492">
                  <c:v>0.94521541336323966</c:v>
                </c:pt>
                <c:pt idx="493">
                  <c:v>0.91440515970172931</c:v>
                </c:pt>
                <c:pt idx="494">
                  <c:v>0.88369306415784643</c:v>
                </c:pt>
                <c:pt idx="495">
                  <c:v>0.85307845390851966</c:v>
                </c:pt>
                <c:pt idx="496">
                  <c:v>0.82256066276806905</c:v>
                </c:pt>
                <c:pt idx="497">
                  <c:v>0.79213903110298056</c:v>
                </c:pt>
                <c:pt idx="498">
                  <c:v>0.76181290574807337</c:v>
                </c:pt>
                <c:pt idx="499">
                  <c:v>0.73158163992394543</c:v>
                </c:pt>
                <c:pt idx="500">
                  <c:v>0.70144459315572538</c:v>
                </c:pt>
                <c:pt idx="501">
                  <c:v>0.67140113119306133</c:v>
                </c:pt>
                <c:pt idx="502">
                  <c:v>0.64145062593140767</c:v>
                </c:pt>
                <c:pt idx="503">
                  <c:v>0.61159245533444828</c:v>
                </c:pt>
                <c:pt idx="504">
                  <c:v>0.58182600335779422</c:v>
                </c:pt>
                <c:pt idx="505">
                  <c:v>0.55215065987379774</c:v>
                </c:pt>
                <c:pt idx="506">
                  <c:v>0.52256582059756962</c:v>
                </c:pt>
                <c:pt idx="507">
                  <c:v>0.49307088701405261</c:v>
                </c:pt>
                <c:pt idx="508">
                  <c:v>0.46366526630633698</c:v>
                </c:pt>
                <c:pt idx="509">
                  <c:v>0.4343483712849136</c:v>
                </c:pt>
                <c:pt idx="510">
                  <c:v>0.40511962031813403</c:v>
                </c:pt>
                <c:pt idx="511">
                  <c:v>0.37597843726363445</c:v>
                </c:pt>
                <c:pt idx="512">
                  <c:v>0.34692425140083022</c:v>
                </c:pt>
                <c:pt idx="513">
                  <c:v>0.31795649736446169</c:v>
                </c:pt>
                <c:pt idx="514">
                  <c:v>0.28907461507905624</c:v>
                </c:pt>
                <c:pt idx="515">
                  <c:v>0.26027804969443946</c:v>
                </c:pt>
                <c:pt idx="516">
                  <c:v>0.23156625152221594</c:v>
                </c:pt>
                <c:pt idx="517">
                  <c:v>0.2029386759731367</c:v>
                </c:pt>
                <c:pt idx="518">
                  <c:v>0.17439478349544232</c:v>
                </c:pt>
                <c:pt idx="519">
                  <c:v>0.14593403951413067</c:v>
                </c:pt>
                <c:pt idx="520">
                  <c:v>0.11755591437107807</c:v>
                </c:pt>
                <c:pt idx="521">
                  <c:v>8.9259883266100834E-2</c:v>
                </c:pt>
                <c:pt idx="522">
                  <c:v>6.1045426198827316E-2</c:v>
                </c:pt>
                <c:pt idx="523">
                  <c:v>3.2912027911472422E-2</c:v>
                </c:pt>
                <c:pt idx="524">
                  <c:v>4.8591778324048587E-3</c:v>
                </c:pt>
                <c:pt idx="525">
                  <c:v>-2.3113629979416586E-2</c:v>
                </c:pt>
                <c:pt idx="526">
                  <c:v>-5.1006896889224315E-2</c:v>
                </c:pt>
                <c:pt idx="527">
                  <c:v>-7.8821119740429754E-2</c:v>
                </c:pt>
                <c:pt idx="528">
                  <c:v>-0.10655679090780834</c:v>
                </c:pt>
                <c:pt idx="529">
                  <c:v>-0.13421439834994772</c:v>
                </c:pt>
                <c:pt idx="530">
                  <c:v>-0.16179442566089597</c:v>
                </c:pt>
                <c:pt idx="531">
                  <c:v>-0.18929735212110596</c:v>
                </c:pt>
                <c:pt idx="532">
                  <c:v>-0.21672365274763744</c:v>
                </c:pt>
                <c:pt idx="533">
                  <c:v>-0.24407379834362192</c:v>
                </c:pt>
                <c:pt idx="534">
                  <c:v>-0.27134825554705411</c:v>
                </c:pt>
                <c:pt idx="535">
                  <c:v>-0.29854748687886101</c:v>
                </c:pt>
                <c:pt idx="536">
                  <c:v>-0.32567195079030414</c:v>
                </c:pt>
                <c:pt idx="537">
                  <c:v>-0.35272210170971258</c:v>
                </c:pt>
                <c:pt idx="538">
                  <c:v>-0.37969839008853989</c:v>
                </c:pt>
                <c:pt idx="539">
                  <c:v>-0.40660126244678219</c:v>
                </c:pt>
                <c:pt idx="540">
                  <c:v>-0.43343116141776328</c:v>
                </c:pt>
                <c:pt idx="541">
                  <c:v>-0.4601885257922852</c:v>
                </c:pt>
                <c:pt idx="542">
                  <c:v>-0.48687379056215441</c:v>
                </c:pt>
                <c:pt idx="543">
                  <c:v>-0.51348738696312413</c:v>
                </c:pt>
                <c:pt idx="544">
                  <c:v>-0.54002974251720826</c:v>
                </c:pt>
                <c:pt idx="545">
                  <c:v>-0.56650128107443387</c:v>
                </c:pt>
                <c:pt idx="546">
                  <c:v>-0.59290242285400996</c:v>
                </c:pt>
                <c:pt idx="547">
                  <c:v>-0.61923358448489352</c:v>
                </c:pt>
                <c:pt idx="548">
                  <c:v>-0.64549517904588516</c:v>
                </c:pt>
                <c:pt idx="549">
                  <c:v>-0.67168761610505334</c:v>
                </c:pt>
                <c:pt idx="550">
                  <c:v>-0.69781130175872197</c:v>
                </c:pt>
                <c:pt idx="551">
                  <c:v>-0.72386663866987178</c:v>
                </c:pt>
                <c:pt idx="552">
                  <c:v>-0.74985402610602148</c:v>
                </c:pt>
                <c:pt idx="553">
                  <c:v>-0.7757738599766193</c:v>
                </c:pt>
                <c:pt idx="554">
                  <c:v>-0.80162653286989782</c:v>
                </c:pt>
                <c:pt idx="555">
                  <c:v>-0.82741243408924503</c:v>
                </c:pt>
                <c:pt idx="556">
                  <c:v>-0.85313194968909589</c:v>
                </c:pt>
                <c:pt idx="557">
                  <c:v>-0.87878546251029355</c:v>
                </c:pt>
                <c:pt idx="558">
                  <c:v>-0.90437335221505666</c:v>
                </c:pt>
                <c:pt idx="559">
                  <c:v>-0.92989599532138267</c:v>
                </c:pt>
                <c:pt idx="560">
                  <c:v>-0.95535376523707494</c:v>
                </c:pt>
                <c:pt idx="561">
                  <c:v>-0.98074703229325011</c:v>
                </c:pt>
                <c:pt idx="562">
                  <c:v>-1.0060761637774587</c:v>
                </c:pt>
                <c:pt idx="563">
                  <c:v>-1.0313415239663151</c:v>
                </c:pt>
                <c:pt idx="564">
                  <c:v>-1.0565434741577271</c:v>
                </c:pt>
                <c:pt idx="565">
                  <c:v>-1.0816823727026985</c:v>
                </c:pt>
                <c:pt idx="566">
                  <c:v>-1.1067585750366837</c:v>
                </c:pt>
                <c:pt idx="567">
                  <c:v>-1.1317724337105759</c:v>
                </c:pt>
                <c:pt idx="568">
                  <c:v>-1.1567242984212365</c:v>
                </c:pt>
                <c:pt idx="569">
                  <c:v>-1.1816145160416871</c:v>
                </c:pt>
                <c:pt idx="570">
                  <c:v>-1.2064434306508478</c:v>
                </c:pt>
                <c:pt idx="571">
                  <c:v>-1.2312113835629253</c:v>
                </c:pt>
                <c:pt idx="572">
                  <c:v>-1.2559187133564096</c:v>
                </c:pt>
                <c:pt idx="573">
                  <c:v>-1.2805657559026897</c:v>
                </c:pt>
                <c:pt idx="574">
                  <c:v>-1.3051528443943117</c:v>
                </c:pt>
                <c:pt idx="575">
                  <c:v>-1.3296803093728564</c:v>
                </c:pt>
                <c:pt idx="576">
                  <c:v>-1.3541484787564784</c:v>
                </c:pt>
                <c:pt idx="577">
                  <c:v>-1.3785576778670718</c:v>
                </c:pt>
                <c:pt idx="578">
                  <c:v>-1.4029082294571014</c:v>
                </c:pt>
                <c:pt idx="579">
                  <c:v>-1.4272004537360963</c:v>
                </c:pt>
                <c:pt idx="580">
                  <c:v>-1.4514346683967803</c:v>
                </c:pt>
                <c:pt idx="581">
                  <c:v>-1.4756111886409</c:v>
                </c:pt>
                <c:pt idx="582">
                  <c:v>-1.499730327204708</c:v>
                </c:pt>
                <c:pt idx="583">
                  <c:v>-1.5237923943841429</c:v>
                </c:pt>
                <c:pt idx="584">
                  <c:v>-1.5477976980596448</c:v>
                </c:pt>
                <c:pt idx="585">
                  <c:v>-1.5717465437207381</c:v>
                </c:pt>
                <c:pt idx="586">
                  <c:v>-1.5956392344902199</c:v>
                </c:pt>
                <c:pt idx="587">
                  <c:v>-1.6194760711480951</c:v>
                </c:pt>
                <c:pt idx="588">
                  <c:v>-1.6432573521552198</c:v>
                </c:pt>
                <c:pt idx="589">
                  <c:v>-1.6669833736766133</c:v>
                </c:pt>
                <c:pt idx="590">
                  <c:v>-1.6906544296044992</c:v>
                </c:pt>
                <c:pt idx="591">
                  <c:v>-1.7142708115810634</c:v>
                </c:pt>
                <c:pt idx="592">
                  <c:v>-1.7378328090209543</c:v>
                </c:pt>
                <c:pt idx="593">
                  <c:v>-1.7613407091334199</c:v>
                </c:pt>
                <c:pt idx="594">
                  <c:v>-1.7847947969442925</c:v>
                </c:pt>
                <c:pt idx="595">
                  <c:v>-1.8081953553175913</c:v>
                </c:pt>
                <c:pt idx="596">
                  <c:v>-1.8315426649769524</c:v>
                </c:pt>
                <c:pt idx="597">
                  <c:v>-1.8548370045267206</c:v>
                </c:pt>
                <c:pt idx="598">
                  <c:v>-1.8780786504728328</c:v>
                </c:pt>
                <c:pt idx="599">
                  <c:v>-1.9012678772434353</c:v>
                </c:pt>
                <c:pt idx="600">
                  <c:v>-1.9244049572092319</c:v>
                </c:pt>
                <c:pt idx="601">
                  <c:v>-1.9474901607036212</c:v>
                </c:pt>
                <c:pt idx="602">
                  <c:v>-1.9705237560425395</c:v>
                </c:pt>
                <c:pt idx="603">
                  <c:v>-1.9935060095441277</c:v>
                </c:pt>
                <c:pt idx="604">
                  <c:v>-2.0164371855481051</c:v>
                </c:pt>
                <c:pt idx="605">
                  <c:v>-2.0393175464349431</c:v>
                </c:pt>
                <c:pt idx="606">
                  <c:v>-3.1238257573683166</c:v>
                </c:pt>
                <c:pt idx="607">
                  <c:v>-4.1085802546803798</c:v>
                </c:pt>
                <c:pt idx="608">
                  <c:v>-5.0133184361563385</c:v>
                </c:pt>
                <c:pt idx="609">
                  <c:v>-5.8525791822413069</c:v>
                </c:pt>
                <c:pt idx="610">
                  <c:v>-6.6373464718951904</c:v>
                </c:pt>
                <c:pt idx="611">
                  <c:v>-7.3760937209964448</c:v>
                </c:pt>
                <c:pt idx="612">
                  <c:v>-8.0754731248881821</c:v>
                </c:pt>
                <c:pt idx="613">
                  <c:v>-8.740785610417765</c:v>
                </c:pt>
                <c:pt idx="614">
                  <c:v>-9.3763101946882585</c:v>
                </c:pt>
                <c:pt idx="615">
                  <c:v>-9.985540371921612</c:v>
                </c:pt>
                <c:pt idx="616">
                  <c:v>-10.57135730814956</c:v>
                </c:pt>
                <c:pt idx="617">
                  <c:v>-11.136159033305606</c:v>
                </c:pt>
                <c:pt idx="618">
                  <c:v>-11.355439280875954</c:v>
                </c:pt>
                <c:pt idx="619">
                  <c:v>-11.571808545506743</c:v>
                </c:pt>
                <c:pt idx="620">
                  <c:v>-11.785375247035306</c:v>
                </c:pt>
                <c:pt idx="621">
                  <c:v>-11.996240930221679</c:v>
                </c:pt>
                <c:pt idx="622">
                  <c:v>-12.204500811158834</c:v>
                </c:pt>
                <c:pt idx="623">
                  <c:v>-12.410244273331337</c:v>
                </c:pt>
                <c:pt idx="624">
                  <c:v>-12.613555318671308</c:v>
                </c:pt>
                <c:pt idx="625">
                  <c:v>-12.814512978306624</c:v>
                </c:pt>
                <c:pt idx="626">
                  <c:v>-13.013191687133556</c:v>
                </c:pt>
                <c:pt idx="627">
                  <c:v>-13.209661625859306</c:v>
                </c:pt>
                <c:pt idx="628">
                  <c:v>-13.403989033739034</c:v>
                </c:pt>
                <c:pt idx="629">
                  <c:v>-13.596236494865595</c:v>
                </c:pt>
                <c:pt idx="630">
                  <c:v>-13.786463200551706</c:v>
                </c:pt>
                <c:pt idx="631">
                  <c:v>-13.974725190065813</c:v>
                </c:pt>
                <c:pt idx="632">
                  <c:v>-14.161075571739346</c:v>
                </c:pt>
                <c:pt idx="633">
                  <c:v>-14.345564726249211</c:v>
                </c:pt>
                <c:pt idx="634">
                  <c:v>-14.528240493691202</c:v>
                </c:pt>
                <c:pt idx="635">
                  <c:v>-14.709148345894461</c:v>
                </c:pt>
                <c:pt idx="636">
                  <c:v>-14.888331545280289</c:v>
                </c:pt>
                <c:pt idx="637">
                  <c:v>-15.065831291439189</c:v>
                </c:pt>
                <c:pt idx="638">
                  <c:v>-15.241686856484788</c:v>
                </c:pt>
                <c:pt idx="639">
                  <c:v>-15.415935710140918</c:v>
                </c:pt>
                <c:pt idx="640">
                  <c:v>-15.588613635427141</c:v>
                </c:pt>
                <c:pt idx="641">
                  <c:v>-15.759754835726504</c:v>
                </c:pt>
                <c:pt idx="642">
                  <c:v>-15.929392033946652</c:v>
                </c:pt>
                <c:pt idx="643">
                  <c:v>-16.097556564420234</c:v>
                </c:pt>
                <c:pt idx="644">
                  <c:v>-16.264278458132132</c:v>
                </c:pt>
                <c:pt idx="645">
                  <c:v>-16.429586521808496</c:v>
                </c:pt>
                <c:pt idx="646">
                  <c:v>-16.59350841135533</c:v>
                </c:pt>
                <c:pt idx="647">
                  <c:v>-16.756070700091584</c:v>
                </c:pt>
                <c:pt idx="648">
                  <c:v>-16.91729894218355</c:v>
                </c:pt>
                <c:pt idx="649">
                  <c:v>-17.07721773165224</c:v>
                </c:pt>
                <c:pt idx="650">
                  <c:v>-17.235850757294187</c:v>
                </c:pt>
                <c:pt idx="651">
                  <c:v>-17.393220853827486</c:v>
                </c:pt>
                <c:pt idx="652">
                  <c:v>-17.549350049548828</c:v>
                </c:pt>
                <c:pt idx="653">
                  <c:v>-17.704259610764129</c:v>
                </c:pt>
                <c:pt idx="654">
                  <c:v>-17.857970083233582</c:v>
                </c:pt>
                <c:pt idx="655">
                  <c:v>-18.010501330852559</c:v>
                </c:pt>
                <c:pt idx="656">
                  <c:v>-18.161872571772204</c:v>
                </c:pt>
                <c:pt idx="657">
                  <c:v>-18.312102412147041</c:v>
                </c:pt>
                <c:pt idx="658">
                  <c:v>-18.461208877682395</c:v>
                </c:pt>
                <c:pt idx="659">
                  <c:v>-18.609209443140628</c:v>
                </c:pt>
                <c:pt idx="660">
                  <c:v>-18.756121059952974</c:v>
                </c:pt>
                <c:pt idx="661">
                  <c:v>-18.901960182072358</c:v>
                </c:pt>
                <c:pt idx="662">
                  <c:v>-19.046742790192102</c:v>
                </c:pt>
                <c:pt idx="663">
                  <c:v>-19.190484414446054</c:v>
                </c:pt>
                <c:pt idx="664">
                  <c:v>-19.333200155696659</c:v>
                </c:pt>
                <c:pt idx="665">
                  <c:v>-19.474904705509751</c:v>
                </c:pt>
                <c:pt idx="666">
                  <c:v>-19.615612364907186</c:v>
                </c:pt>
                <c:pt idx="667">
                  <c:v>-19.755337061981731</c:v>
                </c:pt>
              </c:numCache>
            </c:numRef>
          </c:yVal>
          <c:smooth val="1"/>
          <c:extLst>
            <c:ext xmlns:c16="http://schemas.microsoft.com/office/drawing/2014/chart" uri="{C3380CC4-5D6E-409C-BE32-E72D297353CC}">
              <c16:uniqueId val="{00000000-306B-4242-B253-B9A3B2188A5D}"/>
            </c:ext>
          </c:extLst>
        </c:ser>
        <c:dLbls>
          <c:showLegendKey val="0"/>
          <c:showVal val="0"/>
          <c:showCatName val="0"/>
          <c:showSerName val="0"/>
          <c:showPercent val="0"/>
          <c:showBubbleSize val="0"/>
        </c:dLbls>
        <c:axId val="177449216"/>
        <c:axId val="177463680"/>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-239.22480387578366</c:v>
                </c:pt>
                <c:pt idx="1">
                  <c:v>-253.37044976525223</c:v>
                </c:pt>
                <c:pt idx="2">
                  <c:v>-258.68315867202199</c:v>
                </c:pt>
                <c:pt idx="3">
                  <c:v>-261.40460877547753</c:v>
                </c:pt>
                <c:pt idx="4">
                  <c:v>-263.0435816652826</c:v>
                </c:pt>
                <c:pt idx="5">
                  <c:v>-264.1313484517222</c:v>
                </c:pt>
                <c:pt idx="6">
                  <c:v>-264.90114601155591</c:v>
                </c:pt>
                <c:pt idx="7">
                  <c:v>-265.47110527402322</c:v>
                </c:pt>
                <c:pt idx="8">
                  <c:v>-265.90736535095721</c:v>
                </c:pt>
                <c:pt idx="9">
                  <c:v>-266.24981045519991</c:v>
                </c:pt>
                <c:pt idx="10">
                  <c:v>-267.60330117849128</c:v>
                </c:pt>
                <c:pt idx="11">
                  <c:v>-267.82414564505734</c:v>
                </c:pt>
                <c:pt idx="12">
                  <c:v>-267.76133130178772</c:v>
                </c:pt>
                <c:pt idx="13">
                  <c:v>-267.58502884844768</c:v>
                </c:pt>
                <c:pt idx="14">
                  <c:v>-267.352000563498</c:v>
                </c:pt>
                <c:pt idx="15">
                  <c:v>-267.08658458023501</c:v>
                </c:pt>
                <c:pt idx="16">
                  <c:v>-266.80095633248419</c:v>
                </c:pt>
                <c:pt idx="17">
                  <c:v>-266.50188472021478</c:v>
                </c:pt>
                <c:pt idx="18">
                  <c:v>-266.19343509827644</c:v>
                </c:pt>
                <c:pt idx="19">
                  <c:v>-262.90754897320886</c:v>
                </c:pt>
                <c:pt idx="20">
                  <c:v>-259.52702864745811</c:v>
                </c:pt>
                <c:pt idx="21">
                  <c:v>-256.14606237544575</c:v>
                </c:pt>
                <c:pt idx="22">
                  <c:v>-252.79015778049677</c:v>
                </c:pt>
                <c:pt idx="23">
                  <c:v>-249.47279436199636</c:v>
                </c:pt>
                <c:pt idx="24">
                  <c:v>-246.20343142742621</c:v>
                </c:pt>
                <c:pt idx="25">
                  <c:v>-242.98946473056489</c:v>
                </c:pt>
                <c:pt idx="26">
                  <c:v>-239.83686411028657</c:v>
                </c:pt>
                <c:pt idx="27">
                  <c:v>-236.7504363329362</c:v>
                </c:pt>
                <c:pt idx="28">
                  <c:v>-222.41317227445944</c:v>
                </c:pt>
                <c:pt idx="29">
                  <c:v>-209.97448143547183</c:v>
                </c:pt>
                <c:pt idx="30">
                  <c:v>-199.31731254729527</c:v>
                </c:pt>
                <c:pt idx="31">
                  <c:v>-190.20835936683682</c:v>
                </c:pt>
                <c:pt idx="32">
                  <c:v>-182.40280719589569</c:v>
                </c:pt>
                <c:pt idx="33">
                  <c:v>-175.68372570656075</c:v>
                </c:pt>
                <c:pt idx="34">
                  <c:v>-169.87034266145608</c:v>
                </c:pt>
                <c:pt idx="35">
                  <c:v>-164.81513367489347</c:v>
                </c:pt>
                <c:pt idx="36">
                  <c:v>-160.39819337010425</c:v>
                </c:pt>
                <c:pt idx="37">
                  <c:v>-156.5217903050698</c:v>
                </c:pt>
                <c:pt idx="38">
                  <c:v>-153.10584243682442</c:v>
                </c:pt>
                <c:pt idx="39">
                  <c:v>-150.08433628904038</c:v>
                </c:pt>
                <c:pt idx="40">
                  <c:v>-147.40253046972231</c:v>
                </c:pt>
                <c:pt idx="41">
                  <c:v>-145.01477096988452</c:v>
                </c:pt>
                <c:pt idx="42">
                  <c:v>-142.88277528798648</c:v>
                </c:pt>
                <c:pt idx="43">
                  <c:v>-140.97427571612209</c:v>
                </c:pt>
                <c:pt idx="44">
                  <c:v>-139.26193942872047</c:v>
                </c:pt>
                <c:pt idx="45">
                  <c:v>-137.72250354463037</c:v>
                </c:pt>
                <c:pt idx="46">
                  <c:v>-136.33607840943222</c:v>
                </c:pt>
                <c:pt idx="47">
                  <c:v>-135.08558341781142</c:v>
                </c:pt>
                <c:pt idx="48">
                  <c:v>-133.95628790261881</c:v>
                </c:pt>
                <c:pt idx="49">
                  <c:v>-132.93543576901527</c:v>
                </c:pt>
                <c:pt idx="50">
                  <c:v>-132.01193721361699</c:v>
                </c:pt>
                <c:pt idx="51">
                  <c:v>-131.17611443412767</c:v>
                </c:pt>
                <c:pt idx="52">
                  <c:v>-130.41949098374235</c:v>
                </c:pt>
                <c:pt idx="53">
                  <c:v>-129.73461655769466</c:v>
                </c:pt>
                <c:pt idx="54">
                  <c:v>-129.11492066389775</c:v>
                </c:pt>
                <c:pt idx="55">
                  <c:v>-128.55458993498905</c:v>
                </c:pt>
                <c:pt idx="56">
                  <c:v>-128.04846486730091</c:v>
                </c:pt>
                <c:pt idx="57">
                  <c:v>-127.59195258553302</c:v>
                </c:pt>
                <c:pt idx="58">
                  <c:v>-127.18095287767264</c:v>
                </c:pt>
                <c:pt idx="59">
                  <c:v>-126.81179525942932</c:v>
                </c:pt>
                <c:pt idx="60">
                  <c:v>-126.48118523924904</c:v>
                </c:pt>
                <c:pt idx="61">
                  <c:v>-126.18615828562318</c:v>
                </c:pt>
                <c:pt idx="62">
                  <c:v>-125.92404026486312</c:v>
                </c:pt>
                <c:pt idx="63">
                  <c:v>-125.69241333299695</c:v>
                </c:pt>
                <c:pt idx="64">
                  <c:v>-125.4890864403221</c:v>
                </c:pt>
                <c:pt idx="65">
                  <c:v>-125.31206974956223</c:v>
                </c:pt>
                <c:pt idx="66">
                  <c:v>-125.15955238495272</c:v>
                </c:pt>
                <c:pt idx="67">
                  <c:v>-125.02988302499485</c:v>
                </c:pt>
                <c:pt idx="68">
                  <c:v>-124.92155293011164</c:v>
                </c:pt>
                <c:pt idx="69">
                  <c:v>-124.83318106121862</c:v>
                </c:pt>
                <c:pt idx="70">
                  <c:v>-124.76350099885559</c:v>
                </c:pt>
                <c:pt idx="71">
                  <c:v>-124.71134941707302</c:v>
                </c:pt>
                <c:pt idx="72">
                  <c:v>-124.67565590337395</c:v>
                </c:pt>
                <c:pt idx="73">
                  <c:v>-124.65543394702274</c:v>
                </c:pt>
                <c:pt idx="74">
                  <c:v>-124.6497729440181</c:v>
                </c:pt>
                <c:pt idx="75">
                  <c:v>-124.65783108886774</c:v>
                </c:pt>
                <c:pt idx="76">
                  <c:v>-124.67882904170958</c:v>
                </c:pt>
                <c:pt idx="77">
                  <c:v>-124.71204427488028</c:v>
                </c:pt>
                <c:pt idx="78">
                  <c:v>-124.75680601621372</c:v>
                </c:pt>
                <c:pt idx="79">
                  <c:v>-124.81249071755107</c:v>
                </c:pt>
                <c:pt idx="80">
                  <c:v>-124.87851798648245</c:v>
                </c:pt>
                <c:pt idx="81">
                  <c:v>-124.95434692748488</c:v>
                </c:pt>
                <c:pt idx="82">
                  <c:v>-125.03947284559234</c:v>
                </c:pt>
                <c:pt idx="83">
                  <c:v>-125.13342427171435</c:v>
                </c:pt>
                <c:pt idx="84">
                  <c:v>-125.23576027386248</c:v>
                </c:pt>
                <c:pt idx="85">
                  <c:v>-125.34606802297624</c:v>
                </c:pt>
                <c:pt idx="86">
                  <c:v>-125.46396058586875</c:v>
                </c:pt>
                <c:pt idx="87">
                  <c:v>-125.58907492112519</c:v>
                </c:pt>
                <c:pt idx="88">
                  <c:v>-125.72107005666263</c:v>
                </c:pt>
                <c:pt idx="89">
                  <c:v>-125.85962543015594</c:v>
                </c:pt>
                <c:pt idx="90">
                  <c:v>-126.00443937571143</c:v>
                </c:pt>
                <c:pt idx="91">
                  <c:v>-126.15522774206715</c:v>
                </c:pt>
                <c:pt idx="92">
                  <c:v>-126.31172262925776</c:v>
                </c:pt>
                <c:pt idx="93">
                  <c:v>-126.47367123213516</c:v>
                </c:pt>
                <c:pt idx="94">
                  <c:v>-126.64083478041125</c:v>
                </c:pt>
                <c:pt idx="95">
                  <c:v>-126.81298756600839</c:v>
                </c:pt>
                <c:pt idx="96">
                  <c:v>-126.98991604949097</c:v>
                </c:pt>
                <c:pt idx="97">
                  <c:v>-127.17141803821985</c:v>
                </c:pt>
                <c:pt idx="98">
                  <c:v>-127.35730192964058</c:v>
                </c:pt>
                <c:pt idx="99">
                  <c:v>-127.54738601379563</c:v>
                </c:pt>
                <c:pt idx="100">
                  <c:v>-127.741497829753</c:v>
                </c:pt>
                <c:pt idx="101">
                  <c:v>-127.93947357117781</c:v>
                </c:pt>
                <c:pt idx="102">
                  <c:v>-128.14115753674872</c:v>
                </c:pt>
                <c:pt idx="103">
                  <c:v>-128.34640162154327</c:v>
                </c:pt>
                <c:pt idx="104">
                  <c:v>-128.55506484589313</c:v>
                </c:pt>
                <c:pt idx="105">
                  <c:v>-128.76701291854619</c:v>
                </c:pt>
                <c:pt idx="106">
                  <c:v>-128.98211783127297</c:v>
                </c:pt>
                <c:pt idx="107">
                  <c:v>-129.20025748232374</c:v>
                </c:pt>
                <c:pt idx="108">
                  <c:v>-129.42131532638319</c:v>
                </c:pt>
                <c:pt idx="109">
                  <c:v>-129.64518004888635</c:v>
                </c:pt>
                <c:pt idx="110">
                  <c:v>-129.87174526275209</c:v>
                </c:pt>
                <c:pt idx="111">
                  <c:v>-130.10090922576762</c:v>
                </c:pt>
                <c:pt idx="112">
                  <c:v>-130.33257457701126</c:v>
                </c:pt>
                <c:pt idx="113">
                  <c:v>-130.56664809084549</c:v>
                </c:pt>
                <c:pt idx="114">
                  <c:v>-130.80304044713833</c:v>
                </c:pt>
                <c:pt idx="115">
                  <c:v>-131.041666016487</c:v>
                </c:pt>
                <c:pt idx="116">
                  <c:v>-131.28244265932281</c:v>
                </c:pt>
                <c:pt idx="117">
                  <c:v>-131.52529153787026</c:v>
                </c:pt>
                <c:pt idx="118">
                  <c:v>-131.77013694001886</c:v>
                </c:pt>
                <c:pt idx="119">
                  <c:v>-132.01690611424544</c:v>
                </c:pt>
                <c:pt idx="120">
                  <c:v>-132.26552911479286</c:v>
                </c:pt>
                <c:pt idx="121">
                  <c:v>-132.51593865637773</c:v>
                </c:pt>
                <c:pt idx="122">
                  <c:v>-132.76806997775702</c:v>
                </c:pt>
                <c:pt idx="123">
                  <c:v>-133.02186071353626</c:v>
                </c:pt>
                <c:pt idx="124">
                  <c:v>-133.27725077365156</c:v>
                </c:pt>
                <c:pt idx="125">
                  <c:v>-133.53418223000156</c:v>
                </c:pt>
                <c:pt idx="126">
                  <c:v>-133.7925992097455</c:v>
                </c:pt>
                <c:pt idx="127">
                  <c:v>-134.05244779482098</c:v>
                </c:pt>
                <c:pt idx="128">
                  <c:v>-134.31367592726903</c:v>
                </c:pt>
                <c:pt idx="129">
                  <c:v>-134.57623331998417</c:v>
                </c:pt>
                <c:pt idx="130">
                  <c:v>-134.84007137253664</c:v>
                </c:pt>
                <c:pt idx="131">
                  <c:v>-135.10514309173936</c:v>
                </c:pt>
                <c:pt idx="132">
                  <c:v>-135.37140301665596</c:v>
                </c:pt>
                <c:pt idx="133">
                  <c:v>-135.63880714776866</c:v>
                </c:pt>
                <c:pt idx="134">
                  <c:v>-135.90731288004486</c:v>
                </c:pt>
                <c:pt idx="135">
                  <c:v>-136.17687893965925</c:v>
                </c:pt>
                <c:pt idx="136">
                  <c:v>-136.44746532414646</c:v>
                </c:pt>
                <c:pt idx="137">
                  <c:v>-136.71903324577374</c:v>
                </c:pt>
                <c:pt idx="138">
                  <c:v>-136.99154507793884</c:v>
                </c:pt>
                <c:pt idx="139">
                  <c:v>-137.26496430441094</c:v>
                </c:pt>
                <c:pt idx="140">
                  <c:v>-137.53925547124496</c:v>
                </c:pt>
                <c:pt idx="141">
                  <c:v>-137.81438414121152</c:v>
                </c:pt>
                <c:pt idx="142">
                  <c:v>-138.09031685059449</c:v>
                </c:pt>
                <c:pt idx="143">
                  <c:v>-138.36702106821872</c:v>
                </c:pt>
                <c:pt idx="144">
                  <c:v>-138.64446515657909</c:v>
                </c:pt>
                <c:pt idx="145">
                  <c:v>-138.92261833495058</c:v>
                </c:pt>
                <c:pt idx="146">
                  <c:v>-139.20145064436664</c:v>
                </c:pt>
                <c:pt idx="147">
                  <c:v>-139.48093291436118</c:v>
                </c:pt>
                <c:pt idx="148">
                  <c:v>-139.76103673137433</c:v>
                </c:pt>
                <c:pt idx="149">
                  <c:v>-140.04173440873083</c:v>
                </c:pt>
                <c:pt idx="150">
                  <c:v>-140.32299895810345</c:v>
                </c:pt>
                <c:pt idx="151">
                  <c:v>-140.60480406238088</c:v>
                </c:pt>
                <c:pt idx="152">
                  <c:v>-140.88712404986302</c:v>
                </c:pt>
                <c:pt idx="153">
                  <c:v>-141.16993386971313</c:v>
                </c:pt>
                <c:pt idx="154">
                  <c:v>-141.45320906859808</c:v>
                </c:pt>
                <c:pt idx="155">
                  <c:v>-141.73692576845505</c:v>
                </c:pt>
                <c:pt idx="156">
                  <c:v>-142.02106064532398</c:v>
                </c:pt>
                <c:pt idx="157">
                  <c:v>-142.3055909091903</c:v>
                </c:pt>
                <c:pt idx="158">
                  <c:v>-142.59049428478531</c:v>
                </c:pt>
                <c:pt idx="159">
                  <c:v>-142.87574899329428</c:v>
                </c:pt>
                <c:pt idx="160">
                  <c:v>-143.16133373492579</c:v>
                </c:pt>
                <c:pt idx="161">
                  <c:v>-143.447227672298</c:v>
                </c:pt>
                <c:pt idx="162">
                  <c:v>-143.73341041460031</c:v>
                </c:pt>
                <c:pt idx="163">
                  <c:v>-144.01986200249132</c:v>
                </c:pt>
                <c:pt idx="164">
                  <c:v>-144.30656289369591</c:v>
                </c:pt>
                <c:pt idx="165">
                  <c:v>-144.59349394926596</c:v>
                </c:pt>
                <c:pt idx="166">
                  <c:v>-144.88063642047311</c:v>
                </c:pt>
                <c:pt idx="167">
                  <c:v>-145.16797193630001</c:v>
                </c:pt>
                <c:pt idx="168">
                  <c:v>-145.45548249150278</c:v>
                </c:pt>
                <c:pt idx="169">
                  <c:v>-145.7431504352152</c:v>
                </c:pt>
                <c:pt idx="170">
                  <c:v>-146.03095846006858</c:v>
                </c:pt>
                <c:pt idx="171">
                  <c:v>-146.31888959180242</c:v>
                </c:pt>
                <c:pt idx="172">
                  <c:v>-146.60692717934165</c:v>
                </c:pt>
                <c:pt idx="173">
                  <c:v>-146.89505488531864</c:v>
                </c:pt>
                <c:pt idx="174">
                  <c:v>-147.18325667701754</c:v>
                </c:pt>
                <c:pt idx="175">
                  <c:v>-147.47151681772175</c:v>
                </c:pt>
                <c:pt idx="176">
                  <c:v>-147.7598198584447</c:v>
                </c:pt>
                <c:pt idx="177">
                  <c:v>-148.04815063002582</c:v>
                </c:pt>
                <c:pt idx="178">
                  <c:v>-148.33649423557429</c:v>
                </c:pt>
                <c:pt idx="179">
                  <c:v>-148.62483604324427</c:v>
                </c:pt>
                <c:pt idx="180">
                  <c:v>-148.91316167932595</c:v>
                </c:pt>
                <c:pt idx="181">
                  <c:v>-149.20145702163725</c:v>
                </c:pt>
                <c:pt idx="182">
                  <c:v>-149.48970819320235</c:v>
                </c:pt>
                <c:pt idx="183">
                  <c:v>-149.77790155620357</c:v>
                </c:pt>
                <c:pt idx="184">
                  <c:v>-150.06602370619336</c:v>
                </c:pt>
                <c:pt idx="185">
                  <c:v>-150.35406146655504</c:v>
                </c:pt>
                <c:pt idx="186">
                  <c:v>-150.64200188319953</c:v>
                </c:pt>
                <c:pt idx="187">
                  <c:v>-150.92983221948853</c:v>
                </c:pt>
                <c:pt idx="188">
                  <c:v>-151.21753995137169</c:v>
                </c:pt>
                <c:pt idx="189">
                  <c:v>-151.5051127627296</c:v>
                </c:pt>
                <c:pt idx="190">
                  <c:v>-151.79253854091209</c:v>
                </c:pt>
                <c:pt idx="191">
                  <c:v>-152.07980537246237</c:v>
                </c:pt>
                <c:pt idx="192">
                  <c:v>-152.36690153901912</c:v>
                </c:pt>
                <c:pt idx="193">
                  <c:v>-152.65381551338803</c:v>
                </c:pt>
                <c:pt idx="194">
                  <c:v>-152.94053595577429</c:v>
                </c:pt>
                <c:pt idx="195">
                  <c:v>-153.22705171016909</c:v>
                </c:pt>
                <c:pt idx="196">
                  <c:v>-153.51335180088284</c:v>
                </c:pt>
                <c:pt idx="197">
                  <c:v>-153.79942542921793</c:v>
                </c:pt>
                <c:pt idx="198">
                  <c:v>-154.08526197027425</c:v>
                </c:pt>
                <c:pt idx="199">
                  <c:v>-154.37085096988247</c:v>
                </c:pt>
                <c:pt idx="200">
                  <c:v>-154.65618214165693</c:v>
                </c:pt>
                <c:pt idx="201">
                  <c:v>-154.94124536416459</c:v>
                </c:pt>
                <c:pt idx="202">
                  <c:v>-155.22603067820305</c:v>
                </c:pt>
                <c:pt idx="203">
                  <c:v>-155.51052828418301</c:v>
                </c:pt>
                <c:pt idx="204">
                  <c:v>-155.79472853961025</c:v>
                </c:pt>
                <c:pt idx="205">
                  <c:v>-156.07862195666169</c:v>
                </c:pt>
                <c:pt idx="206">
                  <c:v>-156.36219919985214</c:v>
                </c:pt>
                <c:pt idx="207">
                  <c:v>-156.64545108378596</c:v>
                </c:pt>
                <c:pt idx="208">
                  <c:v>-156.92836857099047</c:v>
                </c:pt>
                <c:pt idx="209">
                  <c:v>-157.21094276982691</c:v>
                </c:pt>
                <c:pt idx="210">
                  <c:v>-157.4931649324746</c:v>
                </c:pt>
                <c:pt idx="211">
                  <c:v>-157.77502645298526</c:v>
                </c:pt>
                <c:pt idx="212">
                  <c:v>-158.056518865404</c:v>
                </c:pt>
                <c:pt idx="213">
                  <c:v>-158.33763384195294</c:v>
                </c:pt>
                <c:pt idx="214">
                  <c:v>-158.61836319127511</c:v>
                </c:pt>
                <c:pt idx="215">
                  <c:v>-158.89869885673508</c:v>
                </c:pt>
                <c:pt idx="216">
                  <c:v>-159.1786329147736</c:v>
                </c:pt>
                <c:pt idx="217">
                  <c:v>-159.45815757331314</c:v>
                </c:pt>
                <c:pt idx="218">
                  <c:v>-159.73726517021231</c:v>
                </c:pt>
                <c:pt idx="219">
                  <c:v>-160.01594817176607</c:v>
                </c:pt>
                <c:pt idx="220">
                  <c:v>-160.29419917124926</c:v>
                </c:pt>
                <c:pt idx="221">
                  <c:v>-160.57201088750156</c:v>
                </c:pt>
                <c:pt idx="222">
                  <c:v>-160.84937616355143</c:v>
                </c:pt>
                <c:pt idx="223">
                  <c:v>-161.12628796527667</c:v>
                </c:pt>
                <c:pt idx="224">
                  <c:v>-161.40273938010009</c:v>
                </c:pt>
                <c:pt idx="225">
                  <c:v>-161.67872361571787</c:v>
                </c:pt>
                <c:pt idx="226">
                  <c:v>-164.41146040331543</c:v>
                </c:pt>
                <c:pt idx="227">
                  <c:v>-167.09085626285727</c:v>
                </c:pt>
                <c:pt idx="228">
                  <c:v>-169.71193064325925</c:v>
                </c:pt>
                <c:pt idx="229">
                  <c:v>-172.2706810151534</c:v>
                </c:pt>
                <c:pt idx="230">
                  <c:v>-174.76399658011783</c:v>
                </c:pt>
                <c:pt idx="231">
                  <c:v>-177.18957576614173</c:v>
                </c:pt>
                <c:pt idx="232">
                  <c:v>-179.54584559656556</c:v>
                </c:pt>
                <c:pt idx="233">
                  <c:v>-181.83188250315374</c:v>
                </c:pt>
                <c:pt idx="234">
                  <c:v>-184.04733499470575</c:v>
                </c:pt>
                <c:pt idx="235">
                  <c:v>-186.1923489890471</c:v>
                </c:pt>
                <c:pt idx="236">
                  <c:v>-188.26749671829316</c:v>
                </c:pt>
                <c:pt idx="237">
                  <c:v>-190.27371003780124</c:v>
                </c:pt>
                <c:pt idx="238">
                  <c:v>-192.21221879115757</c:v>
                </c:pt>
                <c:pt idx="239">
                  <c:v>-194.08449466529822</c:v>
                </c:pt>
                <c:pt idx="240">
                  <c:v>-195.89220075015822</c:v>
                </c:pt>
                <c:pt idx="241">
                  <c:v>-197.63714681947511</c:v>
                </c:pt>
                <c:pt idx="242">
                  <c:v>-199.3212501856122</c:v>
                </c:pt>
                <c:pt idx="243">
                  <c:v>-200.94650185565936</c:v>
                </c:pt>
                <c:pt idx="244">
                  <c:v>-202.51493762761865</c:v>
                </c:pt>
                <c:pt idx="245">
                  <c:v>-204.02861371020953</c:v>
                </c:pt>
                <c:pt idx="246">
                  <c:v>-205.48958642231153</c:v>
                </c:pt>
                <c:pt idx="247">
                  <c:v>-206.8998955225039</c:v>
                </c:pt>
                <c:pt idx="248">
                  <c:v>-208.26155073003616</c:v>
                </c:pt>
                <c:pt idx="249">
                  <c:v>-209.5765210210028</c:v>
                </c:pt>
                <c:pt idx="250">
                  <c:v>-210.84672631340902</c:v>
                </c:pt>
                <c:pt idx="251">
                  <c:v>-212.07403118895863</c:v>
                </c:pt>
                <c:pt idx="252">
                  <c:v>-213.26024033527796</c:v>
                </c:pt>
                <c:pt idx="253">
                  <c:v>-214.4070954280877</c:v>
                </c:pt>
                <c:pt idx="254">
                  <c:v>-215.5162732072879</c:v>
                </c:pt>
                <c:pt idx="255">
                  <c:v>-216.58938453320843</c:v>
                </c:pt>
                <c:pt idx="256">
                  <c:v>-217.62797423891237</c:v>
                </c:pt>
                <c:pt idx="257">
                  <c:v>-218.63352162120793</c:v>
                </c:pt>
                <c:pt idx="258">
                  <c:v>-219.60744143687114</c:v>
                </c:pt>
                <c:pt idx="259">
                  <c:v>-220.55108529159699</c:v>
                </c:pt>
                <c:pt idx="260">
                  <c:v>-221.46574332753784</c:v>
                </c:pt>
                <c:pt idx="261">
                  <c:v>-222.35264613116493</c:v>
                </c:pt>
                <c:pt idx="262">
                  <c:v>-223.21296679683533</c:v>
                </c:pt>
                <c:pt idx="263">
                  <c:v>-224.04782309309851</c:v>
                </c:pt>
                <c:pt idx="264">
                  <c:v>-224.85827968867056</c:v>
                </c:pt>
                <c:pt idx="265">
                  <c:v>-225.64535040335667</c:v>
                </c:pt>
                <c:pt idx="266">
                  <c:v>-226.41000045621985</c:v>
                </c:pt>
                <c:pt idx="267">
                  <c:v>-227.15314868915968</c:v>
                </c:pt>
                <c:pt idx="268">
                  <c:v>-227.87566974894625</c:v>
                </c:pt>
                <c:pt idx="269">
                  <c:v>-228.57839621479073</c:v>
                </c:pt>
                <c:pt idx="270">
                  <c:v>-229.26212066186324</c:v>
                </c:pt>
                <c:pt idx="271">
                  <c:v>-229.92759765389098</c:v>
                </c:pt>
                <c:pt idx="272">
                  <c:v>-230.57554566018837</c:v>
                </c:pt>
                <c:pt idx="273">
                  <c:v>-231.20664889426357</c:v>
                </c:pt>
                <c:pt idx="274">
                  <c:v>-231.8215590725855</c:v>
                </c:pt>
                <c:pt idx="275">
                  <c:v>-232.42089709323881</c:v>
                </c:pt>
                <c:pt idx="276">
                  <c:v>-233.00525463509459</c:v>
                </c:pt>
                <c:pt idx="277">
                  <c:v>-233.57519567882275</c:v>
                </c:pt>
                <c:pt idx="278">
                  <c:v>-234.13125795160283</c:v>
                </c:pt>
                <c:pt idx="279">
                  <c:v>-234.67395429778767</c:v>
                </c:pt>
                <c:pt idx="280">
                  <c:v>-235.20377397805743</c:v>
                </c:pt>
                <c:pt idx="281">
                  <c:v>-235.72118389979889</c:v>
                </c:pt>
                <c:pt idx="282">
                  <c:v>-236.22662978156561</c:v>
                </c:pt>
                <c:pt idx="283">
                  <c:v>-236.72053725454086</c:v>
                </c:pt>
                <c:pt idx="284">
                  <c:v>-237.20331290394324</c:v>
                </c:pt>
                <c:pt idx="285">
                  <c:v>-237.67534525329782</c:v>
                </c:pt>
                <c:pt idx="286">
                  <c:v>-238.13700569445027</c:v>
                </c:pt>
                <c:pt idx="287">
                  <c:v>-238.58864936613475</c:v>
                </c:pt>
                <c:pt idx="288">
                  <c:v>-239.0306159838245</c:v>
                </c:pt>
                <c:pt idx="289">
                  <c:v>-239.46323062349819</c:v>
                </c:pt>
                <c:pt idx="290">
                  <c:v>-239.88680446185612</c:v>
                </c:pt>
                <c:pt idx="291">
                  <c:v>-240.30163547541051</c:v>
                </c:pt>
                <c:pt idx="292">
                  <c:v>-240.7080091007669</c:v>
                </c:pt>
                <c:pt idx="293">
                  <c:v>-241.10619885830192</c:v>
                </c:pt>
                <c:pt idx="294">
                  <c:v>-241.49646694133287</c:v>
                </c:pt>
                <c:pt idx="295">
                  <c:v>-241.87906477276712</c:v>
                </c:pt>
                <c:pt idx="296">
                  <c:v>-242.25423353111302</c:v>
                </c:pt>
                <c:pt idx="297">
                  <c:v>-242.62220464763067</c:v>
                </c:pt>
                <c:pt idx="298">
                  <c:v>-242.98320027630368</c:v>
                </c:pt>
                <c:pt idx="299">
                  <c:v>-243.33743373821613</c:v>
                </c:pt>
                <c:pt idx="300">
                  <c:v>-243.68510994182887</c:v>
                </c:pt>
                <c:pt idx="301">
                  <c:v>-244.02642578056171</c:v>
                </c:pt>
                <c:pt idx="302">
                  <c:v>-244.36157050900636</c:v>
                </c:pt>
                <c:pt idx="303">
                  <c:v>-244.69072609901554</c:v>
                </c:pt>
                <c:pt idx="304">
                  <c:v>-245.01406757683995</c:v>
                </c:pt>
                <c:pt idx="305">
                  <c:v>-245.33176334241432</c:v>
                </c:pt>
                <c:pt idx="306">
                  <c:v>-245.64397547182733</c:v>
                </c:pt>
                <c:pt idx="307">
                  <c:v>-245.95086000394824</c:v>
                </c:pt>
                <c:pt idx="308">
                  <c:v>-246.25256721212313</c:v>
                </c:pt>
                <c:pt idx="309">
                  <c:v>-246.54924186179895</c:v>
                </c:pt>
                <c:pt idx="310">
                  <c:v>-246.84102345488179</c:v>
                </c:pt>
                <c:pt idx="311">
                  <c:v>-247.12804646158503</c:v>
                </c:pt>
                <c:pt idx="312">
                  <c:v>-247.4104405404799</c:v>
                </c:pt>
                <c:pt idx="313">
                  <c:v>-247.68833074741462</c:v>
                </c:pt>
                <c:pt idx="314">
                  <c:v>-247.96183773393045</c:v>
                </c:pt>
                <c:pt idx="315">
                  <c:v>-248.23107793576332</c:v>
                </c:pt>
                <c:pt idx="316">
                  <c:v>-248.4961637519848</c:v>
                </c:pt>
                <c:pt idx="317">
                  <c:v>-248.75720371530269</c:v>
                </c:pt>
                <c:pt idx="318">
                  <c:v>-249.01430265400967</c:v>
                </c:pt>
                <c:pt idx="319">
                  <c:v>-249.26756184604054</c:v>
                </c:pt>
                <c:pt idx="320">
                  <c:v>-249.51707916556873</c:v>
                </c:pt>
                <c:pt idx="321">
                  <c:v>-249.76294922254993</c:v>
                </c:pt>
                <c:pt idx="322">
                  <c:v>-250.00526349559351</c:v>
                </c:pt>
                <c:pt idx="323">
                  <c:v>-250.24411045852233</c:v>
                </c:pt>
                <c:pt idx="324">
                  <c:v>-250.47957570095872</c:v>
                </c:pt>
                <c:pt idx="325">
                  <c:v>-250.71174204325501</c:v>
                </c:pt>
                <c:pt idx="326">
                  <c:v>-250.94068964606913</c:v>
                </c:pt>
                <c:pt idx="327">
                  <c:v>-251.16649611486613</c:v>
                </c:pt>
                <c:pt idx="328">
                  <c:v>-251.38923659961341</c:v>
                </c:pt>
                <c:pt idx="329">
                  <c:v>-251.60898388991865</c:v>
                </c:pt>
                <c:pt idx="330">
                  <c:v>-251.82580850584765</c:v>
                </c:pt>
                <c:pt idx="331">
                  <c:v>-252.03977878464423</c:v>
                </c:pt>
                <c:pt idx="332">
                  <c:v>-252.25096096356202</c:v>
                </c:pt>
                <c:pt idx="333">
                  <c:v>-252.45941925900712</c:v>
                </c:pt>
                <c:pt idx="334">
                  <c:v>-252.66521594217707</c:v>
                </c:pt>
                <c:pt idx="335">
                  <c:v>-252.8684114113741</c:v>
                </c:pt>
                <c:pt idx="336">
                  <c:v>-253.06906426115773</c:v>
                </c:pt>
                <c:pt idx="337">
                  <c:v>-253.26723134849539</c:v>
                </c:pt>
                <c:pt idx="338">
                  <c:v>-253.46296785605836</c:v>
                </c:pt>
                <c:pt idx="339">
                  <c:v>-253.65632735280457</c:v>
                </c:pt>
                <c:pt idx="340">
                  <c:v>-253.84736185198</c:v>
                </c:pt>
                <c:pt idx="341">
                  <c:v>-254.03612186666527</c:v>
                </c:pt>
                <c:pt idx="342">
                  <c:v>-254.22265646298479</c:v>
                </c:pt>
                <c:pt idx="343">
                  <c:v>-254.40701331109204</c:v>
                </c:pt>
                <c:pt idx="344">
                  <c:v>-254.5892387340366</c:v>
                </c:pt>
                <c:pt idx="345">
                  <c:v>-254.7693777546134</c:v>
                </c:pt>
                <c:pt idx="346">
                  <c:v>-254.94747414029015</c:v>
                </c:pt>
                <c:pt idx="347">
                  <c:v>-255.12357044630249</c:v>
                </c:pt>
                <c:pt idx="348">
                  <c:v>-255.29770805700275</c:v>
                </c:pt>
                <c:pt idx="349">
                  <c:v>-255.46992722554347</c:v>
                </c:pt>
                <c:pt idx="350">
                  <c:v>-255.64026711197212</c:v>
                </c:pt>
                <c:pt idx="351">
                  <c:v>-255.80876581981016</c:v>
                </c:pt>
                <c:pt idx="352">
                  <c:v>-255.97546043118581</c:v>
                </c:pt>
                <c:pt idx="353">
                  <c:v>-256.14038704058549</c:v>
                </c:pt>
                <c:pt idx="354">
                  <c:v>-256.30358078728688</c:v>
                </c:pt>
                <c:pt idx="355">
                  <c:v>-256.4650758865323</c:v>
                </c:pt>
                <c:pt idx="356">
                  <c:v>-256.62490565949849</c:v>
                </c:pt>
                <c:pt idx="357">
                  <c:v>-256.7831025621166</c:v>
                </c:pt>
                <c:pt idx="358">
                  <c:v>-256.93969821279262</c:v>
                </c:pt>
                <c:pt idx="359">
                  <c:v>-257.09472341907656</c:v>
                </c:pt>
                <c:pt idx="360">
                  <c:v>-257.24820820332639</c:v>
                </c:pt>
                <c:pt idx="361">
                  <c:v>-257.40018182740971</c:v>
                </c:pt>
                <c:pt idx="362">
                  <c:v>-257.55067281648559</c:v>
                </c:pt>
                <c:pt idx="363">
                  <c:v>-257.69970898190491</c:v>
                </c:pt>
                <c:pt idx="364">
                  <c:v>-257.84731744326763</c:v>
                </c:pt>
                <c:pt idx="365">
                  <c:v>-257.99352464967217</c:v>
                </c:pt>
                <c:pt idx="366">
                  <c:v>-258.13835640019079</c:v>
                </c:pt>
                <c:pt idx="367">
                  <c:v>-258.28183786360489</c:v>
                </c:pt>
                <c:pt idx="368">
                  <c:v>-258.42399359742808</c:v>
                </c:pt>
                <c:pt idx="369">
                  <c:v>-258.56484756625019</c:v>
                </c:pt>
                <c:pt idx="370">
                  <c:v>-258.70442315942722</c:v>
                </c:pt>
                <c:pt idx="371">
                  <c:v>-258.84274320814563</c:v>
                </c:pt>
                <c:pt idx="372">
                  <c:v>-258.97983000188594</c:v>
                </c:pt>
                <c:pt idx="373">
                  <c:v>-259.1157053043105</c:v>
                </c:pt>
                <c:pt idx="374">
                  <c:v>-259.25039036859738</c:v>
                </c:pt>
                <c:pt idx="375">
                  <c:v>-259.38390595224473</c:v>
                </c:pt>
                <c:pt idx="376">
                  <c:v>-259.51627233136435</c:v>
                </c:pt>
                <c:pt idx="377">
                  <c:v>-259.64750931448657</c:v>
                </c:pt>
                <c:pt idx="378">
                  <c:v>-259.77763625589506</c:v>
                </c:pt>
                <c:pt idx="379">
                  <c:v>-259.90667206850947</c:v>
                </c:pt>
                <c:pt idx="380">
                  <c:v>-260.03463523633502</c:v>
                </c:pt>
                <c:pt idx="381">
                  <c:v>-260.16154382649393</c:v>
                </c:pt>
                <c:pt idx="382">
                  <c:v>-260.28741550085692</c:v>
                </c:pt>
                <c:pt idx="383">
                  <c:v>-260.41226752728846</c:v>
                </c:pt>
                <c:pt idx="384">
                  <c:v>-260.53611679052148</c:v>
                </c:pt>
                <c:pt idx="385">
                  <c:v>-260.65897980267528</c:v>
                </c:pt>
                <c:pt idx="386">
                  <c:v>-260.7808727134306</c:v>
                </c:pt>
                <c:pt idx="387">
                  <c:v>-260.90181131987384</c:v>
                </c:pt>
                <c:pt idx="388">
                  <c:v>-261.02181107602422</c:v>
                </c:pt>
                <c:pt idx="389">
                  <c:v>-261.14088710205391</c:v>
                </c:pt>
                <c:pt idx="390">
                  <c:v>-261.25905419321447</c:v>
                </c:pt>
                <c:pt idx="391">
                  <c:v>-261.37632682847902</c:v>
                </c:pt>
                <c:pt idx="392">
                  <c:v>-261.49271917891099</c:v>
                </c:pt>
                <c:pt idx="393">
                  <c:v>-261.60824511576982</c:v>
                </c:pt>
                <c:pt idx="394">
                  <c:v>-261.72291821836234</c:v>
                </c:pt>
                <c:pt idx="395">
                  <c:v>-261.83675178165032</c:v>
                </c:pt>
                <c:pt idx="396">
                  <c:v>-261.94975882362161</c:v>
                </c:pt>
                <c:pt idx="397">
                  <c:v>-262.06195209243401</c:v>
                </c:pt>
                <c:pt idx="398">
                  <c:v>-262.17334407333999</c:v>
                </c:pt>
                <c:pt idx="399">
                  <c:v>-262.2839469954003</c:v>
                </c:pt>
                <c:pt idx="400">
                  <c:v>-262.39377283799263</c:v>
                </c:pt>
                <c:pt idx="401">
                  <c:v>-262.50283333712463</c:v>
                </c:pt>
                <c:pt idx="402">
                  <c:v>-262.61113999155606</c:v>
                </c:pt>
                <c:pt idx="403">
                  <c:v>-262.71870406873808</c:v>
                </c:pt>
                <c:pt idx="404">
                  <c:v>-262.82553661057534</c:v>
                </c:pt>
                <c:pt idx="405">
                  <c:v>-262.93164843901741</c:v>
                </c:pt>
                <c:pt idx="406">
                  <c:v>-263.0370501614849</c:v>
                </c:pt>
                <c:pt idx="407">
                  <c:v>-263.14175217613627</c:v>
                </c:pt>
                <c:pt idx="408">
                  <c:v>-263.2457646769812</c:v>
                </c:pt>
                <c:pt idx="409">
                  <c:v>-263.34909765884424</c:v>
                </c:pt>
                <c:pt idx="410">
                  <c:v>-263.45176092218549</c:v>
                </c:pt>
                <c:pt idx="411">
                  <c:v>-263.55376407778192</c:v>
                </c:pt>
                <c:pt idx="412">
                  <c:v>-263.65511655127489</c:v>
                </c:pt>
                <c:pt idx="413">
                  <c:v>-263.75582758758696</c:v>
                </c:pt>
                <c:pt idx="414">
                  <c:v>-263.85590625521434</c:v>
                </c:pt>
                <c:pt idx="415">
                  <c:v>-263.95536145039659</c:v>
                </c:pt>
                <c:pt idx="416">
                  <c:v>-264.05420190117019</c:v>
                </c:pt>
                <c:pt idx="417">
                  <c:v>-264.1524361713075</c:v>
                </c:pt>
                <c:pt idx="418">
                  <c:v>-264.25007266414633</c:v>
                </c:pt>
                <c:pt idx="419">
                  <c:v>-264.34711962631297</c:v>
                </c:pt>
                <c:pt idx="420">
                  <c:v>-264.44358515134229</c:v>
                </c:pt>
                <c:pt idx="421">
                  <c:v>-264.53947718319819</c:v>
                </c:pt>
                <c:pt idx="422">
                  <c:v>-264.6348035196977</c:v>
                </c:pt>
                <c:pt idx="423">
                  <c:v>-264.72957181584138</c:v>
                </c:pt>
                <c:pt idx="424">
                  <c:v>-264.82378958705351</c:v>
                </c:pt>
                <c:pt idx="425">
                  <c:v>-264.91746421233472</c:v>
                </c:pt>
                <c:pt idx="426">
                  <c:v>-265.01060293732945</c:v>
                </c:pt>
                <c:pt idx="427">
                  <c:v>-265.10321287731153</c:v>
                </c:pt>
                <c:pt idx="428">
                  <c:v>-265.19530102008986</c:v>
                </c:pt>
                <c:pt idx="429">
                  <c:v>-265.28687422883689</c:v>
                </c:pt>
                <c:pt idx="430">
                  <c:v>-265.37793924484254</c:v>
                </c:pt>
                <c:pt idx="431">
                  <c:v>-265.46850269019518</c:v>
                </c:pt>
                <c:pt idx="432">
                  <c:v>-265.5585710703927</c:v>
                </c:pt>
                <c:pt idx="433">
                  <c:v>-265.64815077688525</c:v>
                </c:pt>
                <c:pt idx="434">
                  <c:v>-265.73724808955149</c:v>
                </c:pt>
                <c:pt idx="435">
                  <c:v>-265.82586917911141</c:v>
                </c:pt>
                <c:pt idx="436">
                  <c:v>-265.91402010947644</c:v>
                </c:pt>
                <c:pt idx="437">
                  <c:v>-266.00170684003939</c:v>
                </c:pt>
                <c:pt idx="438">
                  <c:v>-266.08893522790578</c:v>
                </c:pt>
                <c:pt idx="439">
                  <c:v>-266.17571103006861</c:v>
                </c:pt>
                <c:pt idx="440">
                  <c:v>-266.2620399055275</c:v>
                </c:pt>
                <c:pt idx="441">
                  <c:v>-266.34792741735492</c:v>
                </c:pt>
                <c:pt idx="442">
                  <c:v>-266.43337903470984</c:v>
                </c:pt>
                <c:pt idx="443">
                  <c:v>-266.51840013480171</c:v>
                </c:pt>
                <c:pt idx="444">
                  <c:v>-266.60299600480465</c:v>
                </c:pt>
                <c:pt idx="445">
                  <c:v>-266.68717184372474</c:v>
                </c:pt>
                <c:pt idx="446">
                  <c:v>-266.77093276422085</c:v>
                </c:pt>
                <c:pt idx="447">
                  <c:v>-266.85428379438042</c:v>
                </c:pt>
                <c:pt idx="448">
                  <c:v>-266.93722987945233</c:v>
                </c:pt>
                <c:pt idx="449">
                  <c:v>-267.01977588353662</c:v>
                </c:pt>
                <c:pt idx="450">
                  <c:v>-267.10192659123351</c:v>
                </c:pt>
                <c:pt idx="451">
                  <c:v>-267.18368670925258</c:v>
                </c:pt>
                <c:pt idx="452">
                  <c:v>-267.26506086798287</c:v>
                </c:pt>
                <c:pt idx="453">
                  <c:v>-267.34605362302506</c:v>
                </c:pt>
                <c:pt idx="454">
                  <c:v>-267.42666945668742</c:v>
                </c:pt>
                <c:pt idx="455">
                  <c:v>-267.50691277944566</c:v>
                </c:pt>
                <c:pt idx="456">
                  <c:v>-267.58678793136812</c:v>
                </c:pt>
                <c:pt idx="457">
                  <c:v>-267.66629918350776</c:v>
                </c:pt>
                <c:pt idx="458">
                  <c:v>-267.74545073926038</c:v>
                </c:pt>
                <c:pt idx="459">
                  <c:v>-267.82424673569176</c:v>
                </c:pt>
                <c:pt idx="460">
                  <c:v>-267.90269124483319</c:v>
                </c:pt>
                <c:pt idx="461">
                  <c:v>-267.98078827494737</c:v>
                </c:pt>
                <c:pt idx="462">
                  <c:v>-268.05854177176457</c:v>
                </c:pt>
                <c:pt idx="463">
                  <c:v>-268.1359556196897</c:v>
                </c:pt>
                <c:pt idx="464">
                  <c:v>-268.21303364298274</c:v>
                </c:pt>
                <c:pt idx="465">
                  <c:v>-268.28977960691105</c:v>
                </c:pt>
                <c:pt idx="466">
                  <c:v>-268.36619721887587</c:v>
                </c:pt>
                <c:pt idx="467">
                  <c:v>-268.44229012951274</c:v>
                </c:pt>
                <c:pt idx="468">
                  <c:v>-268.51806193376751</c:v>
                </c:pt>
                <c:pt idx="469">
                  <c:v>-268.5935161719475</c:v>
                </c:pt>
                <c:pt idx="470">
                  <c:v>-268.66865633074906</c:v>
                </c:pt>
                <c:pt idx="471">
                  <c:v>-268.7434858442623</c:v>
                </c:pt>
                <c:pt idx="472">
                  <c:v>-268.81800809495348</c:v>
                </c:pt>
                <c:pt idx="473">
                  <c:v>-268.89222641462459</c:v>
                </c:pt>
                <c:pt idx="474">
                  <c:v>-268.96614408535311</c:v>
                </c:pt>
                <c:pt idx="475">
                  <c:v>-269.03976434040942</c:v>
                </c:pt>
                <c:pt idx="476">
                  <c:v>-269.11309036515541</c:v>
                </c:pt>
                <c:pt idx="477">
                  <c:v>-269.18612529792216</c:v>
                </c:pt>
                <c:pt idx="478">
                  <c:v>-269.2588722308692</c:v>
                </c:pt>
                <c:pt idx="479">
                  <c:v>-269.33133421082471</c:v>
                </c:pt>
                <c:pt idx="480">
                  <c:v>-269.40351424010782</c:v>
                </c:pt>
                <c:pt idx="481">
                  <c:v>-269.47541527733227</c:v>
                </c:pt>
                <c:pt idx="482">
                  <c:v>-269.54704023819397</c:v>
                </c:pt>
                <c:pt idx="483">
                  <c:v>-269.61839199624046</c:v>
                </c:pt>
                <c:pt idx="484">
                  <c:v>-269.68947338362477</c:v>
                </c:pt>
                <c:pt idx="485">
                  <c:v>-269.76028719184262</c:v>
                </c:pt>
                <c:pt idx="486">
                  <c:v>-269.83083617245416</c:v>
                </c:pt>
                <c:pt idx="487">
                  <c:v>-269.90112303779068</c:v>
                </c:pt>
                <c:pt idx="488">
                  <c:v>-269.97115046164572</c:v>
                </c:pt>
                <c:pt idx="489">
                  <c:v>-270.04092107995245</c:v>
                </c:pt>
                <c:pt idx="490">
                  <c:v>-270.11043749144631</c:v>
                </c:pt>
                <c:pt idx="491">
                  <c:v>-270.1797022583138</c:v>
                </c:pt>
                <c:pt idx="492">
                  <c:v>-270.24871790682812</c:v>
                </c:pt>
                <c:pt idx="493">
                  <c:v>-270.31748692797146</c:v>
                </c:pt>
                <c:pt idx="494">
                  <c:v>-270.38601177804401</c:v>
                </c:pt>
                <c:pt idx="495">
                  <c:v>-270.45429487926128</c:v>
                </c:pt>
                <c:pt idx="496">
                  <c:v>-270.52233862033808</c:v>
                </c:pt>
                <c:pt idx="497">
                  <c:v>-270.59014535706183</c:v>
                </c:pt>
                <c:pt idx="498">
                  <c:v>-270.65771741285266</c:v>
                </c:pt>
                <c:pt idx="499">
                  <c:v>-270.72505707931367</c:v>
                </c:pt>
                <c:pt idx="500">
                  <c:v>-270.79216661676878</c:v>
                </c:pt>
                <c:pt idx="501">
                  <c:v>-270.85904825479031</c:v>
                </c:pt>
                <c:pt idx="502">
                  <c:v>-270.92570419271624</c:v>
                </c:pt>
                <c:pt idx="503">
                  <c:v>-270.99213660015613</c:v>
                </c:pt>
                <c:pt idx="504">
                  <c:v>-271.0583476174881</c:v>
                </c:pt>
                <c:pt idx="505">
                  <c:v>-271.12433935634482</c:v>
                </c:pt>
                <c:pt idx="506">
                  <c:v>-271.19011390009064</c:v>
                </c:pt>
                <c:pt idx="507">
                  <c:v>-271.25567330428891</c:v>
                </c:pt>
                <c:pt idx="508">
                  <c:v>-271.3210195971601</c:v>
                </c:pt>
                <c:pt idx="509">
                  <c:v>-271.38615478003095</c:v>
                </c:pt>
                <c:pt idx="510">
                  <c:v>-271.45108082777489</c:v>
                </c:pt>
                <c:pt idx="511">
                  <c:v>-271.51579968924375</c:v>
                </c:pt>
                <c:pt idx="512">
                  <c:v>-271.58031328769101</c:v>
                </c:pt>
                <c:pt idx="513">
                  <c:v>-271.64462352118704</c:v>
                </c:pt>
                <c:pt idx="514">
                  <c:v>-271.70873226302615</c:v>
                </c:pt>
                <c:pt idx="515">
                  <c:v>-271.7726413621258</c:v>
                </c:pt>
                <c:pt idx="516">
                  <c:v>-271.83635264341797</c:v>
                </c:pt>
                <c:pt idx="517">
                  <c:v>-271.89986790823366</c:v>
                </c:pt>
                <c:pt idx="518">
                  <c:v>-271.96318893467907</c:v>
                </c:pt>
                <c:pt idx="519">
                  <c:v>-272.02631747800552</c:v>
                </c:pt>
                <c:pt idx="520">
                  <c:v>-272.08925527097165</c:v>
                </c:pt>
                <c:pt idx="521">
                  <c:v>-272.15200402419941</c:v>
                </c:pt>
                <c:pt idx="522">
                  <c:v>-272.21456542652277</c:v>
                </c:pt>
                <c:pt idx="523">
                  <c:v>-272.27694114533011</c:v>
                </c:pt>
                <c:pt idx="524">
                  <c:v>-272.3391328269002</c:v>
                </c:pt>
                <c:pt idx="525">
                  <c:v>-272.40114209673203</c:v>
                </c:pt>
                <c:pt idx="526">
                  <c:v>-272.46297055986804</c:v>
                </c:pt>
                <c:pt idx="527">
                  <c:v>-272.524619801212</c:v>
                </c:pt>
                <c:pt idx="528">
                  <c:v>-272.58609138584023</c:v>
                </c:pt>
                <c:pt idx="529">
                  <c:v>-272.64738685930797</c:v>
                </c:pt>
                <c:pt idx="530">
                  <c:v>-272.70850774794928</c:v>
                </c:pt>
                <c:pt idx="531">
                  <c:v>-272.76945555917177</c:v>
                </c:pt>
                <c:pt idx="532">
                  <c:v>-272.83023178174636</c:v>
                </c:pt>
                <c:pt idx="533">
                  <c:v>-272.89083788609082</c:v>
                </c:pt>
                <c:pt idx="534">
                  <c:v>-272.95127532454916</c:v>
                </c:pt>
                <c:pt idx="535">
                  <c:v>-273.01154553166498</c:v>
                </c:pt>
                <c:pt idx="536">
                  <c:v>-273.07164992445098</c:v>
                </c:pt>
                <c:pt idx="537">
                  <c:v>-273.13158990265242</c:v>
                </c:pt>
                <c:pt idx="538">
                  <c:v>-273.19136684900684</c:v>
                </c:pt>
                <c:pt idx="539">
                  <c:v>-273.25098212949854</c:v>
                </c:pt>
                <c:pt idx="540">
                  <c:v>-273.31043709360881</c:v>
                </c:pt>
                <c:pt idx="541">
                  <c:v>-273.36973307456151</c:v>
                </c:pt>
                <c:pt idx="542">
                  <c:v>-273.42887138956428</c:v>
                </c:pt>
                <c:pt idx="543">
                  <c:v>-273.48785334004577</c:v>
                </c:pt>
                <c:pt idx="544">
                  <c:v>-273.54668021188849</c:v>
                </c:pt>
                <c:pt idx="545">
                  <c:v>-273.60535327565731</c:v>
                </c:pt>
                <c:pt idx="546">
                  <c:v>-273.66387378682435</c:v>
                </c:pt>
                <c:pt idx="547">
                  <c:v>-273.72224298598985</c:v>
                </c:pt>
                <c:pt idx="548">
                  <c:v>-273.78046209909905</c:v>
                </c:pt>
                <c:pt idx="549">
                  <c:v>-273.83853233765524</c:v>
                </c:pt>
                <c:pt idx="550">
                  <c:v>-273.89645489892945</c:v>
                </c:pt>
                <c:pt idx="551">
                  <c:v>-273.95423096616616</c:v>
                </c:pt>
                <c:pt idx="552">
                  <c:v>-274.01186170878566</c:v>
                </c:pt>
                <c:pt idx="553">
                  <c:v>-274.06934828258289</c:v>
                </c:pt>
                <c:pt idx="554">
                  <c:v>-274.12669182992261</c:v>
                </c:pt>
                <c:pt idx="555">
                  <c:v>-274.18389347993201</c:v>
                </c:pt>
                <c:pt idx="556">
                  <c:v>-274.24095434868889</c:v>
                </c:pt>
                <c:pt idx="557">
                  <c:v>-274.29787553940758</c:v>
                </c:pt>
                <c:pt idx="558">
                  <c:v>-274.35465814262147</c:v>
                </c:pt>
                <c:pt idx="559">
                  <c:v>-274.41130323636207</c:v>
                </c:pt>
                <c:pt idx="560">
                  <c:v>-274.46781188633543</c:v>
                </c:pt>
                <c:pt idx="561">
                  <c:v>-274.52418514609582</c:v>
                </c:pt>
                <c:pt idx="562">
                  <c:v>-274.58042405721562</c:v>
                </c:pt>
                <c:pt idx="563">
                  <c:v>-274.63652964945339</c:v>
                </c:pt>
                <c:pt idx="564">
                  <c:v>-274.69250294091853</c:v>
                </c:pt>
                <c:pt idx="565">
                  <c:v>-274.74834493823329</c:v>
                </c:pt>
                <c:pt idx="566">
                  <c:v>-274.80405663669228</c:v>
                </c:pt>
                <c:pt idx="567">
                  <c:v>-274.85963902041902</c:v>
                </c:pt>
                <c:pt idx="568">
                  <c:v>-274.91509306252044</c:v>
                </c:pt>
                <c:pt idx="569">
                  <c:v>-274.97041972523812</c:v>
                </c:pt>
                <c:pt idx="570">
                  <c:v>-275.02561996009763</c:v>
                </c:pt>
                <c:pt idx="571">
                  <c:v>-275.08069470805526</c:v>
                </c:pt>
                <c:pt idx="572">
                  <c:v>-275.13564489964233</c:v>
                </c:pt>
                <c:pt idx="573">
                  <c:v>-275.19047145510706</c:v>
                </c:pt>
                <c:pt idx="574">
                  <c:v>-275.24517528455414</c:v>
                </c:pt>
                <c:pt idx="575">
                  <c:v>-275.29975728808245</c:v>
                </c:pt>
                <c:pt idx="576">
                  <c:v>-275.35421835591995</c:v>
                </c:pt>
                <c:pt idx="577">
                  <c:v>-275.40855936855678</c:v>
                </c:pt>
                <c:pt idx="578">
                  <c:v>-275.46278119687622</c:v>
                </c:pt>
                <c:pt idx="579">
                  <c:v>-275.51688470228316</c:v>
                </c:pt>
                <c:pt idx="580">
                  <c:v>-275.57087073683124</c:v>
                </c:pt>
                <c:pt idx="581">
                  <c:v>-275.62474014334737</c:v>
                </c:pt>
                <c:pt idx="582">
                  <c:v>-275.6784937555542</c:v>
                </c:pt>
                <c:pt idx="583">
                  <c:v>-275.73213239819131</c:v>
                </c:pt>
                <c:pt idx="584">
                  <c:v>-275.78565688713388</c:v>
                </c:pt>
                <c:pt idx="585">
                  <c:v>-275.83906802950958</c:v>
                </c:pt>
                <c:pt idx="586">
                  <c:v>-275.89236662381387</c:v>
                </c:pt>
                <c:pt idx="587">
                  <c:v>-275.9455534600234</c:v>
                </c:pt>
                <c:pt idx="588">
                  <c:v>-275.99862931970745</c:v>
                </c:pt>
                <c:pt idx="589">
                  <c:v>-276.05159497613789</c:v>
                </c:pt>
                <c:pt idx="590">
                  <c:v>-276.10445119439714</c:v>
                </c:pt>
                <c:pt idx="591">
                  <c:v>-276.15719873148475</c:v>
                </c:pt>
                <c:pt idx="592">
                  <c:v>-276.20983833642231</c:v>
                </c:pt>
                <c:pt idx="593">
                  <c:v>-276.26237075035641</c:v>
                </c:pt>
                <c:pt idx="594">
                  <c:v>-276.31479670666033</c:v>
                </c:pt>
                <c:pt idx="595">
                  <c:v>-276.36711693103416</c:v>
                </c:pt>
                <c:pt idx="596">
                  <c:v>-276.41933214160326</c:v>
                </c:pt>
                <c:pt idx="597">
                  <c:v>-276.47144304901508</c:v>
                </c:pt>
                <c:pt idx="598">
                  <c:v>-276.52345035653508</c:v>
                </c:pt>
                <c:pt idx="599">
                  <c:v>-276.57535476014039</c:v>
                </c:pt>
                <c:pt idx="600">
                  <c:v>-276.62715694861276</c:v>
                </c:pt>
                <c:pt idx="601">
                  <c:v>-276.67885760362958</c:v>
                </c:pt>
                <c:pt idx="602">
                  <c:v>-276.73045739985389</c:v>
                </c:pt>
                <c:pt idx="603">
                  <c:v>-276.78195700502295</c:v>
                </c:pt>
                <c:pt idx="604">
                  <c:v>-276.83335708003511</c:v>
                </c:pt>
                <c:pt idx="605">
                  <c:v>-276.88465827903622</c:v>
                </c:pt>
                <c:pt idx="606">
                  <c:v>-279.33636900258301</c:v>
                </c:pt>
                <c:pt idx="607">
                  <c:v>-281.60415673461063</c:v>
                </c:pt>
                <c:pt idx="608">
                  <c:v>-283.72892065420291</c:v>
                </c:pt>
                <c:pt idx="609">
                  <c:v>-285.7375237119133</c:v>
                </c:pt>
                <c:pt idx="610">
                  <c:v>-287.64828363154101</c:v>
                </c:pt>
                <c:pt idx="611">
                  <c:v>-289.47410792227527</c:v>
                </c:pt>
                <c:pt idx="612">
                  <c:v>-291.22437031428979</c:v>
                </c:pt>
                <c:pt idx="613">
                  <c:v>-292.90607800954257</c:v>
                </c:pt>
                <c:pt idx="614">
                  <c:v>-294.5246210368241</c:v>
                </c:pt>
                <c:pt idx="615">
                  <c:v>-296.08426585261032</c:v>
                </c:pt>
                <c:pt idx="616">
                  <c:v>-297.58848729801349</c:v>
                </c:pt>
                <c:pt idx="617">
                  <c:v>-299.04019555985968</c:v>
                </c:pt>
                <c:pt idx="618">
                  <c:v>-299.65112622857976</c:v>
                </c:pt>
                <c:pt idx="619">
                  <c:v>-300.25280050970878</c:v>
                </c:pt>
                <c:pt idx="620">
                  <c:v>-300.84543564415748</c:v>
                </c:pt>
                <c:pt idx="621">
                  <c:v>-301.42923686400542</c:v>
                </c:pt>
                <c:pt idx="622">
                  <c:v>-302.00439861911701</c:v>
                </c:pt>
                <c:pt idx="623">
                  <c:v>-302.57110565753419</c:v>
                </c:pt>
                <c:pt idx="624">
                  <c:v>-303.12953397819928</c:v>
                </c:pt>
                <c:pt idx="625">
                  <c:v>-303.67985167201692</c:v>
                </c:pt>
                <c:pt idx="626">
                  <c:v>-304.22221966509989</c:v>
                </c:pt>
                <c:pt idx="627">
                  <c:v>-304.75679237620579</c:v>
                </c:pt>
                <c:pt idx="628">
                  <c:v>-305.28371829879433</c:v>
                </c:pt>
                <c:pt idx="629">
                  <c:v>-305.80314051678863</c:v>
                </c:pt>
                <c:pt idx="630">
                  <c:v>-306.31519716196453</c:v>
                </c:pt>
                <c:pt idx="631">
                  <c:v>-306.82002181989333</c:v>
                </c:pt>
                <c:pt idx="632">
                  <c:v>-307.31774389050213</c:v>
                </c:pt>
                <c:pt idx="633">
                  <c:v>-307.80848890856873</c:v>
                </c:pt>
                <c:pt idx="634">
                  <c:v>-308.29237882882046</c:v>
                </c:pt>
                <c:pt idx="635">
                  <c:v>-308.76953227974428</c:v>
                </c:pt>
                <c:pt idx="636">
                  <c:v>-309.24006478972262</c:v>
                </c:pt>
                <c:pt idx="637">
                  <c:v>-309.70408898868322</c:v>
                </c:pt>
                <c:pt idx="638">
                  <c:v>-310.16171478807496</c:v>
                </c:pt>
                <c:pt idx="639">
                  <c:v>-310.61304954165428</c:v>
                </c:pt>
                <c:pt idx="640">
                  <c:v>-311.05819818927739</c:v>
                </c:pt>
                <c:pt idx="641">
                  <c:v>-311.4972633856421</c:v>
                </c:pt>
                <c:pt idx="642">
                  <c:v>-311.93034561569789</c:v>
                </c:pt>
                <c:pt idx="643">
                  <c:v>-312.3575432982488</c:v>
                </c:pt>
                <c:pt idx="644">
                  <c:v>-312.77895287909723</c:v>
                </c:pt>
                <c:pt idx="645">
                  <c:v>-313.19466891492732</c:v>
                </c:pt>
                <c:pt idx="646">
                  <c:v>-313.60478414898745</c:v>
                </c:pt>
                <c:pt idx="647">
                  <c:v>-314.00938957951371</c:v>
                </c:pt>
                <c:pt idx="648">
                  <c:v>-314.40857452173009</c:v>
                </c:pt>
                <c:pt idx="649">
                  <c:v>-314.80242666416365</c:v>
                </c:pt>
                <c:pt idx="650">
                  <c:v>-315.19103211993558</c:v>
                </c:pt>
                <c:pt idx="651">
                  <c:v>-315.57447547360704</c:v>
                </c:pt>
                <c:pt idx="652">
                  <c:v>-315.95283982409956</c:v>
                </c:pt>
                <c:pt idx="653">
                  <c:v>-316.32620682414711</c:v>
                </c:pt>
                <c:pt idx="654">
                  <c:v>-316.69465671668604</c:v>
                </c:pt>
                <c:pt idx="655">
                  <c:v>-317.05826836854334</c:v>
                </c:pt>
                <c:pt idx="656">
                  <c:v>-317.41711930174108</c:v>
                </c:pt>
                <c:pt idx="657">
                  <c:v>-317.77128572269999</c:v>
                </c:pt>
                <c:pt idx="658">
                  <c:v>-318.12084254959046</c:v>
                </c:pt>
                <c:pt idx="659">
                  <c:v>-318.46586343805245</c:v>
                </c:pt>
                <c:pt idx="660">
                  <c:v>-318.8064208054775</c:v>
                </c:pt>
                <c:pt idx="661">
                  <c:v>-319.14258585402598</c:v>
                </c:pt>
                <c:pt idx="662">
                  <c:v>-319.47442859252874</c:v>
                </c:pt>
                <c:pt idx="663">
                  <c:v>-319.80201785740815</c:v>
                </c:pt>
                <c:pt idx="664">
                  <c:v>-320.12542133273382</c:v>
                </c:pt>
                <c:pt idx="665">
                  <c:v>-320.44470556951626</c:v>
                </c:pt>
                <c:pt idx="666">
                  <c:v>-320.7599360043277</c:v>
                </c:pt>
                <c:pt idx="667">
                  <c:v>-321.07117697732923</c:v>
                </c:pt>
              </c:numCache>
            </c:numRef>
          </c:yVal>
          <c:smooth val="0"/>
          <c:extLst>
            <c:ext xmlns:c16="http://schemas.microsoft.com/office/drawing/2014/chart" uri="{C3380CC4-5D6E-409C-BE32-E72D297353CC}">
              <c16:uniqueId val="{00000001-306B-4242-B253-B9A3B2188A5D}"/>
            </c:ext>
          </c:extLst>
        </c:ser>
        <c:dLbls>
          <c:showLegendKey val="0"/>
          <c:showVal val="0"/>
          <c:showCatName val="0"/>
          <c:showSerName val="0"/>
          <c:showPercent val="0"/>
          <c:showBubbleSize val="0"/>
        </c:dLbls>
        <c:axId val="177465600"/>
        <c:axId val="177467392"/>
      </c:scatterChart>
      <c:valAx>
        <c:axId val="177449216"/>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375680580762788"/>
              <c:y val="0.88281468722659673"/>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63680"/>
        <c:crossesAt val="-80"/>
        <c:crossBetween val="midCat"/>
      </c:valAx>
      <c:valAx>
        <c:axId val="177463680"/>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852994555354056E-2"/>
              <c:y val="0.4427094269466312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49216"/>
        <c:crosses val="autoZero"/>
        <c:crossBetween val="midCat"/>
      </c:valAx>
      <c:valAx>
        <c:axId val="177465600"/>
        <c:scaling>
          <c:logBase val="10"/>
          <c:orientation val="minMax"/>
        </c:scaling>
        <c:delete val="1"/>
        <c:axPos val="b"/>
        <c:numFmt formatCode="General" sourceLinked="1"/>
        <c:majorTickMark val="out"/>
        <c:minorTickMark val="none"/>
        <c:tickLblPos val="none"/>
        <c:crossAx val="177467392"/>
        <c:crosses val="autoZero"/>
        <c:crossBetween val="midCat"/>
      </c:valAx>
      <c:valAx>
        <c:axId val="177467392"/>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62794918330363"/>
              <c:y val="0.3671883202099790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65600"/>
        <c:crosses val="max"/>
        <c:crossBetween val="midCat"/>
      </c:valAx>
      <c:spPr>
        <a:noFill/>
        <a:ln w="12700">
          <a:solidFill>
            <a:srgbClr val="808080"/>
          </a:solidFill>
          <a:prstDash val="solid"/>
        </a:ln>
      </c:spPr>
    </c:plotArea>
    <c:legend>
      <c:legendPos val="t"/>
      <c:layout>
        <c:manualLayout>
          <c:xMode val="edge"/>
          <c:yMode val="edge"/>
          <c:x val="0.76406533575318358"/>
          <c:y val="1.3020833333333511E-2"/>
          <c:w val="0.21597096188747997"/>
          <c:h val="0.1458336067366578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Comp to Vout</a:t>
            </a:r>
          </a:p>
        </c:rich>
      </c:tx>
      <c:layout>
        <c:manualLayout>
          <c:xMode val="edge"/>
          <c:yMode val="edge"/>
          <c:x val="0.42753699265852635"/>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Calculations'!$BM$9:$BM$676</c:f>
              <c:numCache>
                <c:formatCode>General</c:formatCode>
                <c:ptCount val="668"/>
                <c:pt idx="0">
                  <c:v>23.381213648538463</c:v>
                </c:pt>
                <c:pt idx="1">
                  <c:v>23.381214697875869</c:v>
                </c:pt>
                <c:pt idx="2">
                  <c:v>23.381216446771795</c:v>
                </c:pt>
                <c:pt idx="3">
                  <c:v>23.381218895226613</c:v>
                </c:pt>
                <c:pt idx="4">
                  <c:v>23.38122204324085</c:v>
                </c:pt>
                <c:pt idx="5">
                  <c:v>23.381225890815177</c:v>
                </c:pt>
                <c:pt idx="6">
                  <c:v>23.381230437950418</c:v>
                </c:pt>
                <c:pt idx="7">
                  <c:v>23.381235684647542</c:v>
                </c:pt>
                <c:pt idx="8">
                  <c:v>23.381241630907674</c:v>
                </c:pt>
                <c:pt idx="9">
                  <c:v>23.381248276732087</c:v>
                </c:pt>
                <c:pt idx="10">
                  <c:v>23.381353211398299</c:v>
                </c:pt>
                <c:pt idx="11">
                  <c:v>23.381528105002062</c:v>
                </c:pt>
                <c:pt idx="12">
                  <c:v>23.381772961283644</c:v>
                </c:pt>
                <c:pt idx="13">
                  <c:v>23.38208778547974</c:v>
                </c:pt>
                <c:pt idx="14">
                  <c:v>23.382472584323786</c:v>
                </c:pt>
                <c:pt idx="15">
                  <c:v>23.382927366046339</c:v>
                </c:pt>
                <c:pt idx="16">
                  <c:v>23.383452140375582</c:v>
                </c:pt>
                <c:pt idx="17">
                  <c:v>23.384046918537926</c:v>
                </c:pt>
                <c:pt idx="18">
                  <c:v>23.384711713258643</c:v>
                </c:pt>
                <c:pt idx="19">
                  <c:v>23.395214444225608</c:v>
                </c:pt>
                <c:pt idx="20">
                  <c:v>23.412743998807994</c:v>
                </c:pt>
                <c:pt idx="21">
                  <c:v>23.437338038427328</c:v>
                </c:pt>
                <c:pt idx="22">
                  <c:v>23.469049604347308</c:v>
                </c:pt>
                <c:pt idx="23">
                  <c:v>23.507947436068939</c:v>
                </c:pt>
                <c:pt idx="24">
                  <c:v>23.554116385121446</c:v>
                </c:pt>
                <c:pt idx="25">
                  <c:v>23.60765792750097</c:v>
                </c:pt>
                <c:pt idx="26">
                  <c:v>23.66869077863732</c:v>
                </c:pt>
                <c:pt idx="27">
                  <c:v>23.737351615311976</c:v>
                </c:pt>
                <c:pt idx="28">
                  <c:v>24.201231596589427</c:v>
                </c:pt>
                <c:pt idx="29">
                  <c:v>24.888444110344604</c:v>
                </c:pt>
                <c:pt idx="30">
                  <c:v>25.843498288202742</c:v>
                </c:pt>
                <c:pt idx="31">
                  <c:v>27.132501723402491</c:v>
                </c:pt>
                <c:pt idx="32">
                  <c:v>28.838095057965415</c:v>
                </c:pt>
                <c:pt idx="33">
                  <c:v>30.973347679872827</c:v>
                </c:pt>
                <c:pt idx="34">
                  <c:v>32.958572130318359</c:v>
                </c:pt>
                <c:pt idx="35">
                  <c:v>32.734979112174379</c:v>
                </c:pt>
                <c:pt idx="36">
                  <c:v>30.011036126319667</c:v>
                </c:pt>
                <c:pt idx="37">
                  <c:v>26.923710499385862</c:v>
                </c:pt>
                <c:pt idx="38">
                  <c:v>24.230864699084464</c:v>
                </c:pt>
                <c:pt idx="39">
                  <c:v>21.947974837775284</c:v>
                </c:pt>
                <c:pt idx="40">
                  <c:v>19.987006197980126</c:v>
                </c:pt>
                <c:pt idx="41">
                  <c:v>18.271712775742323</c:v>
                </c:pt>
                <c:pt idx="42">
                  <c:v>16.746708371896556</c:v>
                </c:pt>
                <c:pt idx="43">
                  <c:v>15.372468995214682</c:v>
                </c:pt>
                <c:pt idx="44">
                  <c:v>14.120354495956164</c:v>
                </c:pt>
                <c:pt idx="45">
                  <c:v>12.969133619576606</c:v>
                </c:pt>
                <c:pt idx="46">
                  <c:v>11.902699315433132</c:v>
                </c:pt>
                <c:pt idx="47">
                  <c:v>10.908567702229536</c:v>
                </c:pt>
                <c:pt idx="48">
                  <c:v>9.9768756077028584</c:v>
                </c:pt>
                <c:pt idx="49">
                  <c:v>9.0996966661006233</c:v>
                </c:pt>
                <c:pt idx="50">
                  <c:v>8.2705643817903436</c:v>
                </c:pt>
                <c:pt idx="51">
                  <c:v>7.4841324501769178</c:v>
                </c:pt>
                <c:pt idx="52">
                  <c:v>6.735928050373885</c:v>
                </c:pt>
                <c:pt idx="53">
                  <c:v>6.0221694112960211</c:v>
                </c:pt>
                <c:pt idx="54">
                  <c:v>5.3396286719873896</c:v>
                </c:pt>
                <c:pt idx="55">
                  <c:v>4.6855272346305679</c:v>
                </c:pt>
                <c:pt idx="56">
                  <c:v>4.0574548128065011</c:v>
                </c:pt>
                <c:pt idx="57">
                  <c:v>3.4533060227648962</c:v>
                </c:pt>
                <c:pt idx="58">
                  <c:v>2.8712301448630049</c:v>
                </c:pt>
                <c:pt idx="59">
                  <c:v>2.3095908999014165</c:v>
                </c:pt>
                <c:pt idx="60">
                  <c:v>1.7669339316215995</c:v>
                </c:pt>
                <c:pt idx="61">
                  <c:v>1.241960284029904</c:v>
                </c:pt>
                <c:pt idx="62">
                  <c:v>0.73350458969214416</c:v>
                </c:pt>
                <c:pt idx="63">
                  <c:v>0.24051699502018856</c:v>
                </c:pt>
                <c:pt idx="64">
                  <c:v>-0.2379519240699659</c:v>
                </c:pt>
                <c:pt idx="65">
                  <c:v>-0.70276383404213616</c:v>
                </c:pt>
                <c:pt idx="66">
                  <c:v>-1.1547033545652006</c:v>
                </c:pt>
                <c:pt idx="67">
                  <c:v>-1.5944871638627705</c:v>
                </c:pt>
                <c:pt idx="68">
                  <c:v>-2.0227717809275885</c:v>
                </c:pt>
                <c:pt idx="69">
                  <c:v>-2.4401602504636681</c:v>
                </c:pt>
                <c:pt idx="70">
                  <c:v>-2.8472079125113914</c:v>
                </c:pt>
                <c:pt idx="71">
                  <c:v>-3.2444274043107022</c:v>
                </c:pt>
                <c:pt idx="72">
                  <c:v>-3.6322930148090093</c:v>
                </c:pt>
                <c:pt idx="73">
                  <c:v>-4.0112444906474485</c:v>
                </c:pt>
                <c:pt idx="74">
                  <c:v>-4.3816903752040819</c:v>
                </c:pt>
                <c:pt idx="75">
                  <c:v>-4.7440109483863955</c:v>
                </c:pt>
                <c:pt idx="76">
                  <c:v>-5.0985608236245694</c:v>
                </c:pt>
                <c:pt idx="77">
                  <c:v>-5.4456712493666046</c:v>
                </c:pt>
                <c:pt idx="78">
                  <c:v>-5.7856521548890161</c:v>
                </c:pt>
                <c:pt idx="79">
                  <c:v>-6.1187939740783284</c:v>
                </c:pt>
                <c:pt idx="80">
                  <c:v>-6.4453692757498953</c:v>
                </c:pt>
                <c:pt idx="81">
                  <c:v>-6.7656342248457371</c:v>
                </c:pt>
                <c:pt idx="82">
                  <c:v>-7.0798298953306844</c:v>
                </c:pt>
                <c:pt idx="83">
                  <c:v>-7.3881834526568877</c:v>
                </c:pt>
                <c:pt idx="84">
                  <c:v>-7.6909092211875194</c:v>
                </c:pt>
                <c:pt idx="85">
                  <c:v>-7.988209649878625</c:v>
                </c:pt>
                <c:pt idx="86">
                  <c:v>-8.2802761877463311</c:v>
                </c:pt>
                <c:pt idx="87">
                  <c:v>-8.5672900791408999</c:v>
                </c:pt>
                <c:pt idx="88">
                  <c:v>-8.8494230875651922</c:v>
                </c:pt>
                <c:pt idx="89">
                  <c:v>-9.1268381556765679</c:v>
                </c:pt>
                <c:pt idx="90">
                  <c:v>-9.3996900081687489</c:v>
                </c:pt>
                <c:pt idx="91">
                  <c:v>-9.6681257034186689</c:v>
                </c:pt>
                <c:pt idx="92">
                  <c:v>-9.9322851390832163</c:v>
                </c:pt>
                <c:pt idx="93">
                  <c:v>-10.192301516224374</c:v>
                </c:pt>
                <c:pt idx="94">
                  <c:v>-10.448301766015266</c:v>
                </c:pt>
                <c:pt idx="95">
                  <c:v>-10.700406942621877</c:v>
                </c:pt>
                <c:pt idx="96">
                  <c:v>-10.948732585455758</c:v>
                </c:pt>
                <c:pt idx="97">
                  <c:v>-11.193389053644081</c:v>
                </c:pt>
                <c:pt idx="98">
                  <c:v>-11.434481835257253</c:v>
                </c:pt>
                <c:pt idx="99">
                  <c:v>-11.672111833565644</c:v>
                </c:pt>
                <c:pt idx="100">
                  <c:v>-11.90637563236038</c:v>
                </c:pt>
                <c:pt idx="101">
                  <c:v>-12.137365742164462</c:v>
                </c:pt>
                <c:pt idx="102">
                  <c:v>-12.36517082897606</c:v>
                </c:pt>
                <c:pt idx="103">
                  <c:v>-12.589875927022394</c:v>
                </c:pt>
                <c:pt idx="104">
                  <c:v>-12.811562636857836</c:v>
                </c:pt>
                <c:pt idx="105">
                  <c:v>-13.030309310010919</c:v>
                </c:pt>
                <c:pt idx="106">
                  <c:v>-13.246191221270118</c:v>
                </c:pt>
                <c:pt idx="107">
                  <c:v>-13.459280729596275</c:v>
                </c:pt>
                <c:pt idx="108">
                  <c:v>-13.669647428557601</c:v>
                </c:pt>
                <c:pt idx="109">
                  <c:v>-13.877358287101808</c:v>
                </c:pt>
                <c:pt idx="110">
                  <c:v>-14.08247778140619</c:v>
                </c:pt>
                <c:pt idx="111">
                  <c:v>-14.285068018480869</c:v>
                </c:pt>
                <c:pt idx="112">
                  <c:v>-14.485188852141018</c:v>
                </c:pt>
                <c:pt idx="113">
                  <c:v>-14.6828979919106</c:v>
                </c:pt>
                <c:pt idx="114">
                  <c:v>-14.87825110537214</c:v>
                </c:pt>
                <c:pt idx="115">
                  <c:v>-15.071301914433464</c:v>
                </c:pt>
                <c:pt idx="116">
                  <c:v>-15.262102285943245</c:v>
                </c:pt>
                <c:pt idx="117">
                  <c:v>-15.450702317051491</c:v>
                </c:pt>
                <c:pt idx="118">
                  <c:v>-15.637150415679075</c:v>
                </c:pt>
                <c:pt idx="119">
                  <c:v>-15.821493376430897</c:v>
                </c:pt>
                <c:pt idx="120">
                  <c:v>-16.003776452260947</c:v>
                </c:pt>
                <c:pt idx="121">
                  <c:v>-16.184043422173207</c:v>
                </c:pt>
                <c:pt idx="122">
                  <c:v>-16.362336655220282</c:v>
                </c:pt>
                <c:pt idx="123">
                  <c:v>-16.538697171041733</c:v>
                </c:pt>
                <c:pt idx="124">
                  <c:v>-16.713164697165485</c:v>
                </c:pt>
                <c:pt idx="125">
                  <c:v>-16.885777723279176</c:v>
                </c:pt>
                <c:pt idx="126">
                  <c:v>-17.056573552662879</c:v>
                </c:pt>
                <c:pt idx="127">
                  <c:v>-17.225588350960496</c:v>
                </c:pt>
                <c:pt idx="128">
                  <c:v>-17.392857192454439</c:v>
                </c:pt>
                <c:pt idx="129">
                  <c:v>-17.558414103996274</c:v>
                </c:pt>
                <c:pt idx="130">
                  <c:v>-17.72229210673521</c:v>
                </c:pt>
                <c:pt idx="131">
                  <c:v>-17.884523255776308</c:v>
                </c:pt>
                <c:pt idx="132">
                  <c:v>-18.045138677891192</c:v>
                </c:pt>
                <c:pt idx="133">
                  <c:v>-18.204168607395445</c:v>
                </c:pt>
                <c:pt idx="134">
                  <c:v>-18.361642420299336</c:v>
                </c:pt>
                <c:pt idx="135">
                  <c:v>-18.517588666830996</c:v>
                </c:pt>
                <c:pt idx="136">
                  <c:v>-18.6720351024249</c:v>
                </c:pt>
                <c:pt idx="137">
                  <c:v>-18.825008717262051</c:v>
                </c:pt>
                <c:pt idx="138">
                  <c:v>-18.976535764442907</c:v>
                </c:pt>
                <c:pt idx="139">
                  <c:v>-19.126641786868468</c:v>
                </c:pt>
                <c:pt idx="140">
                  <c:v>-19.275351642900546</c:v>
                </c:pt>
                <c:pt idx="141">
                  <c:v>-19.422689530867281</c:v>
                </c:pt>
                <c:pt idx="142">
                  <c:v>-19.56867901247611</c:v>
                </c:pt>
                <c:pt idx="143">
                  <c:v>-19.713343035192366</c:v>
                </c:pt>
                <c:pt idx="144">
                  <c:v>-19.856703953638124</c:v>
                </c:pt>
                <c:pt idx="145">
                  <c:v>-19.998783550062548</c:v>
                </c:pt>
                <c:pt idx="146">
                  <c:v>-20.139603053931886</c:v>
                </c:pt>
                <c:pt idx="147">
                  <c:v>-20.279183160684369</c:v>
                </c:pt>
                <c:pt idx="148">
                  <c:v>-20.417544049692566</c:v>
                </c:pt>
                <c:pt idx="149">
                  <c:v>-20.554705401473164</c:v>
                </c:pt>
                <c:pt idx="150">
                  <c:v>-20.69068641418194</c:v>
                </c:pt>
                <c:pt idx="151">
                  <c:v>-20.825505819429331</c:v>
                </c:pt>
                <c:pt idx="152">
                  <c:v>-20.959181897450101</c:v>
                </c:pt>
                <c:pt idx="153">
                  <c:v>-21.091732491658558</c:v>
                </c:pt>
                <c:pt idx="154">
                  <c:v>-21.223175022619163</c:v>
                </c:pt>
                <c:pt idx="155">
                  <c:v>-21.353526501460514</c:v>
                </c:pt>
                <c:pt idx="156">
                  <c:v>-21.482803542759207</c:v>
                </c:pt>
                <c:pt idx="157">
                  <c:v>-21.611022376918712</c:v>
                </c:pt>
                <c:pt idx="158">
                  <c:v>-21.738198862066746</c:v>
                </c:pt>
                <c:pt idx="159">
                  <c:v>-21.864348495493697</c:v>
                </c:pt>
                <c:pt idx="160">
                  <c:v>-21.989486424653158</c:v>
                </c:pt>
                <c:pt idx="161">
                  <c:v>-22.113627457744613</c:v>
                </c:pt>
                <c:pt idx="162">
                  <c:v>-22.236786073897285</c:v>
                </c:pt>
                <c:pt idx="163">
                  <c:v>-22.358976432973066</c:v>
                </c:pt>
                <c:pt idx="164">
                  <c:v>-22.480212385005565</c:v>
                </c:pt>
                <c:pt idx="165">
                  <c:v>-22.600507479291455</c:v>
                </c:pt>
                <c:pt idx="166">
                  <c:v>-22.71987497314932</c:v>
                </c:pt>
                <c:pt idx="167">
                  <c:v>-22.838327840360723</c:v>
                </c:pt>
                <c:pt idx="168">
                  <c:v>-22.955878779307021</c:v>
                </c:pt>
                <c:pt idx="169">
                  <c:v>-23.072540220815259</c:v>
                </c:pt>
                <c:pt idx="170">
                  <c:v>-23.188324335725461</c:v>
                </c:pt>
                <c:pt idx="171">
                  <c:v>-23.303243042191127</c:v>
                </c:pt>
                <c:pt idx="172">
                  <c:v>-23.417308012724245</c:v>
                </c:pt>
                <c:pt idx="173">
                  <c:v>-23.530530680995447</c:v>
                </c:pt>
                <c:pt idx="174">
                  <c:v>-23.642922248399508</c:v>
                </c:pt>
                <c:pt idx="175">
                  <c:v>-23.754493690395822</c:v>
                </c:pt>
                <c:pt idx="176">
                  <c:v>-23.865255762633133</c:v>
                </c:pt>
                <c:pt idx="177">
                  <c:v>-23.97521900686726</c:v>
                </c:pt>
                <c:pt idx="178">
                  <c:v>-24.084393756680143</c:v>
                </c:pt>
                <c:pt idx="179">
                  <c:v>-24.192790143008263</c:v>
                </c:pt>
                <c:pt idx="180">
                  <c:v>-24.300418099487906</c:v>
                </c:pt>
                <c:pt idx="181">
                  <c:v>-24.407287367624718</c:v>
                </c:pt>
                <c:pt idx="182">
                  <c:v>-24.513407501794163</c:v>
                </c:pt>
                <c:pt idx="183">
                  <c:v>-24.618787874079814</c:v>
                </c:pt>
                <c:pt idx="184">
                  <c:v>-24.723437678955506</c:v>
                </c:pt>
                <c:pt idx="185">
                  <c:v>-24.827365937817511</c:v>
                </c:pt>
                <c:pt idx="186">
                  <c:v>-24.930581503372437</c:v>
                </c:pt>
                <c:pt idx="187">
                  <c:v>-25.033093063886302</c:v>
                </c:pt>
                <c:pt idx="188">
                  <c:v>-25.134909147300132</c:v>
                </c:pt>
                <c:pt idx="189">
                  <c:v>-25.236038125216929</c:v>
                </c:pt>
                <c:pt idx="190">
                  <c:v>-25.336488216765026</c:v>
                </c:pt>
                <c:pt idx="191">
                  <c:v>-25.436267492342175</c:v>
                </c:pt>
                <c:pt idx="192">
                  <c:v>-25.535383877244971</c:v>
                </c:pt>
                <c:pt idx="193">
                  <c:v>-25.633845155187657</c:v>
                </c:pt>
                <c:pt idx="194">
                  <c:v>-25.731658971714459</c:v>
                </c:pt>
                <c:pt idx="195">
                  <c:v>-25.828832837509204</c:v>
                </c:pt>
                <c:pt idx="196">
                  <c:v>-25.925374131605928</c:v>
                </c:pt>
                <c:pt idx="197">
                  <c:v>-26.021290104504118</c:v>
                </c:pt>
                <c:pt idx="198">
                  <c:v>-26.116587881191791</c:v>
                </c:pt>
                <c:pt idx="199">
                  <c:v>-26.211274464079857</c:v>
                </c:pt>
                <c:pt idx="200">
                  <c:v>-26.305356735850726</c:v>
                </c:pt>
                <c:pt idx="201">
                  <c:v>-26.39884146222424</c:v>
                </c:pt>
                <c:pt idx="202">
                  <c:v>-26.491735294643771</c:v>
                </c:pt>
                <c:pt idx="203">
                  <c:v>-26.584044772885207</c:v>
                </c:pt>
                <c:pt idx="204">
                  <c:v>-26.675776327591581</c:v>
                </c:pt>
                <c:pt idx="205">
                  <c:v>-26.766936282735667</c:v>
                </c:pt>
                <c:pt idx="206">
                  <c:v>-26.857530858013252</c:v>
                </c:pt>
                <c:pt idx="207">
                  <c:v>-26.947566171169161</c:v>
                </c:pt>
                <c:pt idx="208">
                  <c:v>-27.037048240258528</c:v>
                </c:pt>
                <c:pt idx="209">
                  <c:v>-27.125982985845226</c:v>
                </c:pt>
                <c:pt idx="210">
                  <c:v>-27.214376233139763</c:v>
                </c:pt>
                <c:pt idx="211">
                  <c:v>-27.30223371407849</c:v>
                </c:pt>
                <c:pt idx="212">
                  <c:v>-27.389561069346108</c:v>
                </c:pt>
                <c:pt idx="213">
                  <c:v>-27.476363850343315</c:v>
                </c:pt>
                <c:pt idx="214">
                  <c:v>-27.562647521101319</c:v>
                </c:pt>
                <c:pt idx="215">
                  <c:v>-27.648417460145044</c:v>
                </c:pt>
                <c:pt idx="216">
                  <c:v>-27.733678962306548</c:v>
                </c:pt>
                <c:pt idx="217">
                  <c:v>-27.818437240490312</c:v>
                </c:pt>
                <c:pt idx="218">
                  <c:v>-27.902697427391917</c:v>
                </c:pt>
                <c:pt idx="219">
                  <c:v>-27.986464577171567</c:v>
                </c:pt>
                <c:pt idx="220">
                  <c:v>-28.069743667083884</c:v>
                </c:pt>
                <c:pt idx="221">
                  <c:v>-28.152539599065342</c:v>
                </c:pt>
                <c:pt idx="222">
                  <c:v>-28.234857201280622</c:v>
                </c:pt>
                <c:pt idx="223">
                  <c:v>-28.316701229629246</c:v>
                </c:pt>
                <c:pt idx="224">
                  <c:v>-28.398076369213584</c:v>
                </c:pt>
                <c:pt idx="225">
                  <c:v>-28.478987235769509</c:v>
                </c:pt>
                <c:pt idx="226">
                  <c:v>-29.263529439225447</c:v>
                </c:pt>
                <c:pt idx="227">
                  <c:v>-30.006256102599945</c:v>
                </c:pt>
                <c:pt idx="228">
                  <c:v>-30.710827675532215</c:v>
                </c:pt>
                <c:pt idx="229">
                  <c:v>-31.380447295753111</c:v>
                </c:pt>
                <c:pt idx="230">
                  <c:v>-32.017935561223325</c:v>
                </c:pt>
                <c:pt idx="231">
                  <c:v>-32.625790455791247</c:v>
                </c:pt>
                <c:pt idx="232">
                  <c:v>-33.206235835436452</c:v>
                </c:pt>
                <c:pt idx="233">
                  <c:v>-33.761261004195894</c:v>
                </c:pt>
                <c:pt idx="234">
                  <c:v>-34.292653280332651</c:v>
                </c:pt>
                <c:pt idx="235">
                  <c:v>-34.802024997139618</c:v>
                </c:pt>
                <c:pt idx="236">
                  <c:v>-35.290836047512926</c:v>
                </c:pt>
                <c:pt idx="237">
                  <c:v>-35.760412832163993</c:v>
                </c:pt>
                <c:pt idx="238">
                  <c:v>-36.211964284014144</c:v>
                </c:pt>
                <c:pt idx="239">
                  <c:v>-36.646595499136509</c:v>
                </c:pt>
                <c:pt idx="240">
                  <c:v>-37.065319395699035</c:v>
                </c:pt>
                <c:pt idx="241">
                  <c:v>-37.469066738216938</c:v>
                </c:pt>
                <c:pt idx="242">
                  <c:v>-37.858694798891364</c:v>
                </c:pt>
                <c:pt idx="243">
                  <c:v>-38.234994876392214</c:v>
                </c:pt>
                <c:pt idx="244">
                  <c:v>-38.598698851816785</c:v>
                </c:pt>
                <c:pt idx="245">
                  <c:v>-38.950484929243913</c:v>
                </c:pt>
                <c:pt idx="246">
                  <c:v>-39.290982682446803</c:v>
                </c:pt>
                <c:pt idx="247">
                  <c:v>-39.620777508515737</c:v>
                </c:pt>
                <c:pt idx="248">
                  <c:v>-39.940414572298131</c:v>
                </c:pt>
                <c:pt idx="249">
                  <c:v>-40.250402311860526</c:v>
                </c:pt>
                <c:pt idx="250">
                  <c:v>-40.551215563973749</c:v>
                </c:pt>
                <c:pt idx="251">
                  <c:v>-40.843298359420089</c:v>
                </c:pt>
                <c:pt idx="252">
                  <c:v>-41.127066430327979</c:v>
                </c:pt>
                <c:pt idx="253">
                  <c:v>-41.402909465446953</c:v>
                </c:pt>
                <c:pt idx="254">
                  <c:v>-41.671193144040004</c:v>
                </c:pt>
                <c:pt idx="255">
                  <c:v>-41.932260974695332</c:v>
                </c:pt>
                <c:pt idx="256">
                  <c:v>-42.186435961690954</c:v>
                </c:pt>
                <c:pt idx="257">
                  <c:v>-42.434022118456987</c:v>
                </c:pt>
                <c:pt idx="258">
                  <c:v>-42.675305845071101</c:v>
                </c:pt>
                <c:pt idx="259">
                  <c:v>-42.910557184510161</c:v>
                </c:pt>
                <c:pt idx="260">
                  <c:v>-43.140030970498906</c:v>
                </c:pt>
                <c:pt idx="261">
                  <c:v>-43.363967878189762</c:v>
                </c:pt>
                <c:pt idx="262">
                  <c:v>-43.582595387531917</c:v>
                </c:pt>
                <c:pt idx="263">
                  <c:v>-43.7961286680057</c:v>
                </c:pt>
                <c:pt idx="264">
                  <c:v>-44.004771392379105</c:v>
                </c:pt>
                <c:pt idx="265">
                  <c:v>-44.208716486263199</c:v>
                </c:pt>
                <c:pt idx="266">
                  <c:v>-44.408146819478688</c:v>
                </c:pt>
                <c:pt idx="267">
                  <c:v>-44.603235844582727</c:v>
                </c:pt>
                <c:pt idx="268">
                  <c:v>-44.794148187325234</c:v>
                </c:pt>
                <c:pt idx="269">
                  <c:v>-44.981040193298305</c:v>
                </c:pt>
                <c:pt idx="270">
                  <c:v>-45.164060434597637</c:v>
                </c:pt>
                <c:pt idx="271">
                  <c:v>-45.343350179925224</c:v>
                </c:pt>
                <c:pt idx="272">
                  <c:v>-45.519043831218085</c:v>
                </c:pt>
                <c:pt idx="273">
                  <c:v>-45.69126932958396</c:v>
                </c:pt>
                <c:pt idx="274">
                  <c:v>-45.860148533055792</c:v>
                </c:pt>
                <c:pt idx="275">
                  <c:v>-46.025797568437682</c:v>
                </c:pt>
                <c:pt idx="276">
                  <c:v>-46.188327159302325</c:v>
                </c:pt>
                <c:pt idx="277">
                  <c:v>-46.347842932010373</c:v>
                </c:pt>
                <c:pt idx="278">
                  <c:v>-46.504445701452696</c:v>
                </c:pt>
                <c:pt idx="279">
                  <c:v>-46.658231738064629</c:v>
                </c:pt>
                <c:pt idx="280">
                  <c:v>-46.809293017525363</c:v>
                </c:pt>
                <c:pt idx="281">
                  <c:v>-46.957717454433023</c:v>
                </c:pt>
                <c:pt idx="282">
                  <c:v>-47.103589121135954</c:v>
                </c:pt>
                <c:pt idx="283">
                  <c:v>-47.246988452801261</c:v>
                </c:pt>
                <c:pt idx="284">
                  <c:v>-47.387992439711667</c:v>
                </c:pt>
                <c:pt idx="285">
                  <c:v>-47.526674807700687</c:v>
                </c:pt>
                <c:pt idx="286">
                  <c:v>-47.663106187562221</c:v>
                </c:pt>
                <c:pt idx="287">
                  <c:v>-47.797354274203833</c:v>
                </c:pt>
                <c:pt idx="288">
                  <c:v>-47.929483976252165</c:v>
                </c:pt>
                <c:pt idx="289">
                  <c:v>-48.059557556763451</c:v>
                </c:pt>
                <c:pt idx="290">
                  <c:v>-48.187634765641789</c:v>
                </c:pt>
                <c:pt idx="291">
                  <c:v>-48.313772964321615</c:v>
                </c:pt>
                <c:pt idx="292">
                  <c:v>-48.438027243228746</c:v>
                </c:pt>
                <c:pt idx="293">
                  <c:v>-48.560450532495935</c:v>
                </c:pt>
                <c:pt idx="294">
                  <c:v>-48.681093706373446</c:v>
                </c:pt>
                <c:pt idx="295">
                  <c:v>-48.800005681743045</c:v>
                </c:pt>
                <c:pt idx="296">
                  <c:v>-48.917233511113814</c:v>
                </c:pt>
                <c:pt idx="297">
                  <c:v>-49.032822470451201</c:v>
                </c:pt>
                <c:pt idx="298">
                  <c:v>-49.146816142165633</c:v>
                </c:pt>
                <c:pt idx="299">
                  <c:v>-49.259256493563591</c:v>
                </c:pt>
                <c:pt idx="300">
                  <c:v>-49.370183951043359</c:v>
                </c:pt>
                <c:pt idx="301">
                  <c:v>-49.479637470297526</c:v>
                </c:pt>
                <c:pt idx="302">
                  <c:v>-49.587654602766584</c:v>
                </c:pt>
                <c:pt idx="303">
                  <c:v>-49.694271558571081</c:v>
                </c:pt>
                <c:pt idx="304">
                  <c:v>-49.799523266134543</c:v>
                </c:pt>
                <c:pt idx="305">
                  <c:v>-49.903443428694743</c:v>
                </c:pt>
                <c:pt idx="306">
                  <c:v>-50.006064577888274</c:v>
                </c:pt>
                <c:pt idx="307">
                  <c:v>-50.107418124580498</c:v>
                </c:pt>
                <c:pt idx="308">
                  <c:v>-50.207534407102116</c:v>
                </c:pt>
                <c:pt idx="309">
                  <c:v>-50.306442737042822</c:v>
                </c:pt>
                <c:pt idx="310">
                  <c:v>-50.404171442742879</c:v>
                </c:pt>
                <c:pt idx="311">
                  <c:v>-50.500747910614301</c:v>
                </c:pt>
                <c:pt idx="312">
                  <c:v>-50.596198624414953</c:v>
                </c:pt>
                <c:pt idx="313">
                  <c:v>-50.690549202591185</c:v>
                </c:pt>
                <c:pt idx="314">
                  <c:v>-50.783824433797051</c:v>
                </c:pt>
                <c:pt idx="315">
                  <c:v>-50.876048310691814</c:v>
                </c:pt>
                <c:pt idx="316">
                  <c:v>-50.967244062110602</c:v>
                </c:pt>
                <c:pt idx="317">
                  <c:v>-51.057434183697836</c:v>
                </c:pt>
                <c:pt idx="318">
                  <c:v>-51.146640467086968</c:v>
                </c:pt>
                <c:pt idx="319">
                  <c:v>-51.234884027705412</c:v>
                </c:pt>
                <c:pt idx="320">
                  <c:v>-51.322185331278646</c:v>
                </c:pt>
                <c:pt idx="321">
                  <c:v>-51.4085642191028</c:v>
                </c:pt>
                <c:pt idx="322">
                  <c:v>-51.494039932151495</c:v>
                </c:pt>
                <c:pt idx="323">
                  <c:v>-51.578631134077867</c:v>
                </c:pt>
                <c:pt idx="324">
                  <c:v>-51.662355933170254</c:v>
                </c:pt>
                <c:pt idx="325">
                  <c:v>-51.745231903315549</c:v>
                </c:pt>
                <c:pt idx="326">
                  <c:v>-51.827276104021777</c:v>
                </c:pt>
                <c:pt idx="327">
                  <c:v>-51.908505099548208</c:v>
                </c:pt>
                <c:pt idx="328">
                  <c:v>-51.988934977188521</c:v>
                </c:pt>
                <c:pt idx="329">
                  <c:v>-52.068581364750024</c:v>
                </c:pt>
                <c:pt idx="330">
                  <c:v>-52.147459447269419</c:v>
                </c:pt>
                <c:pt idx="331">
                  <c:v>-52.225583983003439</c:v>
                </c:pt>
                <c:pt idx="332">
                  <c:v>-52.302969318730383</c:v>
                </c:pt>
                <c:pt idx="333">
                  <c:v>-52.379629404396596</c:v>
                </c:pt>
                <c:pt idx="334">
                  <c:v>-52.455577807140223</c:v>
                </c:pt>
                <c:pt idx="335">
                  <c:v>-52.530827724722542</c:v>
                </c:pt>
                <c:pt idx="336">
                  <c:v>-52.605391998395696</c:v>
                </c:pt>
                <c:pt idx="337">
                  <c:v>-52.679283125233958</c:v>
                </c:pt>
                <c:pt idx="338">
                  <c:v>-52.75251326995437</c:v>
                </c:pt>
                <c:pt idx="339">
                  <c:v>-52.825094276250979</c:v>
                </c:pt>
                <c:pt idx="340">
                  <c:v>-52.897037677665708</c:v>
                </c:pt>
                <c:pt idx="341">
                  <c:v>-52.968354708017806</c:v>
                </c:pt>
                <c:pt idx="342">
                  <c:v>-53.039056311412381</c:v>
                </c:pt>
                <c:pt idx="343">
                  <c:v>-53.109153151847714</c:v>
                </c:pt>
                <c:pt idx="344">
                  <c:v>-53.178655622439763</c:v>
                </c:pt>
                <c:pt idx="345">
                  <c:v>-53.247573854281669</c:v>
                </c:pt>
                <c:pt idx="346">
                  <c:v>-53.31591772495468</c:v>
                </c:pt>
                <c:pt idx="347">
                  <c:v>-53.383696866706536</c:v>
                </c:pt>
                <c:pt idx="348">
                  <c:v>-53.450920674312215</c:v>
                </c:pt>
                <c:pt idx="349">
                  <c:v>-53.517598312631314</c:v>
                </c:pt>
                <c:pt idx="350">
                  <c:v>-53.583738723875591</c:v>
                </c:pt>
                <c:pt idx="351">
                  <c:v>-53.649350634599585</c:v>
                </c:pt>
                <c:pt idx="352">
                  <c:v>-53.714442562426427</c:v>
                </c:pt>
                <c:pt idx="353">
                  <c:v>-53.779022822520531</c:v>
                </c:pt>
                <c:pt idx="354">
                  <c:v>-53.843099533818162</c:v>
                </c:pt>
                <c:pt idx="355">
                  <c:v>-53.906680625026326</c:v>
                </c:pt>
                <c:pt idx="356">
                  <c:v>-53.969773840400066</c:v>
                </c:pt>
                <c:pt idx="357">
                  <c:v>-54.032386745307605</c:v>
                </c:pt>
                <c:pt idx="358">
                  <c:v>-54.094526731592268</c:v>
                </c:pt>
                <c:pt idx="359">
                  <c:v>-54.156201022740049</c:v>
                </c:pt>
                <c:pt idx="360">
                  <c:v>-54.217416678860658</c:v>
                </c:pt>
                <c:pt idx="361">
                  <c:v>-54.278180601490135</c:v>
                </c:pt>
                <c:pt idx="362">
                  <c:v>-54.338499538222401</c:v>
                </c:pt>
                <c:pt idx="363">
                  <c:v>-54.39838008717669</c:v>
                </c:pt>
                <c:pt idx="364">
                  <c:v>-54.45782870130779</c:v>
                </c:pt>
                <c:pt idx="365">
                  <c:v>-54.516851692565382</c:v>
                </c:pt>
                <c:pt idx="366">
                  <c:v>-54.575455235908734</c:v>
                </c:pt>
                <c:pt idx="367">
                  <c:v>-54.633645373182617</c:v>
                </c:pt>
                <c:pt idx="368">
                  <c:v>-54.691428016859788</c:v>
                </c:pt>
                <c:pt idx="369">
                  <c:v>-54.748808953655761</c:v>
                </c:pt>
                <c:pt idx="370">
                  <c:v>-54.805793848020642</c:v>
                </c:pt>
                <c:pt idx="371">
                  <c:v>-54.862388245513017</c:v>
                </c:pt>
                <c:pt idx="372">
                  <c:v>-54.918597576060549</c:v>
                </c:pt>
                <c:pt idx="373">
                  <c:v>-54.974427157111663</c:v>
                </c:pt>
                <c:pt idx="374">
                  <c:v>-55.029882196682621</c:v>
                </c:pt>
                <c:pt idx="375">
                  <c:v>-55.084967796304021</c:v>
                </c:pt>
                <c:pt idx="376">
                  <c:v>-55.139688953870518</c:v>
                </c:pt>
                <c:pt idx="377">
                  <c:v>-55.194050566397635</c:v>
                </c:pt>
                <c:pt idx="378">
                  <c:v>-55.248057432689023</c:v>
                </c:pt>
                <c:pt idx="379">
                  <c:v>-55.30171425591773</c:v>
                </c:pt>
                <c:pt idx="380">
                  <c:v>-55.355025646124567</c:v>
                </c:pt>
                <c:pt idx="381">
                  <c:v>-55.407996122636845</c:v>
                </c:pt>
                <c:pt idx="382">
                  <c:v>-55.460630116410314</c:v>
                </c:pt>
                <c:pt idx="383">
                  <c:v>-55.512931972297174</c:v>
                </c:pt>
                <c:pt idx="384">
                  <c:v>-55.564905951243027</c:v>
                </c:pt>
                <c:pt idx="385">
                  <c:v>-55.616556232415149</c:v>
                </c:pt>
                <c:pt idx="386">
                  <c:v>-55.667886915264837</c:v>
                </c:pt>
                <c:pt idx="387">
                  <c:v>-55.718902021525984</c:v>
                </c:pt>
                <c:pt idx="388">
                  <c:v>-55.769605497152412</c:v>
                </c:pt>
                <c:pt idx="389">
                  <c:v>-55.820001214195997</c:v>
                </c:pt>
                <c:pt idx="390">
                  <c:v>-55.870092972627788</c:v>
                </c:pt>
                <c:pt idx="391">
                  <c:v>-55.919884502104146</c:v>
                </c:pt>
                <c:pt idx="392">
                  <c:v>-55.969379463679829</c:v>
                </c:pt>
                <c:pt idx="393">
                  <c:v>-56.018581451469878</c:v>
                </c:pt>
                <c:pt idx="394">
                  <c:v>-56.067493994262136</c:v>
                </c:pt>
                <c:pt idx="395">
                  <c:v>-56.116120557082112</c:v>
                </c:pt>
                <c:pt idx="396">
                  <c:v>-56.164464542711848</c:v>
                </c:pt>
                <c:pt idx="397">
                  <c:v>-56.212529293164273</c:v>
                </c:pt>
                <c:pt idx="398">
                  <c:v>-56.260318091114847</c:v>
                </c:pt>
                <c:pt idx="399">
                  <c:v>-56.307834161291581</c:v>
                </c:pt>
                <c:pt idx="400">
                  <c:v>-56.355080671825171</c:v>
                </c:pt>
                <c:pt idx="401">
                  <c:v>-56.402060735560411</c:v>
                </c:pt>
                <c:pt idx="402">
                  <c:v>-56.448777411330283</c:v>
                </c:pt>
                <c:pt idx="403">
                  <c:v>-56.495233705193854</c:v>
                </c:pt>
                <c:pt idx="404">
                  <c:v>-56.54143257163939</c:v>
                </c:pt>
                <c:pt idx="405">
                  <c:v>-56.587376914753648</c:v>
                </c:pt>
                <c:pt idx="406">
                  <c:v>-56.633069589358485</c:v>
                </c:pt>
                <c:pt idx="407">
                  <c:v>-56.67851340211606</c:v>
                </c:pt>
                <c:pt idx="408">
                  <c:v>-56.723711112603354</c:v>
                </c:pt>
                <c:pt idx="409">
                  <c:v>-56.768665434357224</c:v>
                </c:pt>
                <c:pt idx="410">
                  <c:v>-56.813379035890883</c:v>
                </c:pt>
                <c:pt idx="411">
                  <c:v>-56.857854541682691</c:v>
                </c:pt>
                <c:pt idx="412">
                  <c:v>-56.902094533138232</c:v>
                </c:pt>
                <c:pt idx="413">
                  <c:v>-56.946101549526382</c:v>
                </c:pt>
                <c:pt idx="414">
                  <c:v>-56.989878088890372</c:v>
                </c:pt>
                <c:pt idx="415">
                  <c:v>-57.033426608934512</c:v>
                </c:pt>
                <c:pt idx="416">
                  <c:v>-57.076749527887415</c:v>
                </c:pt>
                <c:pt idx="417">
                  <c:v>-57.119849225342307</c:v>
                </c:pt>
                <c:pt idx="418">
                  <c:v>-57.162728043075461</c:v>
                </c:pt>
                <c:pt idx="419">
                  <c:v>-57.205388285843</c:v>
                </c:pt>
                <c:pt idx="420">
                  <c:v>-57.247832222157143</c:v>
                </c:pt>
                <c:pt idx="421">
                  <c:v>-57.290062085042237</c:v>
                </c:pt>
                <c:pt idx="422">
                  <c:v>-57.332080072771305</c:v>
                </c:pt>
                <c:pt idx="423">
                  <c:v>-57.373888349583808</c:v>
                </c:pt>
                <c:pt idx="424">
                  <c:v>-57.415489046384948</c:v>
                </c:pt>
                <c:pt idx="425">
                  <c:v>-57.456884261427277</c:v>
                </c:pt>
                <c:pt idx="426">
                  <c:v>-57.498076060975059</c:v>
                </c:pt>
                <c:pt idx="427">
                  <c:v>-57.539066479951934</c:v>
                </c:pt>
                <c:pt idx="428">
                  <c:v>-57.579857522572297</c:v>
                </c:pt>
                <c:pt idx="429">
                  <c:v>-57.620451162956982</c:v>
                </c:pt>
                <c:pt idx="430">
                  <c:v>-57.660849345733709</c:v>
                </c:pt>
                <c:pt idx="431">
                  <c:v>-57.70105398662259</c:v>
                </c:pt>
                <c:pt idx="432">
                  <c:v>-57.741066973007364</c:v>
                </c:pt>
                <c:pt idx="433">
                  <c:v>-57.780890164492568</c:v>
                </c:pt>
                <c:pt idx="434">
                  <c:v>-57.820525393447184</c:v>
                </c:pt>
                <c:pt idx="435">
                  <c:v>-57.859974465535075</c:v>
                </c:pt>
                <c:pt idx="436">
                  <c:v>-57.899239160232639</c:v>
                </c:pt>
                <c:pt idx="437">
                  <c:v>-57.938321231334093</c:v>
                </c:pt>
                <c:pt idx="438">
                  <c:v>-57.977222407444486</c:v>
                </c:pt>
                <c:pt idx="439">
                  <c:v>-58.015944392461194</c:v>
                </c:pt>
                <c:pt idx="440">
                  <c:v>-58.054488866043876</c:v>
                </c:pt>
                <c:pt idx="441">
                  <c:v>-58.092857484073377</c:v>
                </c:pt>
                <c:pt idx="442">
                  <c:v>-58.131051879099871</c:v>
                </c:pt>
                <c:pt idx="443">
                  <c:v>-58.169073660780526</c:v>
                </c:pt>
                <c:pt idx="444">
                  <c:v>-58.206924416306904</c:v>
                </c:pt>
                <c:pt idx="445">
                  <c:v>-58.244605710822583</c:v>
                </c:pt>
                <c:pt idx="446">
                  <c:v>-58.28211908783107</c:v>
                </c:pt>
                <c:pt idx="447">
                  <c:v>-58.319466069594355</c:v>
                </c:pt>
                <c:pt idx="448">
                  <c:v>-58.356648157522372</c:v>
                </c:pt>
                <c:pt idx="449">
                  <c:v>-58.393666832553556</c:v>
                </c:pt>
                <c:pt idx="450">
                  <c:v>-58.430523555526797</c:v>
                </c:pt>
                <c:pt idx="451">
                  <c:v>-58.46721976754506</c:v>
                </c:pt>
                <c:pt idx="452">
                  <c:v>-58.503756890330685</c:v>
                </c:pt>
                <c:pt idx="453">
                  <c:v>-58.540136326572906</c:v>
                </c:pt>
                <c:pt idx="454">
                  <c:v>-58.576359460267483</c:v>
                </c:pt>
                <c:pt idx="455">
                  <c:v>-58.612427657048947</c:v>
                </c:pt>
                <c:pt idx="456">
                  <c:v>-58.648342264515378</c:v>
                </c:pt>
                <c:pt idx="457">
                  <c:v>-58.684104612546065</c:v>
                </c:pt>
                <c:pt idx="458">
                  <c:v>-58.719716013612341</c:v>
                </c:pt>
                <c:pt idx="459">
                  <c:v>-58.755177763081399</c:v>
                </c:pt>
                <c:pt idx="460">
                  <c:v>-58.790491139513776</c:v>
                </c:pt>
                <c:pt idx="461">
                  <c:v>-58.825657404954185</c:v>
                </c:pt>
                <c:pt idx="462">
                  <c:v>-58.860677805216213</c:v>
                </c:pt>
                <c:pt idx="463">
                  <c:v>-58.895553570160892</c:v>
                </c:pt>
                <c:pt idx="464">
                  <c:v>-58.930285913969264</c:v>
                </c:pt>
                <c:pt idx="465">
                  <c:v>-58.964876035409247</c:v>
                </c:pt>
                <c:pt idx="466">
                  <c:v>-58.999325118096742</c:v>
                </c:pt>
                <c:pt idx="467">
                  <c:v>-59.03363433075134</c:v>
                </c:pt>
                <c:pt idx="468">
                  <c:v>-59.067804827446544</c:v>
                </c:pt>
                <c:pt idx="469">
                  <c:v>-59.101837747854908</c:v>
                </c:pt>
                <c:pt idx="470">
                  <c:v>-59.135734217487865</c:v>
                </c:pt>
                <c:pt idx="471">
                  <c:v>-59.16949534793082</c:v>
                </c:pt>
                <c:pt idx="472">
                  <c:v>-59.203122237073124</c:v>
                </c:pt>
                <c:pt idx="473">
                  <c:v>-59.236615969333577</c:v>
                </c:pt>
                <c:pt idx="474">
                  <c:v>-59.269977615881118</c:v>
                </c:pt>
                <c:pt idx="475">
                  <c:v>-59.303208234851056</c:v>
                </c:pt>
                <c:pt idx="476">
                  <c:v>-59.336308871556994</c:v>
                </c:pt>
                <c:pt idx="477">
                  <c:v>-59.369280558698279</c:v>
                </c:pt>
                <c:pt idx="478">
                  <c:v>-59.402124316563501</c:v>
                </c:pt>
                <c:pt idx="479">
                  <c:v>-59.434841153229698</c:v>
                </c:pt>
                <c:pt idx="480">
                  <c:v>-59.467432064757666</c:v>
                </c:pt>
                <c:pt idx="481">
                  <c:v>-59.499898035383382</c:v>
                </c:pt>
                <c:pt idx="482">
                  <c:v>-59.53224003770562</c:v>
                </c:pt>
                <c:pt idx="483">
                  <c:v>-59.564459032869792</c:v>
                </c:pt>
                <c:pt idx="484">
                  <c:v>-59.596555970748284</c:v>
                </c:pt>
                <c:pt idx="485">
                  <c:v>-59.62853179011713</c:v>
                </c:pt>
                <c:pt idx="486">
                  <c:v>-59.660387418829323</c:v>
                </c:pt>
                <c:pt idx="487">
                  <c:v>-59.692123773984719</c:v>
                </c:pt>
                <c:pt idx="488">
                  <c:v>-59.723741762096637</c:v>
                </c:pt>
                <c:pt idx="489">
                  <c:v>-59.755242279255228</c:v>
                </c:pt>
                <c:pt idx="490">
                  <c:v>-59.786626211287732</c:v>
                </c:pt>
                <c:pt idx="491">
                  <c:v>-59.81789443391564</c:v>
                </c:pt>
                <c:pt idx="492">
                  <c:v>-59.849047812908864</c:v>
                </c:pt>
                <c:pt idx="493">
                  <c:v>-59.880087204236958</c:v>
                </c:pt>
                <c:pt idx="494">
                  <c:v>-59.911013454217475</c:v>
                </c:pt>
                <c:pt idx="495">
                  <c:v>-59.941827399661548</c:v>
                </c:pt>
                <c:pt idx="496">
                  <c:v>-59.972529868016665</c:v>
                </c:pt>
                <c:pt idx="497">
                  <c:v>-60.003121677506869</c:v>
                </c:pt>
                <c:pt idx="498">
                  <c:v>-60.033603637270232</c:v>
                </c:pt>
                <c:pt idx="499">
                  <c:v>-60.063976547493823</c:v>
                </c:pt>
                <c:pt idx="500">
                  <c:v>-60.09424119954619</c:v>
                </c:pt>
                <c:pt idx="501">
                  <c:v>-60.124398376107337</c:v>
                </c:pt>
                <c:pt idx="502">
                  <c:v>-60.154448851296387</c:v>
                </c:pt>
                <c:pt idx="503">
                  <c:v>-60.184393390796835</c:v>
                </c:pt>
                <c:pt idx="504">
                  <c:v>-60.214232751979502</c:v>
                </c:pt>
                <c:pt idx="505">
                  <c:v>-60.243967684023374</c:v>
                </c:pt>
                <c:pt idx="506">
                  <c:v>-60.273598928034062</c:v>
                </c:pt>
                <c:pt idx="507">
                  <c:v>-60.303127217160259</c:v>
                </c:pt>
                <c:pt idx="508">
                  <c:v>-60.332553276708076</c:v>
                </c:pt>
                <c:pt idx="509">
                  <c:v>-60.361877824253284</c:v>
                </c:pt>
                <c:pt idx="510">
                  <c:v>-60.391101569751569</c:v>
                </c:pt>
                <c:pt idx="511">
                  <c:v>-60.420225215646838</c:v>
                </c:pt>
                <c:pt idx="512">
                  <c:v>-60.44924945697759</c:v>
                </c:pt>
                <c:pt idx="513">
                  <c:v>-60.478174981481381</c:v>
                </c:pt>
                <c:pt idx="514">
                  <c:v>-60.507002469697497</c:v>
                </c:pt>
                <c:pt idx="515">
                  <c:v>-60.535732595067799</c:v>
                </c:pt>
                <c:pt idx="516">
                  <c:v>-60.564366024035756</c:v>
                </c:pt>
                <c:pt idx="517">
                  <c:v>-60.592903416143848</c:v>
                </c:pt>
                <c:pt idx="518">
                  <c:v>-60.621345424129188</c:v>
                </c:pt>
                <c:pt idx="519">
                  <c:v>-60.649692694017517</c:v>
                </c:pt>
                <c:pt idx="520">
                  <c:v>-60.677945865215619</c:v>
                </c:pt>
                <c:pt idx="521">
                  <c:v>-60.706105570602062</c:v>
                </c:pt>
                <c:pt idx="522">
                  <c:v>-60.734172436616433</c:v>
                </c:pt>
                <c:pt idx="523">
                  <c:v>-60.762147083347045</c:v>
                </c:pt>
                <c:pt idx="524">
                  <c:v>-60.790030124617196</c:v>
                </c:pt>
                <c:pt idx="525">
                  <c:v>-60.817822168069846</c:v>
                </c:pt>
                <c:pt idx="526">
                  <c:v>-60.845523815250928</c:v>
                </c:pt>
                <c:pt idx="527">
                  <c:v>-60.873135661691357</c:v>
                </c:pt>
                <c:pt idx="528">
                  <c:v>-60.90065829698743</c:v>
                </c:pt>
                <c:pt idx="529">
                  <c:v>-60.928092304880096</c:v>
                </c:pt>
                <c:pt idx="530">
                  <c:v>-60.95543826333283</c:v>
                </c:pt>
                <c:pt idx="531">
                  <c:v>-60.982696744608106</c:v>
                </c:pt>
                <c:pt idx="532">
                  <c:v>-61.009868315342821</c:v>
                </c:pt>
                <c:pt idx="533">
                  <c:v>-61.036953536622242</c:v>
                </c:pt>
                <c:pt idx="534">
                  <c:v>-61.063952964052895</c:v>
                </c:pt>
                <c:pt idx="535">
                  <c:v>-61.090867147834217</c:v>
                </c:pt>
                <c:pt idx="536">
                  <c:v>-61.117696632828981</c:v>
                </c:pt>
                <c:pt idx="537">
                  <c:v>-61.144441958632648</c:v>
                </c:pt>
                <c:pt idx="538">
                  <c:v>-61.171103659641552</c:v>
                </c:pt>
                <c:pt idx="539">
                  <c:v>-61.19768226511998</c:v>
                </c:pt>
                <c:pt idx="540">
                  <c:v>-61.224178299266178</c:v>
                </c:pt>
                <c:pt idx="541">
                  <c:v>-61.250592281277292</c:v>
                </c:pt>
                <c:pt idx="542">
                  <c:v>-61.276924725413302</c:v>
                </c:pt>
                <c:pt idx="543">
                  <c:v>-61.303176141059851</c:v>
                </c:pt>
                <c:pt idx="544">
                  <c:v>-61.329347032790153</c:v>
                </c:pt>
                <c:pt idx="545">
                  <c:v>-61.355437900425862</c:v>
                </c:pt>
                <c:pt idx="546">
                  <c:v>-61.381449239097037</c:v>
                </c:pt>
                <c:pt idx="547">
                  <c:v>-61.407381539301113</c:v>
                </c:pt>
                <c:pt idx="548">
                  <c:v>-61.433235286960922</c:v>
                </c:pt>
                <c:pt idx="549">
                  <c:v>-61.459010963481887</c:v>
                </c:pt>
                <c:pt idx="550">
                  <c:v>-61.484709045808259</c:v>
                </c:pt>
                <c:pt idx="551">
                  <c:v>-61.510330006478462</c:v>
                </c:pt>
                <c:pt idx="552">
                  <c:v>-61.535874313679642</c:v>
                </c:pt>
                <c:pt idx="553">
                  <c:v>-61.561342431301341</c:v>
                </c:pt>
                <c:pt idx="554">
                  <c:v>-61.586734818988312</c:v>
                </c:pt>
                <c:pt idx="555">
                  <c:v>-61.612051932192543</c:v>
                </c:pt>
                <c:pt idx="556">
                  <c:v>-61.637294222224526</c:v>
                </c:pt>
                <c:pt idx="557">
                  <c:v>-61.662462136303652</c:v>
                </c:pt>
                <c:pt idx="558">
                  <c:v>-61.68755611760794</c:v>
                </c:pt>
                <c:pt idx="559">
                  <c:v>-61.712576605322909</c:v>
                </c:pt>
                <c:pt idx="560">
                  <c:v>-61.737524034689805</c:v>
                </c:pt>
                <c:pt idx="561">
                  <c:v>-61.762398837053013</c:v>
                </c:pt>
                <c:pt idx="562">
                  <c:v>-61.787201439906809</c:v>
                </c:pt>
                <c:pt idx="563">
                  <c:v>-61.811932266941412</c:v>
                </c:pt>
                <c:pt idx="564">
                  <c:v>-61.836591738088281</c:v>
                </c:pt>
                <c:pt idx="565">
                  <c:v>-61.861180269564869</c:v>
                </c:pt>
                <c:pt idx="566">
                  <c:v>-61.885698273918521</c:v>
                </c:pt>
                <c:pt idx="567">
                  <c:v>-61.910146160069921</c:v>
                </c:pt>
                <c:pt idx="568">
                  <c:v>-61.934524333355739</c:v>
                </c:pt>
                <c:pt idx="569">
                  <c:v>-61.958833195570747</c:v>
                </c:pt>
                <c:pt idx="570">
                  <c:v>-61.983073145009257</c:v>
                </c:pt>
                <c:pt idx="571">
                  <c:v>-62.007244576505975</c:v>
                </c:pt>
                <c:pt idx="572">
                  <c:v>-62.0313478814763</c:v>
                </c:pt>
                <c:pt idx="573">
                  <c:v>-62.055383447955933</c:v>
                </c:pt>
                <c:pt idx="574">
                  <c:v>-62.079351660640008</c:v>
                </c:pt>
                <c:pt idx="575">
                  <c:v>-62.103252900921603</c:v>
                </c:pt>
                <c:pt idx="576">
                  <c:v>-62.127087546929722</c:v>
                </c:pt>
                <c:pt idx="577">
                  <c:v>-62.150855973566721</c:v>
                </c:pt>
                <c:pt idx="578">
                  <c:v>-62.174558552545165</c:v>
                </c:pt>
                <c:pt idx="579">
                  <c:v>-62.198195652424218</c:v>
                </c:pt>
                <c:pt idx="580">
                  <c:v>-62.221767638645474</c:v>
                </c:pt>
                <c:pt idx="581">
                  <c:v>-62.245274873568299</c:v>
                </c:pt>
                <c:pt idx="582">
                  <c:v>-62.26871771650459</c:v>
                </c:pt>
                <c:pt idx="583">
                  <c:v>-62.292096523753209</c:v>
                </c:pt>
                <c:pt idx="584">
                  <c:v>-62.315411648633763</c:v>
                </c:pt>
                <c:pt idx="585">
                  <c:v>-62.338663441520012</c:v>
                </c:pt>
                <c:pt idx="586">
                  <c:v>-62.361852249872733</c:v>
                </c:pt>
                <c:pt idx="587">
                  <c:v>-62.384978418272212</c:v>
                </c:pt>
                <c:pt idx="588">
                  <c:v>-62.408042288450211</c:v>
                </c:pt>
                <c:pt idx="589">
                  <c:v>-62.431044199321512</c:v>
                </c:pt>
                <c:pt idx="590">
                  <c:v>-62.453984487015035</c:v>
                </c:pt>
                <c:pt idx="591">
                  <c:v>-62.476863484904506</c:v>
                </c:pt>
                <c:pt idx="592">
                  <c:v>-62.499681523638735</c:v>
                </c:pt>
                <c:pt idx="593">
                  <c:v>-62.522438931171422</c:v>
                </c:pt>
                <c:pt idx="594">
                  <c:v>-62.545136032790595</c:v>
                </c:pt>
                <c:pt idx="595">
                  <c:v>-62.567773151147684</c:v>
                </c:pt>
                <c:pt idx="596">
                  <c:v>-62.590350606286066</c:v>
                </c:pt>
                <c:pt idx="597">
                  <c:v>-62.612868715669372</c:v>
                </c:pt>
                <c:pt idx="598">
                  <c:v>-62.635327794209331</c:v>
                </c:pt>
                <c:pt idx="599">
                  <c:v>-62.657728154293224</c:v>
                </c:pt>
                <c:pt idx="600">
                  <c:v>-62.680070105811041</c:v>
                </c:pt>
                <c:pt idx="601">
                  <c:v>-62.702353956182179</c:v>
                </c:pt>
                <c:pt idx="602">
                  <c:v>-62.724580010381857</c:v>
                </c:pt>
                <c:pt idx="603">
                  <c:v>-62.746748570967142</c:v>
                </c:pt>
                <c:pt idx="604">
                  <c:v>-62.768859938102651</c:v>
                </c:pt>
                <c:pt idx="605">
                  <c:v>-62.790914409585845</c:v>
                </c:pt>
                <c:pt idx="606">
                  <c:v>-63.827055574776338</c:v>
                </c:pt>
                <c:pt idx="607">
                  <c:v>-64.751593326602844</c:v>
                </c:pt>
                <c:pt idx="608">
                  <c:v>-65.58640610932359</c:v>
                </c:pt>
                <c:pt idx="609">
                  <c:v>-66.347477742408827</c:v>
                </c:pt>
                <c:pt idx="610">
                  <c:v>-67.046849310954229</c:v>
                </c:pt>
                <c:pt idx="611">
                  <c:v>-67.693822357045391</c:v>
                </c:pt>
                <c:pt idx="612">
                  <c:v>-68.295734263064432</c:v>
                </c:pt>
                <c:pt idx="613">
                  <c:v>-68.858476669176028</c:v>
                </c:pt>
                <c:pt idx="614">
                  <c:v>-69.386852993584739</c:v>
                </c:pt>
                <c:pt idx="615">
                  <c:v>-69.884831604755206</c:v>
                </c:pt>
                <c:pt idx="616">
                  <c:v>-70.355729250198777</c:v>
                </c:pt>
                <c:pt idx="617">
                  <c:v>-70.802346636868336</c:v>
                </c:pt>
                <c:pt idx="618">
                  <c:v>-70.974741743439253</c:v>
                </c:pt>
                <c:pt idx="619">
                  <c:v>-71.143774419383007</c:v>
                </c:pt>
                <c:pt idx="620">
                  <c:v>-71.309573585339649</c:v>
                </c:pt>
                <c:pt idx="621">
                  <c:v>-71.472260872759918</c:v>
                </c:pt>
                <c:pt idx="622">
                  <c:v>-71.631951164225327</c:v>
                </c:pt>
                <c:pt idx="623">
                  <c:v>-71.788753084531947</c:v>
                </c:pt>
                <c:pt idx="624">
                  <c:v>-71.942769447833641</c:v>
                </c:pt>
                <c:pt idx="625">
                  <c:v>-72.094097665486814</c:v>
                </c:pt>
                <c:pt idx="626">
                  <c:v>-72.242830118675542</c:v>
                </c:pt>
                <c:pt idx="627">
                  <c:v>-72.389054499409909</c:v>
                </c:pt>
                <c:pt idx="628">
                  <c:v>-72.532854123069455</c:v>
                </c:pt>
                <c:pt idx="629">
                  <c:v>-72.674308215297799</c:v>
                </c:pt>
                <c:pt idx="630">
                  <c:v>-72.813492175737053</c:v>
                </c:pt>
                <c:pt idx="631">
                  <c:v>-72.95047782081248</c:v>
                </c:pt>
                <c:pt idx="632">
                  <c:v>-73.08533360753573</c:v>
                </c:pt>
                <c:pt idx="633">
                  <c:v>-73.218124840082169</c:v>
                </c:pt>
                <c:pt idx="634">
                  <c:v>-73.348913860710837</c:v>
                </c:pt>
                <c:pt idx="635">
                  <c:v>-73.477760226431911</c:v>
                </c:pt>
                <c:pt idx="636">
                  <c:v>-73.604720872680375</c:v>
                </c:pt>
                <c:pt idx="637">
                  <c:v>-73.729850265128093</c:v>
                </c:pt>
                <c:pt idx="638">
                  <c:v>-73.8532005406515</c:v>
                </c:pt>
                <c:pt idx="639">
                  <c:v>-73.974821638372831</c:v>
                </c:pt>
                <c:pt idx="640">
                  <c:v>-74.094761421602527</c:v>
                </c:pt>
                <c:pt idx="641">
                  <c:v>-74.213065791431518</c:v>
                </c:pt>
                <c:pt idx="642">
                  <c:v>-74.3297787926507</c:v>
                </c:pt>
                <c:pt idx="643">
                  <c:v>-74.444942712612075</c:v>
                </c:pt>
                <c:pt idx="644">
                  <c:v>-74.558598173588862</c:v>
                </c:pt>
                <c:pt idx="645">
                  <c:v>-74.670784219141353</c:v>
                </c:pt>
                <c:pt idx="646">
                  <c:v>-74.781538394950033</c:v>
                </c:pt>
                <c:pt idx="647">
                  <c:v>-74.890896824536014</c:v>
                </c:pt>
                <c:pt idx="648">
                  <c:v>-74.998894280252301</c:v>
                </c:pt>
                <c:pt idx="649">
                  <c:v>-75.105564249896531</c:v>
                </c:pt>
                <c:pt idx="650">
                  <c:v>-75.210938999265139</c:v>
                </c:pt>
                <c:pt idx="651">
                  <c:v>-75.315049630942696</c:v>
                </c:pt>
                <c:pt idx="652">
                  <c:v>-75.417926139595124</c:v>
                </c:pt>
                <c:pt idx="653">
                  <c:v>-75.519597464013529</c:v>
                </c:pt>
                <c:pt idx="654">
                  <c:v>-75.620091536135362</c:v>
                </c:pt>
                <c:pt idx="655">
                  <c:v>-75.719435327251333</c:v>
                </c:pt>
                <c:pt idx="656">
                  <c:v>-75.817654891589697</c:v>
                </c:pt>
                <c:pt idx="657">
                  <c:v>-75.914775407454925</c:v>
                </c:pt>
                <c:pt idx="658">
                  <c:v>-76.010821216083514</c:v>
                </c:pt>
                <c:pt idx="659">
                  <c:v>-76.105815858367436</c:v>
                </c:pt>
                <c:pt idx="660">
                  <c:v>-76.199782109584334</c:v>
                </c:pt>
                <c:pt idx="661">
                  <c:v>-76.292742012262721</c:v>
                </c:pt>
                <c:pt idx="662">
                  <c:v>-76.384716907301438</c:v>
                </c:pt>
                <c:pt idx="663">
                  <c:v>-76.47572746345341</c:v>
                </c:pt>
                <c:pt idx="664">
                  <c:v>-76.56579370527578</c:v>
                </c:pt>
                <c:pt idx="665">
                  <c:v>-76.654935039641401</c:v>
                </c:pt>
                <c:pt idx="666">
                  <c:v>-76.743170280899577</c:v>
                </c:pt>
                <c:pt idx="667">
                  <c:v>-76.830517674767833</c:v>
                </c:pt>
              </c:numCache>
            </c:numRef>
          </c:yVal>
          <c:smooth val="1"/>
          <c:extLst>
            <c:ext xmlns:c16="http://schemas.microsoft.com/office/drawing/2014/chart" uri="{C3380CC4-5D6E-409C-BE32-E72D297353CC}">
              <c16:uniqueId val="{00000000-2DBB-4F72-B5DF-A436F54D08AE}"/>
            </c:ext>
          </c:extLst>
        </c:ser>
        <c:dLbls>
          <c:showLegendKey val="0"/>
          <c:showVal val="0"/>
          <c:showCatName val="0"/>
          <c:showSerName val="0"/>
          <c:showPercent val="0"/>
          <c:showBubbleSize val="0"/>
        </c:dLbls>
        <c:axId val="176896640"/>
        <c:axId val="176898816"/>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Calculations'!$BN$9:$BN$676</c:f>
              <c:numCache>
                <c:formatCode>General</c:formatCode>
                <c:ptCount val="668"/>
                <c:pt idx="0">
                  <c:v>-3.6003316157363595E-3</c:v>
                </c:pt>
                <c:pt idx="1">
                  <c:v>-7.2006641758201699E-3</c:v>
                </c:pt>
                <c:pt idx="2">
                  <c:v>-1.0800998624599623E-2</c:v>
                </c:pt>
                <c:pt idx="3">
                  <c:v>-1.4401335906424409E-2</c:v>
                </c:pt>
                <c:pt idx="4">
                  <c:v>-1.8001676965646453E-2</c:v>
                </c:pt>
                <c:pt idx="5">
                  <c:v>-2.1602022746620674E-2</c:v>
                </c:pt>
                <c:pt idx="6">
                  <c:v>-2.52023741937057E-2</c:v>
                </c:pt>
                <c:pt idx="7">
                  <c:v>-2.8802732251264652E-2</c:v>
                </c:pt>
                <c:pt idx="8">
                  <c:v>-3.2403097863665881E-2</c:v>
                </c:pt>
                <c:pt idx="9">
                  <c:v>-3.6003471975283668E-2</c:v>
                </c:pt>
                <c:pt idx="10">
                  <c:v>-7.2007888316482582E-2</c:v>
                </c:pt>
                <c:pt idx="11">
                  <c:v>-0.10801419346412343</c:v>
                </c:pt>
                <c:pt idx="12">
                  <c:v>-0.14402333200796755</c:v>
                </c:pt>
                <c:pt idx="13">
                  <c:v>-0.1800362487616583</c:v>
                </c:pt>
                <c:pt idx="14">
                  <c:v>-0.21605388883740329</c:v>
                </c:pt>
                <c:pt idx="15">
                  <c:v>-0.25207719772070536</c:v>
                </c:pt>
                <c:pt idx="16">
                  <c:v>-0.28810712134515154</c:v>
                </c:pt>
                <c:pt idx="17">
                  <c:v>-0.32414460616727503</c:v>
                </c:pt>
                <c:pt idx="18">
                  <c:v>-0.36019059924149921</c:v>
                </c:pt>
                <c:pt idx="19">
                  <c:v>-0.7213274139073419</c:v>
                </c:pt>
                <c:pt idx="20">
                  <c:v>-1.0843641599222478</c:v>
                </c:pt>
                <c:pt idx="21">
                  <c:v>-1.4502696743176853</c:v>
                </c:pt>
                <c:pt idx="22">
                  <c:v>-1.8200357792017958</c:v>
                </c:pt>
                <c:pt idx="23">
                  <c:v>-2.1946855187728351</c:v>
                </c:pt>
                <c:pt idx="24">
                  <c:v>-2.5752819089939987</c:v>
                </c:pt>
                <c:pt idx="25">
                  <c:v>-2.96293735338284</c:v>
                </c:pt>
                <c:pt idx="26">
                  <c:v>-3.3588238966397803</c:v>
                </c:pt>
                <c:pt idx="27">
                  <c:v>-3.7641845112698435</c:v>
                </c:pt>
                <c:pt idx="28">
                  <c:v>-5.9832874163696488</c:v>
                </c:pt>
                <c:pt idx="29">
                  <c:v>-8.6939619496974281</c:v>
                </c:pt>
                <c:pt idx="30">
                  <c:v>-12.252167006024216</c:v>
                </c:pt>
                <c:pt idx="31">
                  <c:v>-17.314877585370191</c:v>
                </c:pt>
                <c:pt idx="32">
                  <c:v>-25.232832314743057</c:v>
                </c:pt>
                <c:pt idx="33">
                  <c:v>-38.995943850279794</c:v>
                </c:pt>
                <c:pt idx="34">
                  <c:v>-64.130932089546292</c:v>
                </c:pt>
                <c:pt idx="35">
                  <c:v>-99.401881982982431</c:v>
                </c:pt>
                <c:pt idx="36">
                  <c:v>-126.49288532723403</c:v>
                </c:pt>
                <c:pt idx="37">
                  <c:v>-141.40984110464714</c:v>
                </c:pt>
                <c:pt idx="38">
                  <c:v>-149.77262493008436</c:v>
                </c:pt>
                <c:pt idx="39">
                  <c:v>-154.92153038448714</c:v>
                </c:pt>
                <c:pt idx="40">
                  <c:v>-158.35902400854502</c:v>
                </c:pt>
                <c:pt idx="41">
                  <c:v>-160.79798964810792</c:v>
                </c:pt>
                <c:pt idx="42">
                  <c:v>-162.60874343541923</c:v>
                </c:pt>
                <c:pt idx="43">
                  <c:v>-163.99995835121277</c:v>
                </c:pt>
                <c:pt idx="44">
                  <c:v>-165.09738089100406</c:v>
                </c:pt>
                <c:pt idx="45">
                  <c:v>-165.98104757346587</c:v>
                </c:pt>
                <c:pt idx="46">
                  <c:v>-166.70424304317712</c:v>
                </c:pt>
                <c:pt idx="47">
                  <c:v>-167.30379241313219</c:v>
                </c:pt>
                <c:pt idx="48">
                  <c:v>-167.80595866210018</c:v>
                </c:pt>
                <c:pt idx="49">
                  <c:v>-168.22998035935899</c:v>
                </c:pt>
                <c:pt idx="50">
                  <c:v>-168.59027891089613</c:v>
                </c:pt>
                <c:pt idx="51">
                  <c:v>-168.89788324993981</c:v>
                </c:pt>
                <c:pt idx="52">
                  <c:v>-169.16137702501359</c:v>
                </c:pt>
                <c:pt idx="53">
                  <c:v>-169.3875448988756</c:v>
                </c:pt>
                <c:pt idx="54">
                  <c:v>-169.58182379150659</c:v>
                </c:pt>
                <c:pt idx="55">
                  <c:v>-169.74862444915485</c:v>
                </c:pt>
                <c:pt idx="56">
                  <c:v>-169.89156484335223</c:v>
                </c:pt>
                <c:pt idx="57">
                  <c:v>-170.0136423952259</c:v>
                </c:pt>
                <c:pt idx="58">
                  <c:v>-170.11736297281919</c:v>
                </c:pt>
                <c:pt idx="59">
                  <c:v>-170.20483883306525</c:v>
                </c:pt>
                <c:pt idx="60">
                  <c:v>-170.2778639132313</c:v>
                </c:pt>
                <c:pt idx="61">
                  <c:v>-170.33797237202728</c:v>
                </c:pt>
                <c:pt idx="62">
                  <c:v>-170.3864845853864</c:v>
                </c:pt>
                <c:pt idx="63">
                  <c:v>-170.42454363573725</c:v>
                </c:pt>
                <c:pt idx="64">
                  <c:v>-170.45314451918523</c:v>
                </c:pt>
                <c:pt idx="65">
                  <c:v>-170.4731577183332</c:v>
                </c:pt>
                <c:pt idx="66">
                  <c:v>-170.48534837483015</c:v>
                </c:pt>
                <c:pt idx="67">
                  <c:v>-170.49039199547119</c:v>
                </c:pt>
                <c:pt idx="68">
                  <c:v>-170.48888740526431</c:v>
                </c:pt>
                <c:pt idx="69">
                  <c:v>-170.48136749739976</c:v>
                </c:pt>
                <c:pt idx="70">
                  <c:v>-170.46830820761096</c:v>
                </c:pt>
                <c:pt idx="71">
                  <c:v>-170.45013604786496</c:v>
                </c:pt>
                <c:pt idx="72">
                  <c:v>-170.42723446375729</c:v>
                </c:pt>
                <c:pt idx="73">
                  <c:v>-170.39994922575491</c:v>
                </c:pt>
                <c:pt idx="74">
                  <c:v>-170.3685930224282</c:v>
                </c:pt>
                <c:pt idx="75">
                  <c:v>-170.3334493910468</c:v>
                </c:pt>
                <c:pt idx="76">
                  <c:v>-170.29477609518077</c:v>
                </c:pt>
                <c:pt idx="77">
                  <c:v>-170.25280803860278</c:v>
                </c:pt>
                <c:pt idx="78">
                  <c:v>-170.20775978860652</c:v>
                </c:pt>
                <c:pt idx="79">
                  <c:v>-170.15982776891025</c:v>
                </c:pt>
                <c:pt idx="80">
                  <c:v>-170.1091921718976</c:v>
                </c:pt>
                <c:pt idx="81">
                  <c:v>-170.05601863152796</c:v>
                </c:pt>
                <c:pt idx="82">
                  <c:v>-170.00045969139737</c:v>
                </c:pt>
                <c:pt idx="83">
                  <c:v>-169.94265609684174</c:v>
                </c:pt>
                <c:pt idx="84">
                  <c:v>-169.8827379353848</c:v>
                </c:pt>
                <c:pt idx="85">
                  <c:v>-169.8208256460498</c:v>
                </c:pt>
                <c:pt idx="86">
                  <c:v>-169.75703091492619</c:v>
                </c:pt>
                <c:pt idx="87">
                  <c:v>-169.69145747178095</c:v>
                </c:pt>
                <c:pt idx="88">
                  <c:v>-169.62420180033342</c:v>
                </c:pt>
                <c:pt idx="89">
                  <c:v>-169.55535377299839</c:v>
                </c:pt>
                <c:pt idx="90">
                  <c:v>-169.48499721937375</c:v>
                </c:pt>
                <c:pt idx="91">
                  <c:v>-169.41321043646226</c:v>
                </c:pt>
                <c:pt idx="92">
                  <c:v>-169.34006664753008</c:v>
                </c:pt>
                <c:pt idx="93">
                  <c:v>-169.26563441557795</c:v>
                </c:pt>
                <c:pt idx="94">
                  <c:v>-169.18997801661692</c:v>
                </c:pt>
                <c:pt idx="95">
                  <c:v>-169.11315777726747</c:v>
                </c:pt>
                <c:pt idx="96">
                  <c:v>-169.0352303806271</c:v>
                </c:pt>
                <c:pt idx="97">
                  <c:v>-168.95624914385704</c:v>
                </c:pt>
                <c:pt idx="98">
                  <c:v>-168.87626427051447</c:v>
                </c:pt>
                <c:pt idx="99">
                  <c:v>-168.79532308029007</c:v>
                </c:pt>
                <c:pt idx="100">
                  <c:v>-168.71347021849269</c:v>
                </c:pt>
                <c:pt idx="101">
                  <c:v>-168.63074784734945</c:v>
                </c:pt>
                <c:pt idx="102">
                  <c:v>-168.54719582094859</c:v>
                </c:pt>
                <c:pt idx="103">
                  <c:v>-168.46285184544553</c:v>
                </c:pt>
                <c:pt idx="104">
                  <c:v>-168.37775162597075</c:v>
                </c:pt>
                <c:pt idx="105">
                  <c:v>-168.29192900151725</c:v>
                </c:pt>
                <c:pt idx="106">
                  <c:v>-168.20541606894872</c:v>
                </c:pt>
                <c:pt idx="107">
                  <c:v>-168.11824329714426</c:v>
                </c:pt>
                <c:pt idx="108">
                  <c:v>-168.03043963218954</c:v>
                </c:pt>
                <c:pt idx="109">
                  <c:v>-167.94203259442864</c:v>
                </c:pt>
                <c:pt idx="110">
                  <c:v>-167.85304836810582</c:v>
                </c:pt>
                <c:pt idx="111">
                  <c:v>-167.76351188425451</c:v>
                </c:pt>
                <c:pt idx="112">
                  <c:v>-167.67344689742239</c:v>
                </c:pt>
                <c:pt idx="113">
                  <c:v>-167.58287605676415</c:v>
                </c:pt>
                <c:pt idx="114">
                  <c:v>-167.49182097198226</c:v>
                </c:pt>
                <c:pt idx="115">
                  <c:v>-167.40030227454753</c:v>
                </c:pt>
                <c:pt idx="116">
                  <c:v>-167.30833967459276</c:v>
                </c:pt>
                <c:pt idx="117">
                  <c:v>-167.21595201383266</c:v>
                </c:pt>
                <c:pt idx="118">
                  <c:v>-167.12315731483392</c:v>
                </c:pt>
                <c:pt idx="119">
                  <c:v>-167.02997282692533</c:v>
                </c:pt>
                <c:pt idx="120">
                  <c:v>-166.93641506901554</c:v>
                </c:pt>
                <c:pt idx="121">
                  <c:v>-166.84249986955925</c:v>
                </c:pt>
                <c:pt idx="122">
                  <c:v>-166.74824240389268</c:v>
                </c:pt>
                <c:pt idx="123">
                  <c:v>-166.65365722913819</c:v>
                </c:pt>
                <c:pt idx="124">
                  <c:v>-166.55875831686359</c:v>
                </c:pt>
                <c:pt idx="125">
                  <c:v>-166.46355908366192</c:v>
                </c:pt>
                <c:pt idx="126">
                  <c:v>-166.36807241980625</c:v>
                </c:pt>
                <c:pt idx="127">
                  <c:v>-166.27231071612019</c:v>
                </c:pt>
                <c:pt idx="128">
                  <c:v>-166.17628588919294</c:v>
                </c:pt>
                <c:pt idx="129">
                  <c:v>-166.08000940505676</c:v>
                </c:pt>
                <c:pt idx="130">
                  <c:v>-165.98349230143694</c:v>
                </c:pt>
                <c:pt idx="131">
                  <c:v>-165.88674520867247</c:v>
                </c:pt>
                <c:pt idx="132">
                  <c:v>-165.78977836940149</c:v>
                </c:pt>
                <c:pt idx="133">
                  <c:v>-165.69260165709426</c:v>
                </c:pt>
                <c:pt idx="134">
                  <c:v>-165.59522459351379</c:v>
                </c:pt>
                <c:pt idx="135">
                  <c:v>-165.49765636517478</c:v>
                </c:pt>
                <c:pt idx="136">
                  <c:v>-165.39990583886851</c:v>
                </c:pt>
                <c:pt idx="137">
                  <c:v>-165.30198157631449</c:v>
                </c:pt>
                <c:pt idx="138">
                  <c:v>-165.2038918479966</c:v>
                </c:pt>
                <c:pt idx="139">
                  <c:v>-165.10564464623627</c:v>
                </c:pt>
                <c:pt idx="140">
                  <c:v>-165.00724769755067</c:v>
                </c:pt>
                <c:pt idx="141">
                  <c:v>-164.90870847434294</c:v>
                </c:pt>
                <c:pt idx="142">
                  <c:v>-164.81003420596511</c:v>
                </c:pt>
                <c:pt idx="143">
                  <c:v>-164.71123188919313</c:v>
                </c:pt>
                <c:pt idx="144">
                  <c:v>-164.61230829815062</c:v>
                </c:pt>
                <c:pt idx="145">
                  <c:v>-164.51326999371474</c:v>
                </c:pt>
                <c:pt idx="146">
                  <c:v>-164.41412333243565</c:v>
                </c:pt>
                <c:pt idx="147">
                  <c:v>-164.31487447499882</c:v>
                </c:pt>
                <c:pt idx="148">
                  <c:v>-164.2155293942574</c:v>
                </c:pt>
                <c:pt idx="149">
                  <c:v>-164.1160938828601</c:v>
                </c:pt>
                <c:pt idx="150">
                  <c:v>-164.01657356049796</c:v>
                </c:pt>
                <c:pt idx="151">
                  <c:v>-163.91697388079282</c:v>
                </c:pt>
                <c:pt idx="152">
                  <c:v>-163.81730013784713</c:v>
                </c:pt>
                <c:pt idx="153">
                  <c:v>-163.71755747247525</c:v>
                </c:pt>
                <c:pt idx="154">
                  <c:v>-163.61775087813425</c:v>
                </c:pt>
                <c:pt idx="155">
                  <c:v>-163.5178852065699</c:v>
                </c:pt>
                <c:pt idx="156">
                  <c:v>-163.41796517319585</c:v>
                </c:pt>
                <c:pt idx="157">
                  <c:v>-163.31799536221834</c:v>
                </c:pt>
                <c:pt idx="158">
                  <c:v>-163.21798023152232</c:v>
                </c:pt>
                <c:pt idx="159">
                  <c:v>-163.11792411733106</c:v>
                </c:pt>
                <c:pt idx="160">
                  <c:v>-163.0178312386509</c:v>
                </c:pt>
                <c:pt idx="161">
                  <c:v>-162.91770570151448</c:v>
                </c:pt>
                <c:pt idx="162">
                  <c:v>-162.81755150303081</c:v>
                </c:pt>
                <c:pt idx="163">
                  <c:v>-162.71737253525461</c:v>
                </c:pt>
                <c:pt idx="164">
                  <c:v>-162.61717258888231</c:v>
                </c:pt>
                <c:pt idx="165">
                  <c:v>-162.51695535678547</c:v>
                </c:pt>
                <c:pt idx="166">
                  <c:v>-162.41672443738867</c:v>
                </c:pt>
                <c:pt idx="167">
                  <c:v>-162.31648333790088</c:v>
                </c:pt>
                <c:pt idx="168">
                  <c:v>-162.21623547740677</c:v>
                </c:pt>
                <c:pt idx="169">
                  <c:v>-162.11598418982589</c:v>
                </c:pt>
                <c:pt idx="170">
                  <c:v>-162.01573272674551</c:v>
                </c:pt>
                <c:pt idx="171">
                  <c:v>-161.91548426013432</c:v>
                </c:pt>
                <c:pt idx="172">
                  <c:v>-161.8152418849418</c:v>
                </c:pt>
                <c:pt idx="173">
                  <c:v>-161.71500862158996</c:v>
                </c:pt>
                <c:pt idx="174">
                  <c:v>-161.61478741836191</c:v>
                </c:pt>
                <c:pt idx="175">
                  <c:v>-161.51458115369218</c:v>
                </c:pt>
                <c:pt idx="176">
                  <c:v>-161.41439263836457</c:v>
                </c:pt>
                <c:pt idx="177">
                  <c:v>-161.31422461762017</c:v>
                </c:pt>
                <c:pt idx="178">
                  <c:v>-161.21407977318182</c:v>
                </c:pt>
                <c:pt idx="179">
                  <c:v>-161.11396072519702</c:v>
                </c:pt>
                <c:pt idx="180">
                  <c:v>-161.01387003410466</c:v>
                </c:pt>
                <c:pt idx="181">
                  <c:v>-160.91381020242804</c:v>
                </c:pt>
                <c:pt idx="182">
                  <c:v>-160.81378367649813</c:v>
                </c:pt>
                <c:pt idx="183">
                  <c:v>-160.71379284811013</c:v>
                </c:pt>
                <c:pt idx="184">
                  <c:v>-160.6138400561162</c:v>
                </c:pt>
                <c:pt idx="185">
                  <c:v>-160.51392758795743</c:v>
                </c:pt>
                <c:pt idx="186">
                  <c:v>-160.41405768113796</c:v>
                </c:pt>
                <c:pt idx="187">
                  <c:v>-160.31423252464327</c:v>
                </c:pt>
                <c:pt idx="188">
                  <c:v>-160.21445426030556</c:v>
                </c:pt>
                <c:pt idx="189">
                  <c:v>-160.11472498411851</c:v>
                </c:pt>
                <c:pt idx="190">
                  <c:v>-160.01504674750365</c:v>
                </c:pt>
                <c:pt idx="191">
                  <c:v>-159.91542155852994</c:v>
                </c:pt>
                <c:pt idx="192">
                  <c:v>-159.81585138308967</c:v>
                </c:pt>
                <c:pt idx="193">
                  <c:v>-159.71633814603118</c:v>
                </c:pt>
                <c:pt idx="194">
                  <c:v>-159.61688373225155</c:v>
                </c:pt>
                <c:pt idx="195">
                  <c:v>-159.51748998775</c:v>
                </c:pt>
                <c:pt idx="196">
                  <c:v>-159.4181587206441</c:v>
                </c:pt>
                <c:pt idx="197">
                  <c:v>-159.31889170215055</c:v>
                </c:pt>
                <c:pt idx="198">
                  <c:v>-159.21969066753132</c:v>
                </c:pt>
                <c:pt idx="199">
                  <c:v>-159.12055731700724</c:v>
                </c:pt>
                <c:pt idx="200">
                  <c:v>-159.02149331664017</c:v>
                </c:pt>
                <c:pt idx="201">
                  <c:v>-158.92250029918497</c:v>
                </c:pt>
                <c:pt idx="202">
                  <c:v>-158.8235798649124</c:v>
                </c:pt>
                <c:pt idx="203">
                  <c:v>-158.72473358240467</c:v>
                </c:pt>
                <c:pt idx="204">
                  <c:v>-158.62596298932382</c:v>
                </c:pt>
                <c:pt idx="205">
                  <c:v>-158.52726959315513</c:v>
                </c:pt>
                <c:pt idx="206">
                  <c:v>-158.42865487192535</c:v>
                </c:pt>
                <c:pt idx="207">
                  <c:v>-158.33012027489801</c:v>
                </c:pt>
                <c:pt idx="208">
                  <c:v>-158.23166722324561</c:v>
                </c:pt>
                <c:pt idx="209">
                  <c:v>-158.1332971107002</c:v>
                </c:pt>
                <c:pt idx="210">
                  <c:v>-158.03501130418323</c:v>
                </c:pt>
                <c:pt idx="211">
                  <c:v>-157.936811144415</c:v>
                </c:pt>
                <c:pt idx="212">
                  <c:v>-157.83869794650522</c:v>
                </c:pt>
                <c:pt idx="213">
                  <c:v>-157.74067300052434</c:v>
                </c:pt>
                <c:pt idx="214">
                  <c:v>-157.6427375720578</c:v>
                </c:pt>
                <c:pt idx="215">
                  <c:v>-157.54489290274242</c:v>
                </c:pt>
                <c:pt idx="216">
                  <c:v>-157.44714021078673</c:v>
                </c:pt>
                <c:pt idx="217">
                  <c:v>-157.34948069147512</c:v>
                </c:pt>
                <c:pt idx="218">
                  <c:v>-157.25191551765678</c:v>
                </c:pt>
                <c:pt idx="219">
                  <c:v>-157.15444584021967</c:v>
                </c:pt>
                <c:pt idx="220">
                  <c:v>-157.05707278855076</c:v>
                </c:pt>
                <c:pt idx="221">
                  <c:v>-156.95979747098212</c:v>
                </c:pt>
                <c:pt idx="222">
                  <c:v>-156.86262097522402</c:v>
                </c:pt>
                <c:pt idx="223">
                  <c:v>-156.76554436878533</c:v>
                </c:pt>
                <c:pt idx="224">
                  <c:v>-156.66856869938164</c:v>
                </c:pt>
                <c:pt idx="225">
                  <c:v>-156.57169499533168</c:v>
                </c:pt>
                <c:pt idx="226">
                  <c:v>-155.60877914968728</c:v>
                </c:pt>
                <c:pt idx="227">
                  <c:v>-154.6570605005719</c:v>
                </c:pt>
                <c:pt idx="228">
                  <c:v>-153.71729871600141</c:v>
                </c:pt>
                <c:pt idx="229">
                  <c:v>-152.79012297928813</c:v>
                </c:pt>
                <c:pt idx="230">
                  <c:v>-151.8760514818172</c:v>
                </c:pt>
                <c:pt idx="231">
                  <c:v>-150.97550693457165</c:v>
                </c:pt>
                <c:pt idx="232">
                  <c:v>-150.08882914541647</c:v>
                </c:pt>
                <c:pt idx="233">
                  <c:v>-149.21628539925391</c:v>
                </c:pt>
                <c:pt idx="234">
                  <c:v>-148.35807916657103</c:v>
                </c:pt>
                <c:pt idx="235">
                  <c:v>-147.51435751942756</c:v>
                </c:pt>
                <c:pt idx="236">
                  <c:v>-146.68521753129218</c:v>
                </c:pt>
                <c:pt idx="237">
                  <c:v>-145.87071186443464</c:v>
                </c:pt>
                <c:pt idx="238">
                  <c:v>-145.0708536966024</c:v>
                </c:pt>
                <c:pt idx="239">
                  <c:v>-144.28562110123355</c:v>
                </c:pt>
                <c:pt idx="240">
                  <c:v>-143.51496096823976</c:v>
                </c:pt>
                <c:pt idx="241">
                  <c:v>-142.7587925324944</c:v>
                </c:pt>
                <c:pt idx="242">
                  <c:v>-142.01701056252415</c:v>
                </c:pt>
                <c:pt idx="243">
                  <c:v>-141.28948825107088</c:v>
                </c:pt>
                <c:pt idx="244">
                  <c:v>-140.57607984113127</c:v>
                </c:pt>
                <c:pt idx="245">
                  <c:v>-139.87662301504176</c:v>
                </c:pt>
                <c:pt idx="246">
                  <c:v>-139.19094106962081</c:v>
                </c:pt>
                <c:pt idx="247">
                  <c:v>-138.51884489691113</c:v>
                </c:pt>
                <c:pt idx="248">
                  <c:v>-137.86013478740028</c:v>
                </c:pt>
                <c:pt idx="249">
                  <c:v>-137.21460207051882</c:v>
                </c:pt>
                <c:pt idx="250">
                  <c:v>-136.58203060557784</c:v>
                </c:pt>
                <c:pt idx="251">
                  <c:v>-135.96219813498612</c:v>
                </c:pt>
                <c:pt idx="252">
                  <c:v>-135.35487751050835</c:v>
                </c:pt>
                <c:pt idx="253">
                  <c:v>-134.75983780242112</c:v>
                </c:pt>
                <c:pt idx="254">
                  <c:v>-134.17684530065151</c:v>
                </c:pt>
                <c:pt idx="255">
                  <c:v>-133.60566441630957</c:v>
                </c:pt>
                <c:pt idx="256">
                  <c:v>-133.04605849142874</c:v>
                </c:pt>
                <c:pt idx="257">
                  <c:v>-132.49779052418782</c:v>
                </c:pt>
                <c:pt idx="258">
                  <c:v>-131.96062381639351</c:v>
                </c:pt>
                <c:pt idx="259">
                  <c:v>-131.4343225495461</c:v>
                </c:pt>
                <c:pt idx="260">
                  <c:v>-130.91865229538257</c:v>
                </c:pt>
                <c:pt idx="261">
                  <c:v>-130.41338046639282</c:v>
                </c:pt>
                <c:pt idx="262">
                  <c:v>-129.9182767114248</c:v>
                </c:pt>
                <c:pt idx="263">
                  <c:v>-129.43311326114036</c:v>
                </c:pt>
                <c:pt idx="264">
                  <c:v>-128.95766522774551</c:v>
                </c:pt>
                <c:pt idx="265">
                  <c:v>-128.49171086310028</c:v>
                </c:pt>
                <c:pt idx="266">
                  <c:v>-128.03503177901365</c:v>
                </c:pt>
                <c:pt idx="267">
                  <c:v>-127.5874131332435</c:v>
                </c:pt>
                <c:pt idx="268">
                  <c:v>-127.1486437844555</c:v>
                </c:pt>
                <c:pt idx="269">
                  <c:v>-126.71851641914233</c:v>
                </c:pt>
                <c:pt idx="270">
                  <c:v>-126.29682765326821</c:v>
                </c:pt>
                <c:pt idx="271">
                  <c:v>-125.88337811118241</c:v>
                </c:pt>
                <c:pt idx="272">
                  <c:v>-125.47797248413839</c:v>
                </c:pt>
                <c:pt idx="273">
                  <c:v>-125.08041957056062</c:v>
                </c:pt>
                <c:pt idx="274">
                  <c:v>-124.6905323000215</c:v>
                </c:pt>
                <c:pt idx="275">
                  <c:v>-124.30812774272312</c:v>
                </c:pt>
                <c:pt idx="276">
                  <c:v>-123.93302710612161</c:v>
                </c:pt>
                <c:pt idx="277">
                  <c:v>-123.56505572018882</c:v>
                </c:pt>
                <c:pt idx="278">
                  <c:v>-123.20404301267024</c:v>
                </c:pt>
                <c:pt idx="279">
                  <c:v>-122.84982247557724</c:v>
                </c:pt>
                <c:pt idx="280">
                  <c:v>-122.50223162403447</c:v>
                </c:pt>
                <c:pt idx="281">
                  <c:v>-122.16111194850109</c:v>
                </c:pt>
                <c:pt idx="282">
                  <c:v>-121.82630886128544</c:v>
                </c:pt>
                <c:pt idx="283">
                  <c:v>-121.49767163818606</c:v>
                </c:pt>
                <c:pt idx="284">
                  <c:v>-121.17505335600832</c:v>
                </c:pt>
                <c:pt idx="285">
                  <c:v>-120.8583108266338</c:v>
                </c:pt>
                <c:pt idx="286">
                  <c:v>-120.54730452824819</c:v>
                </c:pt>
                <c:pt idx="287">
                  <c:v>-120.24189853427428</c:v>
                </c:pt>
                <c:pt idx="288">
                  <c:v>-119.94196044049689</c:v>
                </c:pt>
                <c:pt idx="289">
                  <c:v>-119.64736129081614</c:v>
                </c:pt>
                <c:pt idx="290">
                  <c:v>-119.35797550201787</c:v>
                </c:pt>
                <c:pt idx="291">
                  <c:v>-119.0736807879063</c:v>
                </c:pt>
                <c:pt idx="292">
                  <c:v>-118.79435808310571</c:v>
                </c:pt>
                <c:pt idx="293">
                  <c:v>-118.51989146680197</c:v>
                </c:pt>
                <c:pt idx="294">
                  <c:v>-118.25016808666238</c:v>
                </c:pt>
                <c:pt idx="295">
                  <c:v>-117.98507808314356</c:v>
                </c:pt>
                <c:pt idx="296">
                  <c:v>-117.7245145143704</c:v>
                </c:pt>
                <c:pt idx="297">
                  <c:v>-117.46837328174543</c:v>
                </c:pt>
                <c:pt idx="298">
                  <c:v>-117.21655305642619</c:v>
                </c:pt>
                <c:pt idx="299">
                  <c:v>-116.96895520678922</c:v>
                </c:pt>
                <c:pt idx="300">
                  <c:v>-116.72548372698138</c:v>
                </c:pt>
                <c:pt idx="301">
                  <c:v>-116.48604516664433</c:v>
                </c:pt>
                <c:pt idx="302">
                  <c:v>-116.25054856188255</c:v>
                </c:pt>
                <c:pt idx="303">
                  <c:v>-116.0189053675343</c:v>
                </c:pt>
                <c:pt idx="304">
                  <c:v>-115.79102939079269</c:v>
                </c:pt>
                <c:pt idx="305">
                  <c:v>-115.56683672621369</c:v>
                </c:pt>
                <c:pt idx="306">
                  <c:v>-115.34624569214064</c:v>
                </c:pt>
                <c:pt idx="307">
                  <c:v>-115.12917676856412</c:v>
                </c:pt>
                <c:pt idx="308">
                  <c:v>-114.91555253643212</c:v>
                </c:pt>
                <c:pt idx="309">
                  <c:v>-114.70529761841634</c:v>
                </c:pt>
                <c:pt idx="310">
                  <c:v>-114.49833862113741</c:v>
                </c:pt>
                <c:pt idx="311">
                  <c:v>-114.29460407884461</c:v>
                </c:pt>
                <c:pt idx="312">
                  <c:v>-114.09402439854402</c:v>
                </c:pt>
                <c:pt idx="313">
                  <c:v>-113.89653180656272</c:v>
                </c:pt>
                <c:pt idx="314">
                  <c:v>-113.70206029653559</c:v>
                </c:pt>
                <c:pt idx="315">
                  <c:v>-113.51054557879742</c:v>
                </c:pt>
                <c:pt idx="316">
                  <c:v>-113.32192503116057</c:v>
                </c:pt>
                <c:pt idx="317">
                  <c:v>-113.13613765105723</c:v>
                </c:pt>
                <c:pt idx="318">
                  <c:v>-112.95312400902272</c:v>
                </c:pt>
                <c:pt idx="319">
                  <c:v>-112.77282620349565</c:v>
                </c:pt>
                <c:pt idx="320">
                  <c:v>-112.59518781690895</c:v>
                </c:pt>
                <c:pt idx="321">
                  <c:v>-112.42015387304504</c:v>
                </c:pt>
                <c:pt idx="322">
                  <c:v>-112.24767079562852</c:v>
                </c:pt>
                <c:pt idx="323">
                  <c:v>-112.07768636812735</c:v>
                </c:pt>
                <c:pt idx="324">
                  <c:v>-111.91014969473513</c:v>
                </c:pt>
                <c:pt idx="325">
                  <c:v>-111.74501116250568</c:v>
                </c:pt>
                <c:pt idx="326">
                  <c:v>-111.582222404611</c:v>
                </c:pt>
                <c:pt idx="327">
                  <c:v>-111.4217362646943</c:v>
                </c:pt>
                <c:pt idx="328">
                  <c:v>-111.26350676228935</c:v>
                </c:pt>
                <c:pt idx="329">
                  <c:v>-111.10748905927763</c:v>
                </c:pt>
                <c:pt idx="330">
                  <c:v>-110.95363942735526</c:v>
                </c:pt>
                <c:pt idx="331">
                  <c:v>-110.80191521648186</c:v>
                </c:pt>
                <c:pt idx="332">
                  <c:v>-110.65227482428351</c:v>
                </c:pt>
                <c:pt idx="333">
                  <c:v>-110.50467766638295</c:v>
                </c:pt>
                <c:pt idx="334">
                  <c:v>-110.35908414763041</c:v>
                </c:pt>
                <c:pt idx="335">
                  <c:v>-110.21545563420837</c:v>
                </c:pt>
                <c:pt idx="336">
                  <c:v>-110.07375442658538</c:v>
                </c:pt>
                <c:pt idx="337">
                  <c:v>-109.93394373329265</c:v>
                </c:pt>
                <c:pt idx="338">
                  <c:v>-109.79598764549991</c:v>
                </c:pt>
                <c:pt idx="339">
                  <c:v>-109.65985111236542</c:v>
                </c:pt>
                <c:pt idx="340">
                  <c:v>-109.52549991713738</c:v>
                </c:pt>
                <c:pt idx="341">
                  <c:v>-109.39290065398335</c:v>
                </c:pt>
                <c:pt idx="342">
                  <c:v>-109.26202070552539</c:v>
                </c:pt>
                <c:pt idx="343">
                  <c:v>-109.13282822105914</c:v>
                </c:pt>
                <c:pt idx="344">
                  <c:v>-109.00529209543546</c:v>
                </c:pt>
                <c:pt idx="345">
                  <c:v>-108.87938194858448</c:v>
                </c:pt>
                <c:pt idx="346">
                  <c:v>-108.75506810566101</c:v>
                </c:pt>
                <c:pt idx="347">
                  <c:v>-108.63232157779284</c:v>
                </c:pt>
                <c:pt idx="348">
                  <c:v>-108.51111404341222</c:v>
                </c:pt>
                <c:pt idx="349">
                  <c:v>-108.39141783015242</c:v>
                </c:pt>
                <c:pt idx="350">
                  <c:v>-108.27320589729133</c:v>
                </c:pt>
                <c:pt idx="351">
                  <c:v>-108.15645181872502</c:v>
                </c:pt>
                <c:pt idx="352">
                  <c:v>-108.04112976645408</c:v>
                </c:pt>
                <c:pt idx="353">
                  <c:v>-107.92721449456657</c:v>
                </c:pt>
                <c:pt idx="354">
                  <c:v>-107.81468132370206</c:v>
                </c:pt>
                <c:pt idx="355">
                  <c:v>-107.70350612598074</c:v>
                </c:pt>
                <c:pt idx="356">
                  <c:v>-107.59366531038361</c:v>
                </c:pt>
                <c:pt idx="357">
                  <c:v>-107.4851358085686</c:v>
                </c:pt>
                <c:pt idx="358">
                  <c:v>-107.37789506110916</c:v>
                </c:pt>
                <c:pt idx="359">
                  <c:v>-107.27192100414175</c:v>
                </c:pt>
                <c:pt idx="360">
                  <c:v>-107.16719205640905</c:v>
                </c:pt>
                <c:pt idx="361">
                  <c:v>-107.06368710668634</c:v>
                </c:pt>
                <c:pt idx="362">
                  <c:v>-106.96138550157876</c:v>
                </c:pt>
                <c:pt idx="363">
                  <c:v>-106.86026703367794</c:v>
                </c:pt>
                <c:pt idx="364">
                  <c:v>-106.76031193006594</c:v>
                </c:pt>
                <c:pt idx="365">
                  <c:v>-106.66150084115597</c:v>
                </c:pt>
                <c:pt idx="366">
                  <c:v>-106.56381482985897</c:v>
                </c:pt>
                <c:pt idx="367">
                  <c:v>-106.46723536106572</c:v>
                </c:pt>
                <c:pt idx="368">
                  <c:v>-106.37174429143448</c:v>
                </c:pt>
                <c:pt idx="369">
                  <c:v>-106.27732385947422</c:v>
                </c:pt>
                <c:pt idx="370">
                  <c:v>-106.18395667591467</c:v>
                </c:pt>
                <c:pt idx="371">
                  <c:v>-106.09162571435337</c:v>
                </c:pt>
                <c:pt idx="372">
                  <c:v>-106.00031430217174</c:v>
                </c:pt>
                <c:pt idx="373">
                  <c:v>-105.91000611171087</c:v>
                </c:pt>
                <c:pt idx="374">
                  <c:v>-105.82068515169958</c:v>
                </c:pt>
                <c:pt idx="375">
                  <c:v>-105.73233575892644</c:v>
                </c:pt>
                <c:pt idx="376">
                  <c:v>-105.6449425901482</c:v>
                </c:pt>
                <c:pt idx="377">
                  <c:v>-105.55849061422724</c:v>
                </c:pt>
                <c:pt idx="378">
                  <c:v>-105.47296510449056</c:v>
                </c:pt>
                <c:pt idx="379">
                  <c:v>-105.38835163130422</c:v>
                </c:pt>
                <c:pt idx="380">
                  <c:v>-105.30463605485551</c:v>
                </c:pt>
                <c:pt idx="381">
                  <c:v>-105.2218045181372</c:v>
                </c:pt>
                <c:pt idx="382">
                  <c:v>-105.13984344012717</c:v>
                </c:pt>
                <c:pt idx="383">
                  <c:v>-105.05873950915738</c:v>
                </c:pt>
                <c:pt idx="384">
                  <c:v>-104.97847967646672</c:v>
                </c:pt>
                <c:pt idx="385">
                  <c:v>-104.89905114993165</c:v>
                </c:pt>
                <c:pt idx="386">
                  <c:v>-104.82044138796935</c:v>
                </c:pt>
                <c:pt idx="387">
                  <c:v>-104.74263809360822</c:v>
                </c:pt>
                <c:pt idx="388">
                  <c:v>-104.66562920872016</c:v>
                </c:pt>
                <c:pt idx="389">
                  <c:v>-104.58940290841046</c:v>
                </c:pt>
                <c:pt idx="390">
                  <c:v>-104.5139475955597</c:v>
                </c:pt>
                <c:pt idx="391">
                  <c:v>-104.43925189551359</c:v>
                </c:pt>
                <c:pt idx="392">
                  <c:v>-104.36530465091603</c:v>
                </c:pt>
                <c:pt idx="393">
                  <c:v>-104.29209491668126</c:v>
                </c:pt>
                <c:pt idx="394">
                  <c:v>-104.21961195510062</c:v>
                </c:pt>
                <c:pt idx="395">
                  <c:v>-104.14784523108003</c:v>
                </c:pt>
                <c:pt idx="396">
                  <c:v>-104.07678440750456</c:v>
                </c:pt>
                <c:pt idx="397">
                  <c:v>-104.00641934072584</c:v>
                </c:pt>
                <c:pt idx="398">
                  <c:v>-103.93674007616875</c:v>
                </c:pt>
                <c:pt idx="399">
                  <c:v>-103.86773684405414</c:v>
                </c:pt>
                <c:pt idx="400">
                  <c:v>-103.79940005523385</c:v>
                </c:pt>
                <c:pt idx="401">
                  <c:v>-103.73172029713479</c:v>
                </c:pt>
                <c:pt idx="402">
                  <c:v>-103.66468832980898</c:v>
                </c:pt>
                <c:pt idx="403">
                  <c:v>-103.59829508208621</c:v>
                </c:pt>
                <c:pt idx="404">
                  <c:v>-103.53253164782653</c:v>
                </c:pt>
                <c:pt idx="405">
                  <c:v>-103.46738928226965</c:v>
                </c:pt>
                <c:pt idx="406">
                  <c:v>-103.40285939847824</c:v>
                </c:pt>
                <c:pt idx="407">
                  <c:v>-103.33893356387247</c:v>
                </c:pt>
                <c:pt idx="408">
                  <c:v>-103.27560349685342</c:v>
                </c:pt>
                <c:pt idx="409">
                  <c:v>-103.21286106351234</c:v>
                </c:pt>
                <c:pt idx="410">
                  <c:v>-103.15069827442363</c:v>
                </c:pt>
                <c:pt idx="411">
                  <c:v>-103.08910728151916</c:v>
                </c:pt>
                <c:pt idx="412">
                  <c:v>-103.0280803750411</c:v>
                </c:pt>
                <c:pt idx="413">
                  <c:v>-102.96760998057181</c:v>
                </c:pt>
                <c:pt idx="414">
                  <c:v>-102.90768865613795</c:v>
                </c:pt>
                <c:pt idx="415">
                  <c:v>-102.84830908938703</c:v>
                </c:pt>
                <c:pt idx="416">
                  <c:v>-102.78946409483416</c:v>
                </c:pt>
                <c:pt idx="417">
                  <c:v>-102.73114661117721</c:v>
                </c:pt>
                <c:pt idx="418">
                  <c:v>-102.67334969867839</c:v>
                </c:pt>
                <c:pt idx="419">
                  <c:v>-102.61606653661032</c:v>
                </c:pt>
                <c:pt idx="420">
                  <c:v>-102.5592904207648</c:v>
                </c:pt>
                <c:pt idx="421">
                  <c:v>-102.50301476102261</c:v>
                </c:pt>
                <c:pt idx="422">
                  <c:v>-102.44723307898278</c:v>
                </c:pt>
                <c:pt idx="423">
                  <c:v>-102.39193900564906</c:v>
                </c:pt>
                <c:pt idx="424">
                  <c:v>-102.33712627917311</c:v>
                </c:pt>
                <c:pt idx="425">
                  <c:v>-102.2827887426515</c:v>
                </c:pt>
                <c:pt idx="426">
                  <c:v>-102.22892034197639</c:v>
                </c:pt>
                <c:pt idx="427">
                  <c:v>-102.17551512373728</c:v>
                </c:pt>
                <c:pt idx="428">
                  <c:v>-102.1225672331732</c:v>
                </c:pt>
                <c:pt idx="429">
                  <c:v>-102.07007091217373</c:v>
                </c:pt>
                <c:pt idx="430">
                  <c:v>-102.01802049732729</c:v>
                </c:pt>
                <c:pt idx="431">
                  <c:v>-101.96641041801594</c:v>
                </c:pt>
                <c:pt idx="432">
                  <c:v>-101.91523519455477</c:v>
                </c:pt>
                <c:pt idx="433">
                  <c:v>-101.86448943637545</c:v>
                </c:pt>
                <c:pt idx="434">
                  <c:v>-101.81416784025191</c:v>
                </c:pt>
                <c:pt idx="435">
                  <c:v>-101.76426518856798</c:v>
                </c:pt>
                <c:pt idx="436">
                  <c:v>-101.71477634762491</c:v>
                </c:pt>
                <c:pt idx="437">
                  <c:v>-101.66569626598836</c:v>
                </c:pt>
                <c:pt idx="438">
                  <c:v>-101.61701997287375</c:v>
                </c:pt>
                <c:pt idx="439">
                  <c:v>-101.56874257656858</c:v>
                </c:pt>
                <c:pt idx="440">
                  <c:v>-101.52085926289119</c:v>
                </c:pt>
                <c:pt idx="441">
                  <c:v>-101.47336529368469</c:v>
                </c:pt>
                <c:pt idx="442">
                  <c:v>-101.42625600534542</c:v>
                </c:pt>
                <c:pt idx="443">
                  <c:v>-101.37952680738476</c:v>
                </c:pt>
                <c:pt idx="444">
                  <c:v>-101.33317318102354</c:v>
                </c:pt>
                <c:pt idx="445">
                  <c:v>-101.28719067781837</c:v>
                </c:pt>
                <c:pt idx="446">
                  <c:v>-101.24157491831885</c:v>
                </c:pt>
                <c:pt idx="447">
                  <c:v>-101.19632159075469</c:v>
                </c:pt>
                <c:pt idx="448">
                  <c:v>-101.15142644975279</c:v>
                </c:pt>
                <c:pt idx="449">
                  <c:v>-101.10688531508222</c:v>
                </c:pt>
                <c:pt idx="450">
                  <c:v>-101.06269407042775</c:v>
                </c:pt>
                <c:pt idx="451">
                  <c:v>-101.01884866219014</c:v>
                </c:pt>
                <c:pt idx="452">
                  <c:v>-100.97534509831318</c:v>
                </c:pt>
                <c:pt idx="453">
                  <c:v>-100.93217944713638</c:v>
                </c:pt>
                <c:pt idx="454">
                  <c:v>-100.88934783627295</c:v>
                </c:pt>
                <c:pt idx="455">
                  <c:v>-100.84684645151246</c:v>
                </c:pt>
                <c:pt idx="456">
                  <c:v>-100.80467153574706</c:v>
                </c:pt>
                <c:pt idx="457">
                  <c:v>-100.7628193879214</c:v>
                </c:pt>
                <c:pt idx="458">
                  <c:v>-100.72128636200519</c:v>
                </c:pt>
                <c:pt idx="459">
                  <c:v>-100.68006886598795</c:v>
                </c:pt>
                <c:pt idx="460">
                  <c:v>-100.63916336089527</c:v>
                </c:pt>
                <c:pt idx="461">
                  <c:v>-100.59856635982646</c:v>
                </c:pt>
                <c:pt idx="462">
                  <c:v>-100.55827442701266</c:v>
                </c:pt>
                <c:pt idx="463">
                  <c:v>-100.51828417689484</c:v>
                </c:pt>
                <c:pt idx="464">
                  <c:v>-100.47859227322182</c:v>
                </c:pt>
                <c:pt idx="465">
                  <c:v>-100.43919542816707</c:v>
                </c:pt>
                <c:pt idx="466">
                  <c:v>-100.40009040146411</c:v>
                </c:pt>
                <c:pt idx="467">
                  <c:v>-100.36127399956067</c:v>
                </c:pt>
                <c:pt idx="468">
                  <c:v>-100.32274307478987</c:v>
                </c:pt>
                <c:pt idx="469">
                  <c:v>-100.28449452455925</c:v>
                </c:pt>
                <c:pt idx="470">
                  <c:v>-100.24652529055651</c:v>
                </c:pt>
                <c:pt idx="471">
                  <c:v>-100.20883235797193</c:v>
                </c:pt>
                <c:pt idx="472">
                  <c:v>-100.17141275473676</c:v>
                </c:pt>
                <c:pt idx="473">
                  <c:v>-100.13426355077729</c:v>
                </c:pt>
                <c:pt idx="474">
                  <c:v>-100.09738185728457</c:v>
                </c:pt>
                <c:pt idx="475">
                  <c:v>-100.06076482599887</c:v>
                </c:pt>
                <c:pt idx="476">
                  <c:v>-100.02440964850888</c:v>
                </c:pt>
                <c:pt idx="477">
                  <c:v>-99.988313555565355</c:v>
                </c:pt>
                <c:pt idx="478">
                  <c:v>-99.952473816408343</c:v>
                </c:pt>
                <c:pt idx="479">
                  <c:v>-99.916887738108628</c:v>
                </c:pt>
                <c:pt idx="480">
                  <c:v>-99.881552664921912</c:v>
                </c:pt>
                <c:pt idx="481">
                  <c:v>-99.846465977656479</c:v>
                </c:pt>
                <c:pt idx="482">
                  <c:v>-99.811625093053252</c:v>
                </c:pt>
                <c:pt idx="483">
                  <c:v>-99.777027463178598</c:v>
                </c:pt>
                <c:pt idx="484">
                  <c:v>-99.74267057482875</c:v>
                </c:pt>
                <c:pt idx="485">
                  <c:v>-99.708551948946862</c:v>
                </c:pt>
                <c:pt idx="486">
                  <c:v>-99.674669140050781</c:v>
                </c:pt>
                <c:pt idx="487">
                  <c:v>-99.641019735672899</c:v>
                </c:pt>
                <c:pt idx="488">
                  <c:v>-99.60760135581053</c:v>
                </c:pt>
                <c:pt idx="489">
                  <c:v>-99.574411652387411</c:v>
                </c:pt>
                <c:pt idx="490">
                  <c:v>-99.541448308725634</c:v>
                </c:pt>
                <c:pt idx="491">
                  <c:v>-99.508709039028005</c:v>
                </c:pt>
                <c:pt idx="492">
                  <c:v>-99.476191587870346</c:v>
                </c:pt>
                <c:pt idx="493">
                  <c:v>-99.443893729703916</c:v>
                </c:pt>
                <c:pt idx="494">
                  <c:v>-99.411813268367183</c:v>
                </c:pt>
                <c:pt idx="495">
                  <c:v>-99.379948036607217</c:v>
                </c:pt>
                <c:pt idx="496">
                  <c:v>-99.348295895610491</c:v>
                </c:pt>
                <c:pt idx="497">
                  <c:v>-99.316854734542105</c:v>
                </c:pt>
                <c:pt idx="498">
                  <c:v>-99.285622470094609</c:v>
                </c:pt>
                <c:pt idx="499">
                  <c:v>-99.254597046044836</c:v>
                </c:pt>
                <c:pt idx="500">
                  <c:v>-99.223776432819434</c:v>
                </c:pt>
                <c:pt idx="501">
                  <c:v>-99.19315862706874</c:v>
                </c:pt>
                <c:pt idx="502">
                  <c:v>-99.162741651248481</c:v>
                </c:pt>
                <c:pt idx="503">
                  <c:v>-99.132523553209509</c:v>
                </c:pt>
                <c:pt idx="504">
                  <c:v>-99.102502405795292</c:v>
                </c:pt>
                <c:pt idx="505">
                  <c:v>-99.072676306447008</c:v>
                </c:pt>
                <c:pt idx="506">
                  <c:v>-99.043043376815788</c:v>
                </c:pt>
                <c:pt idx="507">
                  <c:v>-99.013601762382478</c:v>
                </c:pt>
                <c:pt idx="508">
                  <c:v>-98.984349632084289</c:v>
                </c:pt>
                <c:pt idx="509">
                  <c:v>-98.955285177948511</c:v>
                </c:pt>
                <c:pt idx="510">
                  <c:v>-98.926406614732841</c:v>
                </c:pt>
                <c:pt idx="511">
                  <c:v>-98.89771217957265</c:v>
                </c:pt>
                <c:pt idx="512">
                  <c:v>-98.869200131634258</c:v>
                </c:pt>
                <c:pt idx="513">
                  <c:v>-98.840868751775105</c:v>
                </c:pt>
                <c:pt idx="514">
                  <c:v>-98.812716342209811</c:v>
                </c:pt>
                <c:pt idx="515">
                  <c:v>-98.784741226182319</c:v>
                </c:pt>
                <c:pt idx="516">
                  <c:v>-98.756941747644206</c:v>
                </c:pt>
                <c:pt idx="517">
                  <c:v>-98.729316270938682</c:v>
                </c:pt>
                <c:pt idx="518">
                  <c:v>-98.701863180490363</c:v>
                </c:pt>
                <c:pt idx="519">
                  <c:v>-98.674580880500471</c:v>
                </c:pt>
                <c:pt idx="520">
                  <c:v>-98.647467794647937</c:v>
                </c:pt>
                <c:pt idx="521">
                  <c:v>-98.620522365795381</c:v>
                </c:pt>
                <c:pt idx="522">
                  <c:v>-98.593743055700628</c:v>
                </c:pt>
                <c:pt idx="523">
                  <c:v>-98.56712834473332</c:v>
                </c:pt>
                <c:pt idx="524">
                  <c:v>-98.540676731596591</c:v>
                </c:pt>
                <c:pt idx="525">
                  <c:v>-98.514386733053513</c:v>
                </c:pt>
                <c:pt idx="526">
                  <c:v>-98.488256883658721</c:v>
                </c:pt>
                <c:pt idx="527">
                  <c:v>-98.46228573549439</c:v>
                </c:pt>
                <c:pt idx="528">
                  <c:v>-98.436471857911158</c:v>
                </c:pt>
                <c:pt idx="529">
                  <c:v>-98.410813837273395</c:v>
                </c:pt>
                <c:pt idx="530">
                  <c:v>-98.385310276709077</c:v>
                </c:pt>
                <c:pt idx="531">
                  <c:v>-98.359959795863887</c:v>
                </c:pt>
                <c:pt idx="532">
                  <c:v>-98.334761030659791</c:v>
                </c:pt>
                <c:pt idx="533">
                  <c:v>-98.309712633057416</c:v>
                </c:pt>
                <c:pt idx="534">
                  <c:v>-98.284813270823122</c:v>
                </c:pt>
                <c:pt idx="535">
                  <c:v>-98.260061627299649</c:v>
                </c:pt>
                <c:pt idx="536">
                  <c:v>-98.23545640118077</c:v>
                </c:pt>
                <c:pt idx="537">
                  <c:v>-98.210996306289886</c:v>
                </c:pt>
                <c:pt idx="538">
                  <c:v>-98.18668007136263</c:v>
                </c:pt>
                <c:pt idx="539">
                  <c:v>-98.162506439832654</c:v>
                </c:pt>
                <c:pt idx="540">
                  <c:v>-98.138474169621603</c:v>
                </c:pt>
                <c:pt idx="541">
                  <c:v>-98.11458203293239</c:v>
                </c:pt>
                <c:pt idx="542">
                  <c:v>-98.090828816045871</c:v>
                </c:pt>
                <c:pt idx="543">
                  <c:v>-98.067213319121294</c:v>
                </c:pt>
                <c:pt idx="544">
                  <c:v>-98.043734355999788</c:v>
                </c:pt>
                <c:pt idx="545">
                  <c:v>-98.02039075401126</c:v>
                </c:pt>
                <c:pt idx="546">
                  <c:v>-97.997181353784697</c:v>
                </c:pt>
                <c:pt idx="547">
                  <c:v>-97.974105009061361</c:v>
                </c:pt>
                <c:pt idx="548">
                  <c:v>-97.951160586511278</c:v>
                </c:pt>
                <c:pt idx="549">
                  <c:v>-97.928346965552649</c:v>
                </c:pt>
                <c:pt idx="550">
                  <c:v>-97.905663038174566</c:v>
                </c:pt>
                <c:pt idx="551">
                  <c:v>-97.88310770876214</c:v>
                </c:pt>
                <c:pt idx="552">
                  <c:v>-97.860679893924996</c:v>
                </c:pt>
                <c:pt idx="553">
                  <c:v>-97.838378522328355</c:v>
                </c:pt>
                <c:pt idx="554">
                  <c:v>-97.816202534526965</c:v>
                </c:pt>
                <c:pt idx="555">
                  <c:v>-97.794150882801603</c:v>
                </c:pt>
                <c:pt idx="556">
                  <c:v>-97.77222253099859</c:v>
                </c:pt>
                <c:pt idx="557">
                  <c:v>-97.750416454371447</c:v>
                </c:pt>
                <c:pt idx="558">
                  <c:v>-97.728731639425575</c:v>
                </c:pt>
                <c:pt idx="559">
                  <c:v>-97.707167083765128</c:v>
                </c:pt>
                <c:pt idx="560">
                  <c:v>-97.685721795942527</c:v>
                </c:pt>
                <c:pt idx="561">
                  <c:v>-97.664394795310358</c:v>
                </c:pt>
                <c:pt idx="562">
                  <c:v>-97.643185111875667</c:v>
                </c:pt>
                <c:pt idx="563">
                  <c:v>-97.622091786156517</c:v>
                </c:pt>
                <c:pt idx="564">
                  <c:v>-97.601113869040972</c:v>
                </c:pt>
                <c:pt idx="565">
                  <c:v>-97.580250421648216</c:v>
                </c:pt>
                <c:pt idx="566">
                  <c:v>-97.5595005151919</c:v>
                </c:pt>
                <c:pt idx="567">
                  <c:v>-97.538863230845763</c:v>
                </c:pt>
                <c:pt idx="568">
                  <c:v>-97.518337659611277</c:v>
                </c:pt>
                <c:pt idx="569">
                  <c:v>-97.497922902187341</c:v>
                </c:pt>
                <c:pt idx="570">
                  <c:v>-97.477618068842148</c:v>
                </c:pt>
                <c:pt idx="571">
                  <c:v>-97.45742227928703</c:v>
                </c:pt>
                <c:pt idx="572">
                  <c:v>-97.43733466255226</c:v>
                </c:pt>
                <c:pt idx="573">
                  <c:v>-97.417354356864806</c:v>
                </c:pt>
                <c:pt idx="574">
                  <c:v>-97.397480509527881</c:v>
                </c:pt>
                <c:pt idx="575">
                  <c:v>-97.377712276802725</c:v>
                </c:pt>
                <c:pt idx="576">
                  <c:v>-97.358048823791705</c:v>
                </c:pt>
                <c:pt idx="577">
                  <c:v>-97.338489324323632</c:v>
                </c:pt>
                <c:pt idx="578">
                  <c:v>-97.319032960840673</c:v>
                </c:pt>
                <c:pt idx="579">
                  <c:v>-97.299678924287122</c:v>
                </c:pt>
                <c:pt idx="580">
                  <c:v>-97.28042641399972</c:v>
                </c:pt>
                <c:pt idx="581">
                  <c:v>-97.261274637599769</c:v>
                </c:pt>
                <c:pt idx="582">
                  <c:v>-97.242222810886773</c:v>
                </c:pt>
                <c:pt idx="583">
                  <c:v>-97.223270157734007</c:v>
                </c:pt>
                <c:pt idx="584">
                  <c:v>-97.204415909985357</c:v>
                </c:pt>
                <c:pt idx="585">
                  <c:v>-97.185659307353731</c:v>
                </c:pt>
                <c:pt idx="586">
                  <c:v>-97.166999597321279</c:v>
                </c:pt>
                <c:pt idx="587">
                  <c:v>-97.14843603504093</c:v>
                </c:pt>
                <c:pt idx="588">
                  <c:v>-97.129967883239303</c:v>
                </c:pt>
                <c:pt idx="589">
                  <c:v>-97.111594412121406</c:v>
                </c:pt>
                <c:pt idx="590">
                  <c:v>-97.093314899276436</c:v>
                </c:pt>
                <c:pt idx="591">
                  <c:v>-97.075128629585237</c:v>
                </c:pt>
                <c:pt idx="592">
                  <c:v>-97.057034895128922</c:v>
                </c:pt>
                <c:pt idx="593">
                  <c:v>-97.039032995099006</c:v>
                </c:pt>
                <c:pt idx="594">
                  <c:v>-97.021122235708972</c:v>
                </c:pt>
                <c:pt idx="595">
                  <c:v>-97.003301930106744</c:v>
                </c:pt>
                <c:pt idx="596">
                  <c:v>-96.985571398288954</c:v>
                </c:pt>
                <c:pt idx="597">
                  <c:v>-96.967929967016133</c:v>
                </c:pt>
                <c:pt idx="598">
                  <c:v>-96.950376969729277</c:v>
                </c:pt>
                <c:pt idx="599">
                  <c:v>-96.932911746467639</c:v>
                </c:pt>
                <c:pt idx="600">
                  <c:v>-96.915533643787711</c:v>
                </c:pt>
                <c:pt idx="601">
                  <c:v>-96.89824201468339</c:v>
                </c:pt>
                <c:pt idx="602">
                  <c:v>-96.881036218507248</c:v>
                </c:pt>
                <c:pt idx="603">
                  <c:v>-96.863915620893053</c:v>
                </c:pt>
                <c:pt idx="604">
                  <c:v>-96.846879593679461</c:v>
                </c:pt>
                <c:pt idx="605">
                  <c:v>-96.82992751483448</c:v>
                </c:pt>
                <c:pt idx="606">
                  <c:v>-96.077195819193733</c:v>
                </c:pt>
                <c:pt idx="607">
                  <c:v>-95.473447145241011</c:v>
                </c:pt>
                <c:pt idx="608">
                  <c:v>-94.97853800621894</c:v>
                </c:pt>
                <c:pt idx="609">
                  <c:v>-94.565529380335974</c:v>
                </c:pt>
                <c:pt idx="610">
                  <c:v>-94.215679585071086</c:v>
                </c:pt>
                <c:pt idx="611">
                  <c:v>-93.915551446365782</c:v>
                </c:pt>
                <c:pt idx="612">
                  <c:v>-93.655262108633721</c:v>
                </c:pt>
                <c:pt idx="613">
                  <c:v>-93.427382087955706</c:v>
                </c:pt>
                <c:pt idx="614">
                  <c:v>-93.226219246485712</c:v>
                </c:pt>
                <c:pt idx="615">
                  <c:v>-93.047339472757884</c:v>
                </c:pt>
                <c:pt idx="616">
                  <c:v>-92.887237619619427</c:v>
                </c:pt>
                <c:pt idx="617">
                  <c:v>-92.743106516850659</c:v>
                </c:pt>
                <c:pt idx="618">
                  <c:v>-92.68940145489762</c:v>
                </c:pt>
                <c:pt idx="619">
                  <c:v>-92.637757421974229</c:v>
                </c:pt>
                <c:pt idx="620">
                  <c:v>-92.588058089095014</c:v>
                </c:pt>
                <c:pt idx="621">
                  <c:v>-92.540195714327467</c:v>
                </c:pt>
                <c:pt idx="622">
                  <c:v>-92.494070365316048</c:v>
                </c:pt>
                <c:pt idx="623">
                  <c:v>-92.449589224723283</c:v>
                </c:pt>
                <c:pt idx="624">
                  <c:v>-92.406665968457361</c:v>
                </c:pt>
                <c:pt idx="625">
                  <c:v>-92.365220207945498</c:v>
                </c:pt>
                <c:pt idx="626">
                  <c:v>-92.32517698889032</c:v>
                </c:pt>
                <c:pt idx="627">
                  <c:v>-92.286466339950337</c:v>
                </c:pt>
                <c:pt idx="628">
                  <c:v>-92.249022865640782</c:v>
                </c:pt>
                <c:pt idx="629">
                  <c:v>-92.212785378484142</c:v>
                </c:pt>
                <c:pt idx="630">
                  <c:v>-92.17769656606697</c:v>
                </c:pt>
                <c:pt idx="631">
                  <c:v>-92.143702689201092</c:v>
                </c:pt>
                <c:pt idx="632">
                  <c:v>-92.110753307852022</c:v>
                </c:pt>
                <c:pt idx="633">
                  <c:v>-92.078801031901349</c:v>
                </c:pt>
                <c:pt idx="634">
                  <c:v>-92.047801294157694</c:v>
                </c:pt>
                <c:pt idx="635">
                  <c:v>-92.017712143333924</c:v>
                </c:pt>
                <c:pt idx="636">
                  <c:v>-91.988494054972662</c:v>
                </c:pt>
                <c:pt idx="637">
                  <c:v>-91.960109758530805</c:v>
                </c:pt>
                <c:pt idx="638">
                  <c:v>-91.932524079035034</c:v>
                </c:pt>
                <c:pt idx="639">
                  <c:v>-91.905703791896769</c:v>
                </c:pt>
                <c:pt idx="640">
                  <c:v>-91.879617489628046</c:v>
                </c:pt>
                <c:pt idx="641">
                  <c:v>-91.85423545933601</c:v>
                </c:pt>
                <c:pt idx="642">
                  <c:v>-91.82952956999317</c:v>
                </c:pt>
                <c:pt idx="643">
                  <c:v>-91.805473168585422</c:v>
                </c:pt>
                <c:pt idx="644">
                  <c:v>-91.782040984333008</c:v>
                </c:pt>
                <c:pt idx="645">
                  <c:v>-91.759209040261879</c:v>
                </c:pt>
                <c:pt idx="646">
                  <c:v>-91.736954571475934</c:v>
                </c:pt>
                <c:pt idx="647">
                  <c:v>-91.715255949544996</c:v>
                </c:pt>
                <c:pt idx="648">
                  <c:v>-91.694092612482081</c:v>
                </c:pt>
                <c:pt idx="649">
                  <c:v>-91.673444999832796</c:v>
                </c:pt>
                <c:pt idx="650">
                  <c:v>-91.65329449244804</c:v>
                </c:pt>
                <c:pt idx="651">
                  <c:v>-91.633623356549521</c:v>
                </c:pt>
                <c:pt idx="652">
                  <c:v>-91.614414691736258</c:v>
                </c:pt>
                <c:pt idx="653">
                  <c:v>-91.595652382611206</c:v>
                </c:pt>
                <c:pt idx="654">
                  <c:v>-91.577321053738103</c:v>
                </c:pt>
                <c:pt idx="655">
                  <c:v>-91.55940602766357</c:v>
                </c:pt>
                <c:pt idx="656">
                  <c:v>-91.541893285764175</c:v>
                </c:pt>
                <c:pt idx="657">
                  <c:v>-91.524769431699298</c:v>
                </c:pt>
                <c:pt idx="658">
                  <c:v>-91.50802165726941</c:v>
                </c:pt>
                <c:pt idx="659">
                  <c:v>-91.491637710497216</c:v>
                </c:pt>
                <c:pt idx="660">
                  <c:v>-91.475605865765118</c:v>
                </c:pt>
                <c:pt idx="661">
                  <c:v>-91.459914895855078</c:v>
                </c:pt>
                <c:pt idx="662">
                  <c:v>-91.444554045752369</c:v>
                </c:pt>
                <c:pt idx="663">
                  <c:v>-91.429513008083518</c:v>
                </c:pt>
                <c:pt idx="664">
                  <c:v>-91.414781900071503</c:v>
                </c:pt>
                <c:pt idx="665">
                  <c:v>-91.400351241899841</c:v>
                </c:pt>
                <c:pt idx="666">
                  <c:v>-91.386211936385919</c:v>
                </c:pt>
                <c:pt idx="667">
                  <c:v>-91.372355249872328</c:v>
                </c:pt>
              </c:numCache>
            </c:numRef>
          </c:yVal>
          <c:smooth val="0"/>
          <c:extLst>
            <c:ext xmlns:c16="http://schemas.microsoft.com/office/drawing/2014/chart" uri="{C3380CC4-5D6E-409C-BE32-E72D297353CC}">
              <c16:uniqueId val="{00000001-2DBB-4F72-B5DF-A436F54D08AE}"/>
            </c:ext>
          </c:extLst>
        </c:ser>
        <c:dLbls>
          <c:showLegendKey val="0"/>
          <c:showVal val="0"/>
          <c:showCatName val="0"/>
          <c:showSerName val="0"/>
          <c:showPercent val="0"/>
          <c:showBubbleSize val="0"/>
        </c:dLbls>
        <c:axId val="176900736"/>
        <c:axId val="176902528"/>
      </c:scatterChart>
      <c:valAx>
        <c:axId val="176896640"/>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898816"/>
        <c:crossesAt val="-120"/>
        <c:crossBetween val="midCat"/>
      </c:valAx>
      <c:valAx>
        <c:axId val="176898816"/>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896640"/>
        <c:crosses val="autoZero"/>
        <c:crossBetween val="midCat"/>
      </c:valAx>
      <c:valAx>
        <c:axId val="176900736"/>
        <c:scaling>
          <c:logBase val="10"/>
          <c:orientation val="minMax"/>
        </c:scaling>
        <c:delete val="1"/>
        <c:axPos val="b"/>
        <c:numFmt formatCode="General" sourceLinked="1"/>
        <c:majorTickMark val="out"/>
        <c:minorTickMark val="none"/>
        <c:tickLblPos val="none"/>
        <c:crossAx val="176902528"/>
        <c:crosses val="autoZero"/>
        <c:crossBetween val="midCat"/>
      </c:valAx>
      <c:valAx>
        <c:axId val="176902528"/>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00736"/>
        <c:crosses val="max"/>
        <c:crossBetween val="midCat"/>
      </c:valAx>
      <c:spPr>
        <a:noFill/>
        <a:ln w="12700">
          <a:solidFill>
            <a:srgbClr val="808080"/>
          </a:solidFill>
          <a:prstDash val="solid"/>
        </a:ln>
      </c:spPr>
    </c:plotArea>
    <c:legend>
      <c:legendPos val="r"/>
      <c:layout>
        <c:manualLayout>
          <c:xMode val="edge"/>
          <c:yMode val="edge"/>
          <c:x val="0.76630434782608692"/>
          <c:y val="1.2987012987012988E-2"/>
          <c:w val="0.21557971014492749"/>
          <c:h val="0.14545454545454545"/>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
5V Vin</a:t>
            </a:r>
          </a:p>
        </c:rich>
      </c:tx>
      <c:layout>
        <c:manualLayout>
          <c:xMode val="edge"/>
          <c:yMode val="edge"/>
          <c:x val="0.40036307961505191"/>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Theoretical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58.253383421172259</c:v>
                </c:pt>
                <c:pt idx="1">
                  <c:v>53.179990577063478</c:v>
                </c:pt>
                <c:pt idx="2">
                  <c:v>49.858737499089557</c:v>
                </c:pt>
                <c:pt idx="3">
                  <c:v>47.432415072805156</c:v>
                </c:pt>
                <c:pt idx="4">
                  <c:v>45.528168881940985</c:v>
                </c:pt>
                <c:pt idx="5">
                  <c:v>43.963105740838273</c:v>
                </c:pt>
                <c:pt idx="6">
                  <c:v>42.635406551232919</c:v>
                </c:pt>
                <c:pt idx="7">
                  <c:v>41.482882356663147</c:v>
                </c:pt>
                <c:pt idx="8">
                  <c:v>40.464860321109448</c:v>
                </c:pt>
                <c:pt idx="9">
                  <c:v>39.553317321395383</c:v>
                </c:pt>
                <c:pt idx="10">
                  <c:v>33.54449577410837</c:v>
                </c:pt>
                <c:pt idx="11">
                  <c:v>30.025275140338238</c:v>
                </c:pt>
                <c:pt idx="12">
                  <c:v>27.527908344259963</c:v>
                </c:pt>
                <c:pt idx="13">
                  <c:v>25.590904001009555</c:v>
                </c:pt>
                <c:pt idx="14">
                  <c:v>24.008505976608742</c:v>
                </c:pt>
                <c:pt idx="15">
                  <c:v>22.670911267879788</c:v>
                </c:pt>
                <c:pt idx="16">
                  <c:v>21.512562285584089</c:v>
                </c:pt>
                <c:pt idx="17">
                  <c:v>20.491167161200259</c:v>
                </c:pt>
                <c:pt idx="18">
                  <c:v>19.577846649156413</c:v>
                </c:pt>
                <c:pt idx="19">
                  <c:v>13.585606522996327</c:v>
                </c:pt>
                <c:pt idx="20">
                  <c:v>10.110586311829779</c:v>
                </c:pt>
                <c:pt idx="21">
                  <c:v>7.6767161427996093</c:v>
                </c:pt>
                <c:pt idx="22">
                  <c:v>5.8209541425720772</c:v>
                </c:pt>
                <c:pt idx="23">
                  <c:v>4.3365960487307698</c:v>
                </c:pt>
                <c:pt idx="24">
                  <c:v>3.1129384897003103</c:v>
                </c:pt>
                <c:pt idx="25">
                  <c:v>2.0834842057954059</c:v>
                </c:pt>
                <c:pt idx="26">
                  <c:v>1.2049558681080048</c:v>
                </c:pt>
                <c:pt idx="27">
                  <c:v>0.4474556263062478</c:v>
                </c:pt>
                <c:pt idx="28">
                  <c:v>-2.1249576484943051</c:v>
                </c:pt>
                <c:pt idx="29">
                  <c:v>-3.491299437918312</c:v>
                </c:pt>
                <c:pt idx="30">
                  <c:v>-4.2057950254314278</c:v>
                </c:pt>
                <c:pt idx="31">
                  <c:v>-4.534266578029901</c:v>
                </c:pt>
                <c:pt idx="32">
                  <c:v>-4.6223678242776094</c:v>
                </c:pt>
                <c:pt idx="33">
                  <c:v>-4.5560423752805326</c:v>
                </c:pt>
                <c:pt idx="34">
                  <c:v>-4.388673557604112</c:v>
                </c:pt>
                <c:pt idx="35">
                  <c:v>-4.1547375534528639</c:v>
                </c:pt>
                <c:pt idx="36">
                  <c:v>-3.8771754604354252</c:v>
                </c:pt>
                <c:pt idx="37">
                  <c:v>-3.5715999706963637</c:v>
                </c:pt>
                <c:pt idx="38">
                  <c:v>-3.2488116027182867</c:v>
                </c:pt>
                <c:pt idx="39">
                  <c:v>-2.9163661025019465</c:v>
                </c:pt>
                <c:pt idx="40">
                  <c:v>-2.5795848474938001</c:v>
                </c:pt>
                <c:pt idx="41">
                  <c:v>-2.2422249324093757</c:v>
                </c:pt>
                <c:pt idx="42">
                  <c:v>-1.9069339832168588</c:v>
                </c:pt>
                <c:pt idx="43">
                  <c:v>-1.5755647395359889</c:v>
                </c:pt>
                <c:pt idx="44">
                  <c:v>-1.2493960245807414</c:v>
                </c:pt>
                <c:pt idx="45">
                  <c:v>-0.92928994347421512</c:v>
                </c:pt>
                <c:pt idx="46">
                  <c:v>-0.61580490040527847</c:v>
                </c:pt>
                <c:pt idx="47">
                  <c:v>-0.30927757182999172</c:v>
                </c:pt>
                <c:pt idx="48">
                  <c:v>-9.8828039587115623E-3</c:v>
                </c:pt>
                <c:pt idx="49">
                  <c:v>0.28232235017278506</c:v>
                </c:pt>
                <c:pt idx="50">
                  <c:v>0.56736609072565591</c:v>
                </c:pt>
                <c:pt idx="51">
                  <c:v>0.84533773058721351</c:v>
                </c:pt>
                <c:pt idx="52">
                  <c:v>1.1163697337291192</c:v>
                </c:pt>
                <c:pt idx="53">
                  <c:v>1.3806243264680387</c:v>
                </c:pt>
                <c:pt idx="54">
                  <c:v>1.6382835111807323</c:v>
                </c:pt>
                <c:pt idx="55">
                  <c:v>1.8895416233886275</c:v>
                </c:pt>
                <c:pt idx="56">
                  <c:v>2.1345997976198294</c:v>
                </c:pt>
                <c:pt idx="57">
                  <c:v>2.3736618705542951</c:v>
                </c:pt>
                <c:pt idx="58">
                  <c:v>2.6069313692810638</c:v>
                </c:pt>
                <c:pt idx="59">
                  <c:v>2.8346093203578788</c:v>
                </c:pt>
                <c:pt idx="60">
                  <c:v>3.0568926804449688</c:v>
                </c:pt>
                <c:pt idx="61">
                  <c:v>3.273973237759364</c:v>
                </c:pt>
                <c:pt idx="62">
                  <c:v>3.486036869886747</c:v>
                </c:pt>
                <c:pt idx="63">
                  <c:v>3.6932630707863074</c:v>
                </c:pt>
                <c:pt idx="64">
                  <c:v>3.8958246804487469</c:v>
                </c:pt>
                <c:pt idx="65">
                  <c:v>4.0938877663133191</c:v>
                </c:pt>
                <c:pt idx="66">
                  <c:v>4.2876116174624412</c:v>
                </c:pt>
                <c:pt idx="67">
                  <c:v>4.4771488217134587</c:v>
                </c:pt>
                <c:pt idx="68">
                  <c:v>4.6626454027011226</c:v>
                </c:pt>
                <c:pt idx="69">
                  <c:v>4.8442409994027775</c:v>
                </c:pt>
                <c:pt idx="70">
                  <c:v>5.0220690746847332</c:v>
                </c:pt>
                <c:pt idx="71">
                  <c:v>5.1962571426325264</c:v>
                </c:pt>
                <c:pt idx="72">
                  <c:v>5.3669270068882255</c:v>
                </c:pt>
                <c:pt idx="73">
                  <c:v>5.5341950041214911</c:v>
                </c:pt>
                <c:pt idx="74">
                  <c:v>5.6981722482344583</c:v>
                </c:pt>
                <c:pt idx="75">
                  <c:v>5.8589648720410379</c:v>
                </c:pt>
                <c:pt idx="76">
                  <c:v>6.016674264043643</c:v>
                </c:pt>
                <c:pt idx="77">
                  <c:v>6.1713972986117982</c:v>
                </c:pt>
                <c:pt idx="78">
                  <c:v>6.3232265583928351</c:v>
                </c:pt>
                <c:pt idx="79">
                  <c:v>6.4722505481884749</c:v>
                </c:pt>
                <c:pt idx="80">
                  <c:v>6.6185538998400997</c:v>
                </c:pt>
                <c:pt idx="81">
                  <c:v>6.7622175679002128</c:v>
                </c:pt>
                <c:pt idx="82">
                  <c:v>6.90331901604464</c:v>
                </c:pt>
                <c:pt idx="83">
                  <c:v>7.041932394311937</c:v>
                </c:pt>
                <c:pt idx="84">
                  <c:v>7.1781287073532614</c:v>
                </c:pt>
                <c:pt idx="85">
                  <c:v>7.3119759739454331</c:v>
                </c:pt>
                <c:pt idx="86">
                  <c:v>7.4435393780682579</c:v>
                </c:pt>
                <c:pt idx="87">
                  <c:v>7.5728814118789938</c:v>
                </c:pt>
                <c:pt idx="88">
                  <c:v>7.7000620109364277</c:v>
                </c:pt>
                <c:pt idx="89">
                  <c:v>7.8251386820363376</c:v>
                </c:pt>
                <c:pt idx="90">
                  <c:v>7.9481666240229636</c:v>
                </c:pt>
                <c:pt idx="91">
                  <c:v>8.0691988419377587</c:v>
                </c:pt>
                <c:pt idx="92">
                  <c:v>8.1882862548597188</c:v>
                </c:pt>
                <c:pt idx="93">
                  <c:v>8.3054777977817142</c:v>
                </c:pt>
                <c:pt idx="94">
                  <c:v>8.4208205178549882</c:v>
                </c:pt>
                <c:pt idx="95">
                  <c:v>8.5343596653209275</c:v>
                </c:pt>
                <c:pt idx="96">
                  <c:v>8.6461387794347981</c:v>
                </c:pt>
                <c:pt idx="97">
                  <c:v>8.7561997696714897</c:v>
                </c:pt>
                <c:pt idx="98">
                  <c:v>8.8645829924889092</c:v>
                </c:pt>
                <c:pt idx="99">
                  <c:v>8.9713273239094722</c:v>
                </c:pt>
                <c:pt idx="100">
                  <c:v>9.0764702281663858</c:v>
                </c:pt>
                <c:pt idx="101">
                  <c:v>9.1800478226469835</c:v>
                </c:pt>
                <c:pt idx="102">
                  <c:v>9.2820949393521897</c:v>
                </c:pt>
                <c:pt idx="103">
                  <c:v>9.3826451830781856</c:v>
                </c:pt>
                <c:pt idx="104">
                  <c:v>9.4817309865140089</c:v>
                </c:pt>
                <c:pt idx="105">
                  <c:v>9.5793836624371682</c:v>
                </c:pt>
                <c:pt idx="106">
                  <c:v>9.6756334531780368</c:v>
                </c:pt>
                <c:pt idx="107">
                  <c:v>9.7705095775136428</c:v>
                </c:pt>
                <c:pt idx="108">
                  <c:v>9.8640402751410718</c:v>
                </c:pt>
                <c:pt idx="109">
                  <c:v>9.9562528488718769</c:v>
                </c:pt>
                <c:pt idx="110">
                  <c:v>10.047173704679599</c:v>
                </c:pt>
                <c:pt idx="111">
                  <c:v>10.136828389724702</c:v>
                </c:pt>
                <c:pt idx="112">
                  <c:v>10.225241628473134</c:v>
                </c:pt>
                <c:pt idx="113">
                  <c:v>10.312437357017698</c:v>
                </c:pt>
                <c:pt idx="114">
                  <c:v>10.398438755704484</c:v>
                </c:pt>
                <c:pt idx="115">
                  <c:v>10.483268280160347</c:v>
                </c:pt>
                <c:pt idx="116">
                  <c:v>10.566947690811368</c:v>
                </c:pt>
                <c:pt idx="117">
                  <c:v>10.649498080976759</c:v>
                </c:pt>
                <c:pt idx="118">
                  <c:v>10.730939903617303</c:v>
                </c:pt>
                <c:pt idx="119">
                  <c:v>10.811292996812846</c:v>
                </c:pt>
                <c:pt idx="120">
                  <c:v>10.890576608038371</c:v>
                </c:pt>
                <c:pt idx="121">
                  <c:v>10.968809417304348</c:v>
                </c:pt>
                <c:pt idx="122">
                  <c:v>11.046009559222824</c:v>
                </c:pt>
                <c:pt idx="123">
                  <c:v>11.122194644056975</c:v>
                </c:pt>
                <c:pt idx="124">
                  <c:v>11.197381777808582</c:v>
                </c:pt>
                <c:pt idx="125">
                  <c:v>11.271587581394403</c:v>
                </c:pt>
                <c:pt idx="126">
                  <c:v>11.344828208959408</c:v>
                </c:pt>
                <c:pt idx="127">
                  <c:v>11.417119365372185</c:v>
                </c:pt>
                <c:pt idx="128">
                  <c:v>11.488476322944907</c:v>
                </c:pt>
                <c:pt idx="129">
                  <c:v>11.558913937417847</c:v>
                </c:pt>
                <c:pt idx="130">
                  <c:v>11.628446663246251</c:v>
                </c:pt>
                <c:pt idx="131">
                  <c:v>11.697088568224849</c:v>
                </c:pt>
                <c:pt idx="132">
                  <c:v>11.764853347483639</c:v>
                </c:pt>
                <c:pt idx="133">
                  <c:v>11.831754336886313</c:v>
                </c:pt>
                <c:pt idx="134">
                  <c:v>11.89780452586113</c:v>
                </c:pt>
                <c:pt idx="135">
                  <c:v>11.963016569692201</c:v>
                </c:pt>
                <c:pt idx="136">
                  <c:v>12.027402801297722</c:v>
                </c:pt>
                <c:pt idx="137">
                  <c:v>12.090975242520056</c:v>
                </c:pt>
                <c:pt idx="138">
                  <c:v>12.153745614951273</c:v>
                </c:pt>
                <c:pt idx="139">
                  <c:v>12.215725350316431</c:v>
                </c:pt>
                <c:pt idx="140">
                  <c:v>12.276925600435632</c:v>
                </c:pt>
                <c:pt idx="141">
                  <c:v>12.337357246784777</c:v>
                </c:pt>
                <c:pt idx="142">
                  <c:v>12.397030909673818</c:v>
                </c:pt>
                <c:pt idx="143">
                  <c:v>12.455956957060316</c:v>
                </c:pt>
                <c:pt idx="144">
                  <c:v>12.514145513015194</c:v>
                </c:pt>
                <c:pt idx="145">
                  <c:v>12.571606465856537</c:v>
                </c:pt>
                <c:pt idx="146">
                  <c:v>12.628349475966729</c:v>
                </c:pt>
                <c:pt idx="147">
                  <c:v>12.684383983306963</c:v>
                </c:pt>
                <c:pt idx="148">
                  <c:v>12.739719214643017</c:v>
                </c:pt>
                <c:pt idx="149">
                  <c:v>12.794364190494889</c:v>
                </c:pt>
                <c:pt idx="150">
                  <c:v>12.848327731822621</c:v>
                </c:pt>
                <c:pt idx="151">
                  <c:v>12.901618466459855</c:v>
                </c:pt>
                <c:pt idx="152">
                  <c:v>12.95424483530609</c:v>
                </c:pt>
                <c:pt idx="153">
                  <c:v>13.006215098288123</c:v>
                </c:pt>
                <c:pt idx="154">
                  <c:v>13.05753734010046</c:v>
                </c:pt>
                <c:pt idx="155">
                  <c:v>13.10821947573424</c:v>
                </c:pt>
                <c:pt idx="156">
                  <c:v>13.158269255803546</c:v>
                </c:pt>
                <c:pt idx="157">
                  <c:v>13.207694271677576</c:v>
                </c:pt>
                <c:pt idx="158">
                  <c:v>13.256501960426837</c:v>
                </c:pt>
                <c:pt idx="159">
                  <c:v>13.304699609590982</c:v>
                </c:pt>
                <c:pt idx="160">
                  <c:v>13.352294361775678</c:v>
                </c:pt>
                <c:pt idx="161">
                  <c:v>13.399293219085372</c:v>
                </c:pt>
                <c:pt idx="162">
                  <c:v>13.445703047398748</c:v>
                </c:pt>
                <c:pt idx="163">
                  <c:v>13.491530580493038</c:v>
                </c:pt>
                <c:pt idx="164">
                  <c:v>13.536782424023301</c:v>
                </c:pt>
                <c:pt idx="165">
                  <c:v>13.581465059362422</c:v>
                </c:pt>
                <c:pt idx="166">
                  <c:v>13.625584847307277</c:v>
                </c:pt>
                <c:pt idx="167">
                  <c:v>13.66914803165626</c:v>
                </c:pt>
                <c:pt idx="168">
                  <c:v>13.712160742663283</c:v>
                </c:pt>
                <c:pt idx="169">
                  <c:v>13.75462900037283</c:v>
                </c:pt>
                <c:pt idx="170">
                  <c:v>13.796558717840803</c:v>
                </c:pt>
                <c:pt idx="171">
                  <c:v>13.837955704245337</c:v>
                </c:pt>
                <c:pt idx="172">
                  <c:v>13.878825667891832</c:v>
                </c:pt>
                <c:pt idx="173">
                  <c:v>13.919174219116165</c:v>
                </c:pt>
                <c:pt idx="174">
                  <c:v>13.959006873089816</c:v>
                </c:pt>
                <c:pt idx="175">
                  <c:v>13.998329052530636</c:v>
                </c:pt>
                <c:pt idx="176">
                  <c:v>14.037146090322556</c:v>
                </c:pt>
                <c:pt idx="177">
                  <c:v>14.075463232047831</c:v>
                </c:pt>
                <c:pt idx="178">
                  <c:v>14.113285638434682</c:v>
                </c:pt>
                <c:pt idx="179">
                  <c:v>14.150618387723672</c:v>
                </c:pt>
                <c:pt idx="180">
                  <c:v>14.187466477955519</c:v>
                </c:pt>
                <c:pt idx="181">
                  <c:v>14.223834829183286</c:v>
                </c:pt>
                <c:pt idx="182">
                  <c:v>14.259728285611557</c:v>
                </c:pt>
                <c:pt idx="183">
                  <c:v>14.295151617665194</c:v>
                </c:pt>
                <c:pt idx="184">
                  <c:v>14.330109523990163</c:v>
                </c:pt>
                <c:pt idx="185">
                  <c:v>14.36460663338873</c:v>
                </c:pt>
                <c:pt idx="186">
                  <c:v>14.398647506691404</c:v>
                </c:pt>
                <c:pt idx="187">
                  <c:v>14.432236638567728</c:v>
                </c:pt>
                <c:pt idx="188">
                  <c:v>14.465378459278044</c:v>
                </c:pt>
                <c:pt idx="189">
                  <c:v>14.498077336368251</c:v>
                </c:pt>
                <c:pt idx="190">
                  <c:v>14.530337576309488</c:v>
                </c:pt>
                <c:pt idx="191">
                  <c:v>14.56216342608462</c:v>
                </c:pt>
                <c:pt idx="192">
                  <c:v>14.593559074723252</c:v>
                </c:pt>
                <c:pt idx="193">
                  <c:v>14.624528654787156</c:v>
                </c:pt>
                <c:pt idx="194">
                  <c:v>14.655076243807517</c:v>
                </c:pt>
                <c:pt idx="195">
                  <c:v>14.685205865675911</c:v>
                </c:pt>
                <c:pt idx="196">
                  <c:v>14.714921491990182</c:v>
                </c:pt>
                <c:pt idx="197">
                  <c:v>14.744227043357112</c:v>
                </c:pt>
                <c:pt idx="198">
                  <c:v>14.773126390652902</c:v>
                </c:pt>
                <c:pt idx="199">
                  <c:v>14.801623356243214</c:v>
                </c:pt>
                <c:pt idx="200">
                  <c:v>14.829721715163778</c:v>
                </c:pt>
                <c:pt idx="201">
                  <c:v>14.857425196263087</c:v>
                </c:pt>
                <c:pt idx="202">
                  <c:v>14.884737483308275</c:v>
                </c:pt>
                <c:pt idx="203">
                  <c:v>14.911662216055401</c:v>
                </c:pt>
                <c:pt idx="204">
                  <c:v>14.938202991285344</c:v>
                </c:pt>
                <c:pt idx="205">
                  <c:v>14.964363363806319</c:v>
                </c:pt>
                <c:pt idx="206">
                  <c:v>14.990146847424191</c:v>
                </c:pt>
                <c:pt idx="207">
                  <c:v>15.015556915881508</c:v>
                </c:pt>
                <c:pt idx="208">
                  <c:v>15.040597003766415</c:v>
                </c:pt>
                <c:pt idx="209">
                  <c:v>15.065270507392185</c:v>
                </c:pt>
                <c:pt idx="210">
                  <c:v>15.089580785648574</c:v>
                </c:pt>
                <c:pt idx="211">
                  <c:v>15.113531160825662</c:v>
                </c:pt>
                <c:pt idx="212">
                  <c:v>15.137124919411191</c:v>
                </c:pt>
                <c:pt idx="213">
                  <c:v>15.160365312862245</c:v>
                </c:pt>
                <c:pt idx="214">
                  <c:v>15.183255558351991</c:v>
                </c:pt>
                <c:pt idx="215">
                  <c:v>15.205798839492406</c:v>
                </c:pt>
                <c:pt idx="216">
                  <c:v>15.227998307033628</c:v>
                </c:pt>
                <c:pt idx="217">
                  <c:v>15.249857079540787</c:v>
                </c:pt>
                <c:pt idx="218">
                  <c:v>15.271378244048952</c:v>
                </c:pt>
                <c:pt idx="219">
                  <c:v>15.292564856696929</c:v>
                </c:pt>
                <c:pt idx="220">
                  <c:v>15.313419943340584</c:v>
                </c:pt>
                <c:pt idx="221">
                  <c:v>15.333946500146336</c:v>
                </c:pt>
                <c:pt idx="222">
                  <c:v>15.354147494165433</c:v>
                </c:pt>
                <c:pt idx="223">
                  <c:v>15.374025863889685</c:v>
                </c:pt>
                <c:pt idx="224">
                  <c:v>15.393584519789187</c:v>
                </c:pt>
                <c:pt idx="225">
                  <c:v>15.412826344832633</c:v>
                </c:pt>
                <c:pt idx="226">
                  <c:v>15.58843444853988</c:v>
                </c:pt>
                <c:pt idx="227">
                  <c:v>15.735343988887161</c:v>
                </c:pt>
                <c:pt idx="228">
                  <c:v>15.856049649782895</c:v>
                </c:pt>
                <c:pt idx="229">
                  <c:v>15.952849946678651</c:v>
                </c:pt>
                <c:pt idx="230">
                  <c:v>16.027869017552391</c:v>
                </c:pt>
                <c:pt idx="231">
                  <c:v>16.083072731757738</c:v>
                </c:pt>
                <c:pt idx="232">
                  <c:v>16.120280960967058</c:v>
                </c:pt>
                <c:pt idx="233">
                  <c:v>16.14117734374879</c:v>
                </c:pt>
                <c:pt idx="234">
                  <c:v>16.147317481608248</c:v>
                </c:pt>
                <c:pt idx="235">
                  <c:v>16.140136204473706</c:v>
                </c:pt>
                <c:pt idx="236">
                  <c:v>16.120954319061045</c:v>
                </c:pt>
                <c:pt idx="237">
                  <c:v>16.090985089497266</c:v>
                </c:pt>
                <c:pt idx="238">
                  <c:v>16.051340583627727</c:v>
                </c:pt>
                <c:pt idx="239">
                  <c:v>16.003037939990776</c:v>
                </c:pt>
                <c:pt idx="240">
                  <c:v>15.947005560515883</c:v>
                </c:pt>
                <c:pt idx="241">
                  <c:v>15.884089205069994</c:v>
                </c:pt>
                <c:pt idx="242">
                  <c:v>15.815057949923222</c:v>
                </c:pt>
                <c:pt idx="243">
                  <c:v>15.740609968199376</c:v>
                </c:pt>
                <c:pt idx="244">
                  <c:v>15.661378092728055</c:v>
                </c:pt>
                <c:pt idx="245">
                  <c:v>15.577935127707034</c:v>
                </c:pt>
                <c:pt idx="246">
                  <c:v>15.490798883293913</c:v>
                </c:pt>
                <c:pt idx="247">
                  <c:v>15.400436915382008</c:v>
                </c:pt>
                <c:pt idx="248">
                  <c:v>15.307270960561768</c:v>
                </c:pt>
                <c:pt idx="249">
                  <c:v>15.211681063157787</c:v>
                </c:pt>
                <c:pt idx="250">
                  <c:v>15.114009397043418</c:v>
                </c:pt>
                <c:pt idx="251">
                  <c:v>15.014563789610275</c:v>
                </c:pt>
                <c:pt idx="252">
                  <c:v>14.913620958856164</c:v>
                </c:pt>
                <c:pt idx="253">
                  <c:v>14.811429477155215</c:v>
                </c:pt>
                <c:pt idx="254">
                  <c:v>14.708212477022034</c:v>
                </c:pt>
                <c:pt idx="255">
                  <c:v>14.604170115217642</c:v>
                </c:pt>
                <c:pt idx="256">
                  <c:v>14.49948181200577</c:v>
                </c:pt>
                <c:pt idx="257">
                  <c:v>14.394308282377251</c:v>
                </c:pt>
                <c:pt idx="258">
                  <c:v>14.288793375727234</c:v>
                </c:pt>
                <c:pt idx="259">
                  <c:v>14.183065739886874</c:v>
                </c:pt>
                <c:pt idx="260">
                  <c:v>14.077240324654136</c:v>
                </c:pt>
                <c:pt idx="261">
                  <c:v>13.971419739099353</c:v>
                </c:pt>
                <c:pt idx="262">
                  <c:v>13.865695475988247</c:v>
                </c:pt>
                <c:pt idx="263">
                  <c:v>13.760149015706205</c:v>
                </c:pt>
                <c:pt idx="264">
                  <c:v>13.654852821110525</c:v>
                </c:pt>
                <c:pt idx="265">
                  <c:v>13.549871233802477</c:v>
                </c:pt>
                <c:pt idx="266">
                  <c:v>13.44526128141352</c:v>
                </c:pt>
                <c:pt idx="267">
                  <c:v>13.341073404648451</c:v>
                </c:pt>
                <c:pt idx="268">
                  <c:v>13.237352112029338</c:v>
                </c:pt>
                <c:pt idx="269">
                  <c:v>13.134136569540477</c:v>
                </c:pt>
                <c:pt idx="270">
                  <c:v>13.031461131687028</c:v>
                </c:pt>
                <c:pt idx="271">
                  <c:v>12.929355819848089</c:v>
                </c:pt>
                <c:pt idx="272">
                  <c:v>12.827846753226728</c:v>
                </c:pt>
                <c:pt idx="273">
                  <c:v>12.726956537172587</c:v>
                </c:pt>
                <c:pt idx="274">
                  <c:v>12.626704613173889</c:v>
                </c:pt>
                <c:pt idx="275">
                  <c:v>12.527107574382084</c:v>
                </c:pt>
                <c:pt idx="276">
                  <c:v>12.4281794501404</c:v>
                </c:pt>
                <c:pt idx="277">
                  <c:v>12.329931962633971</c:v>
                </c:pt>
                <c:pt idx="278">
                  <c:v>12.232374758460697</c:v>
                </c:pt>
                <c:pt idx="279">
                  <c:v>12.135515617635628</c:v>
                </c:pt>
                <c:pt idx="280">
                  <c:v>12.039360642284102</c:v>
                </c:pt>
                <c:pt idx="281">
                  <c:v>11.943914427048005</c:v>
                </c:pt>
                <c:pt idx="282">
                  <c:v>11.84918021302197</c:v>
                </c:pt>
                <c:pt idx="283">
                  <c:v>11.75516002685062</c:v>
                </c:pt>
                <c:pt idx="284">
                  <c:v>11.661854806451275</c:v>
                </c:pt>
                <c:pt idx="285">
                  <c:v>11.569264514677254</c:v>
                </c:pt>
                <c:pt idx="286">
                  <c:v>11.477388242103126</c:v>
                </c:pt>
                <c:pt idx="287">
                  <c:v>11.386224299993508</c:v>
                </c:pt>
                <c:pt idx="288">
                  <c:v>11.295770304409578</c:v>
                </c:pt>
                <c:pt idx="289">
                  <c:v>11.206023252311386</c:v>
                </c:pt>
                <c:pt idx="290">
                  <c:v>11.116979590427775</c:v>
                </c:pt>
                <c:pt idx="291">
                  <c:v>11.02863527758859</c:v>
                </c:pt>
                <c:pt idx="292">
                  <c:v>10.940985841144551</c:v>
                </c:pt>
                <c:pt idx="293">
                  <c:v>10.854026428038186</c:v>
                </c:pt>
                <c:pt idx="294">
                  <c:v>10.76775185103334</c:v>
                </c:pt>
                <c:pt idx="295">
                  <c:v>10.682156630561099</c:v>
                </c:pt>
                <c:pt idx="296">
                  <c:v>10.597235032594817</c:v>
                </c:pt>
                <c:pt idx="297">
                  <c:v>10.512981102926926</c:v>
                </c:pt>
                <c:pt idx="298">
                  <c:v>10.429388698183821</c:v>
                </c:pt>
                <c:pt idx="299">
                  <c:v>10.346451513882723</c:v>
                </c:pt>
                <c:pt idx="300">
                  <c:v>10.26416310980512</c:v>
                </c:pt>
                <c:pt idx="301">
                  <c:v>10.182516932935087</c:v>
                </c:pt>
                <c:pt idx="302">
                  <c:v>10.101506338187168</c:v>
                </c:pt>
                <c:pt idx="303">
                  <c:v>10.021124607127012</c:v>
                </c:pt>
                <c:pt idx="304">
                  <c:v>9.9413649648690203</c:v>
                </c:pt>
                <c:pt idx="305">
                  <c:v>9.8622205953176501</c:v>
                </c:pt>
                <c:pt idx="306">
                  <c:v>9.7836846549035883</c:v>
                </c:pt>
                <c:pt idx="307">
                  <c:v>9.7057502849519359</c:v>
                </c:pt>
                <c:pt idx="308">
                  <c:v>9.6284106228065767</c:v>
                </c:pt>
                <c:pt idx="309">
                  <c:v>9.5516588118238079</c:v>
                </c:pt>
                <c:pt idx="310">
                  <c:v>9.4754880103375285</c:v>
                </c:pt>
                <c:pt idx="311">
                  <c:v>9.399891399689146</c:v>
                </c:pt>
                <c:pt idx="312">
                  <c:v>9.3248621914067602</c:v>
                </c:pt>
                <c:pt idx="313">
                  <c:v>9.2503936336105568</c:v>
                </c:pt>
                <c:pt idx="314">
                  <c:v>9.176479016714282</c:v>
                </c:pt>
                <c:pt idx="315">
                  <c:v>9.103111678486508</c:v>
                </c:pt>
                <c:pt idx="316">
                  <c:v>9.0302850085294502</c:v>
                </c:pt>
                <c:pt idx="317">
                  <c:v>8.9579924522282504</c:v>
                </c:pt>
                <c:pt idx="318">
                  <c:v>8.8862275142185734</c:v>
                </c:pt>
                <c:pt idx="319">
                  <c:v>8.8149837614163289</c:v>
                </c:pt>
                <c:pt idx="320">
                  <c:v>8.7442548256493762</c:v>
                </c:pt>
                <c:pt idx="321">
                  <c:v>8.6740344059275252</c:v>
                </c:pt>
                <c:pt idx="322">
                  <c:v>8.6043162703840039</c:v>
                </c:pt>
                <c:pt idx="323">
                  <c:v>8.535094257918594</c:v>
                </c:pt>
                <c:pt idx="324">
                  <c:v>8.4663622795699318</c:v>
                </c:pt>
                <c:pt idx="325">
                  <c:v>8.3981143196422821</c:v>
                </c:pt>
                <c:pt idx="326">
                  <c:v>8.3303444366095611</c:v>
                </c:pt>
                <c:pt idx="327">
                  <c:v>8.2630467638177141</c:v>
                </c:pt>
                <c:pt idx="328">
                  <c:v>8.1962155100044853</c:v>
                </c:pt>
                <c:pt idx="329">
                  <c:v>8.1298449596540507</c:v>
                </c:pt>
                <c:pt idx="330">
                  <c:v>8.0639294732025508</c:v>
                </c:pt>
                <c:pt idx="331">
                  <c:v>7.9984634871089657</c:v>
                </c:pt>
                <c:pt idx="332">
                  <c:v>7.9334415138047012</c:v>
                </c:pt>
                <c:pt idx="333">
                  <c:v>7.868858141534087</c:v>
                </c:pt>
                <c:pt idx="334">
                  <c:v>7.8047080340967643</c:v>
                </c:pt>
                <c:pt idx="335">
                  <c:v>7.740985930502192</c:v>
                </c:pt>
                <c:pt idx="336">
                  <c:v>7.6776866445455045</c:v>
                </c:pt>
                <c:pt idx="337">
                  <c:v>7.6148050643131491</c:v>
                </c:pt>
                <c:pt idx="338">
                  <c:v>7.5523361516260774</c:v>
                </c:pt>
                <c:pt idx="339">
                  <c:v>7.4902749414274457</c:v>
                </c:pt>
                <c:pt idx="340">
                  <c:v>7.4286165411213725</c:v>
                </c:pt>
                <c:pt idx="341">
                  <c:v>7.3673561298685231</c:v>
                </c:pt>
                <c:pt idx="342">
                  <c:v>7.306488957843924</c:v>
                </c:pt>
                <c:pt idx="343">
                  <c:v>7.2460103454619116</c:v>
                </c:pt>
                <c:pt idx="344">
                  <c:v>7.1859156825725758</c:v>
                </c:pt>
                <c:pt idx="345">
                  <c:v>7.1262004276338766</c:v>
                </c:pt>
                <c:pt idx="346">
                  <c:v>7.066860106863051</c:v>
                </c:pt>
                <c:pt idx="347">
                  <c:v>7.0078903133706874</c:v>
                </c:pt>
                <c:pt idx="348">
                  <c:v>6.9492867062805264</c:v>
                </c:pt>
                <c:pt idx="349">
                  <c:v>6.8910450098377911</c:v>
                </c:pt>
                <c:pt idx="350">
                  <c:v>6.8331610125085627</c:v>
                </c:pt>
                <c:pt idx="351">
                  <c:v>6.7756305660724685</c:v>
                </c:pt>
                <c:pt idx="352">
                  <c:v>6.7184495847107994</c:v>
                </c:pt>
                <c:pt idx="353">
                  <c:v>6.6616140440919285</c:v>
                </c:pt>
                <c:pt idx="354">
                  <c:v>6.6051199804557106</c:v>
                </c:pt>
                <c:pt idx="355">
                  <c:v>6.5489634896984219</c:v>
                </c:pt>
                <c:pt idx="356">
                  <c:v>6.4931407264596519</c:v>
                </c:pt>
                <c:pt idx="357">
                  <c:v>6.4376479032123317</c:v>
                </c:pt>
                <c:pt idx="358">
                  <c:v>6.3824812893570737</c:v>
                </c:pt>
                <c:pt idx="359">
                  <c:v>6.3276372103218073</c:v>
                </c:pt>
                <c:pt idx="360">
                  <c:v>6.273112046667622</c:v>
                </c:pt>
                <c:pt idx="361">
                  <c:v>6.2189022332016064</c:v>
                </c:pt>
                <c:pt idx="362">
                  <c:v>6.1650042580974151</c:v>
                </c:pt>
                <c:pt idx="363">
                  <c:v>6.1114146620241421</c:v>
                </c:pt>
                <c:pt idx="364">
                  <c:v>6.0581300372841449</c:v>
                </c:pt>
                <c:pt idx="365">
                  <c:v>6.0051470269602305</c:v>
                </c:pt>
                <c:pt idx="366">
                  <c:v>5.9524623240726768</c:v>
                </c:pt>
                <c:pt idx="367">
                  <c:v>5.9000726707464066</c:v>
                </c:pt>
                <c:pt idx="368">
                  <c:v>5.8479748573887029</c:v>
                </c:pt>
                <c:pt idx="369">
                  <c:v>5.7961657218776574</c:v>
                </c:pt>
                <c:pt idx="370">
                  <c:v>5.7446421487616437</c:v>
                </c:pt>
                <c:pt idx="371">
                  <c:v>5.6934010684699734</c:v>
                </c:pt>
                <c:pt idx="372">
                  <c:v>5.6424394565348299</c:v>
                </c:pt>
                <c:pt idx="373">
                  <c:v>5.5917543328247401</c:v>
                </c:pt>
                <c:pt idx="374">
                  <c:v>5.5413427607894929</c:v>
                </c:pt>
                <c:pt idx="375">
                  <c:v>5.4912018467167156</c:v>
                </c:pt>
                <c:pt idx="376">
                  <c:v>5.4413287390000509</c:v>
                </c:pt>
                <c:pt idx="377">
                  <c:v>5.3917206274189811</c:v>
                </c:pt>
                <c:pt idx="378">
                  <c:v>5.3423747424303052</c:v>
                </c:pt>
                <c:pt idx="379">
                  <c:v>5.2932883544712093</c:v>
                </c:pt>
                <c:pt idx="380">
                  <c:v>5.2444587732739105</c:v>
                </c:pt>
                <c:pt idx="381">
                  <c:v>5.1958833471918204</c:v>
                </c:pt>
                <c:pt idx="382">
                  <c:v>5.147559462537151</c:v>
                </c:pt>
                <c:pt idx="383">
                  <c:v>5.0994845429298818</c:v>
                </c:pt>
                <c:pt idx="384">
                  <c:v>5.0516560486579998</c:v>
                </c:pt>
                <c:pt idx="385">
                  <c:v>5.0040714760488978</c:v>
                </c:pt>
                <c:pt idx="386">
                  <c:v>4.9567283568518459</c:v>
                </c:pt>
                <c:pt idx="387">
                  <c:v>4.9096242576313909</c:v>
                </c:pt>
                <c:pt idx="388">
                  <c:v>4.8627567791715904</c:v>
                </c:pt>
                <c:pt idx="389">
                  <c:v>4.8161235558909059</c:v>
                </c:pt>
                <c:pt idx="390">
                  <c:v>4.7697222552676841</c:v>
                </c:pt>
                <c:pt idx="391">
                  <c:v>4.7235505772760273</c:v>
                </c:pt>
                <c:pt idx="392">
                  <c:v>4.6776062538319501</c:v>
                </c:pt>
                <c:pt idx="393">
                  <c:v>4.6318870482496397</c:v>
                </c:pt>
                <c:pt idx="394">
                  <c:v>4.586390754707744</c:v>
                </c:pt>
                <c:pt idx="395">
                  <c:v>4.5411151977254365</c:v>
                </c:pt>
                <c:pt idx="396">
                  <c:v>4.4960582316481918</c:v>
                </c:pt>
                <c:pt idx="397">
                  <c:v>4.451217740143079</c:v>
                </c:pt>
                <c:pt idx="398">
                  <c:v>4.4065916357034247</c:v>
                </c:pt>
                <c:pt idx="399">
                  <c:v>4.3621778591626983</c:v>
                </c:pt>
                <c:pt idx="400">
                  <c:v>4.3179743792174632</c:v>
                </c:pt>
                <c:pt idx="401">
                  <c:v>4.2739791919592438</c:v>
                </c:pt>
                <c:pt idx="402">
                  <c:v>4.2301903204151374</c:v>
                </c:pt>
                <c:pt idx="403">
                  <c:v>4.1866058140970495</c:v>
                </c:pt>
                <c:pt idx="404">
                  <c:v>4.1432237485593673</c:v>
                </c:pt>
                <c:pt idx="405">
                  <c:v>4.1000422249649446</c:v>
                </c:pt>
                <c:pt idx="406">
                  <c:v>4.0570593696592354</c:v>
                </c:pt>
                <c:pt idx="407">
                  <c:v>4.014273333752425</c:v>
                </c:pt>
                <c:pt idx="408">
                  <c:v>3.9716822927094486</c:v>
                </c:pt>
                <c:pt idx="409">
                  <c:v>3.9292844459476539</c:v>
                </c:pt>
                <c:pt idx="410">
                  <c:v>3.8870780164421199</c:v>
                </c:pt>
                <c:pt idx="411">
                  <c:v>3.8450612503383286</c:v>
                </c:pt>
                <c:pt idx="412">
                  <c:v>3.8032324165721216</c:v>
                </c:pt>
                <c:pt idx="413">
                  <c:v>3.7615898064968638</c:v>
                </c:pt>
                <c:pt idx="414">
                  <c:v>3.7201317335175448</c:v>
                </c:pt>
                <c:pt idx="415">
                  <c:v>3.6788565327317806</c:v>
                </c:pt>
                <c:pt idx="416">
                  <c:v>3.6377625605775625</c:v>
                </c:pt>
                <c:pt idx="417">
                  <c:v>3.5968481944875914</c:v>
                </c:pt>
                <c:pt idx="418">
                  <c:v>3.556111832550108</c:v>
                </c:pt>
                <c:pt idx="419">
                  <c:v>3.5155518931760583</c:v>
                </c:pt>
                <c:pt idx="420">
                  <c:v>3.4751668147725172</c:v>
                </c:pt>
                <c:pt idx="421">
                  <c:v>3.4349550554221531</c:v>
                </c:pt>
                <c:pt idx="422">
                  <c:v>3.3949150925687546</c:v>
                </c:pt>
                <c:pt idx="423">
                  <c:v>3.3550454227085451</c:v>
                </c:pt>
                <c:pt idx="424">
                  <c:v>3.3153445610873193</c:v>
                </c:pt>
                <c:pt idx="425">
                  <c:v>3.2758110414031134</c:v>
                </c:pt>
                <c:pt idx="426">
                  <c:v>3.2364434155145068</c:v>
                </c:pt>
                <c:pt idx="427">
                  <c:v>3.1972402531542556</c:v>
                </c:pt>
                <c:pt idx="428">
                  <c:v>3.1582001416482535</c:v>
                </c:pt>
                <c:pt idx="429">
                  <c:v>3.1193216856396813</c:v>
                </c:pt>
                <c:pt idx="430">
                  <c:v>3.0806035068182509</c:v>
                </c:pt>
                <c:pt idx="431">
                  <c:v>3.0420442436544426</c:v>
                </c:pt>
                <c:pt idx="432">
                  <c:v>3.0036425511386131</c:v>
                </c:pt>
                <c:pt idx="433">
                  <c:v>2.9653971005249073</c:v>
                </c:pt>
                <c:pt idx="434">
                  <c:v>2.9273065790798656</c:v>
                </c:pt>
                <c:pt idx="435">
                  <c:v>2.8893696898355996</c:v>
                </c:pt>
                <c:pt idx="436">
                  <c:v>2.8515851513475265</c:v>
                </c:pt>
                <c:pt idx="437">
                  <c:v>2.8139516974564662</c:v>
                </c:pt>
                <c:pt idx="438">
                  <c:v>2.7764680770550769</c:v>
                </c:pt>
                <c:pt idx="439">
                  <c:v>2.7391330538585681</c:v>
                </c:pt>
                <c:pt idx="440">
                  <c:v>2.701945406179509</c:v>
                </c:pt>
                <c:pt idx="441">
                  <c:v>2.6649039267067343</c:v>
                </c:pt>
                <c:pt idx="442">
                  <c:v>2.6280074222882588</c:v>
                </c:pt>
                <c:pt idx="443">
                  <c:v>2.5912547137180471</c:v>
                </c:pt>
                <c:pt idx="444">
                  <c:v>2.5546446355266634</c:v>
                </c:pt>
                <c:pt idx="445">
                  <c:v>2.518176035775646</c:v>
                </c:pt>
                <c:pt idx="446">
                  <c:v>2.4818477758555506</c:v>
                </c:pt>
                <c:pt idx="447">
                  <c:v>2.4456587302876192</c:v>
                </c:pt>
                <c:pt idx="448">
                  <c:v>2.4096077865289764</c:v>
                </c:pt>
                <c:pt idx="449">
                  <c:v>2.3736938447812506</c:v>
                </c:pt>
                <c:pt idx="450">
                  <c:v>2.3379158178026578</c:v>
                </c:pt>
                <c:pt idx="451">
                  <c:v>2.3022726307233041</c:v>
                </c:pt>
                <c:pt idx="452">
                  <c:v>2.2667632208638495</c:v>
                </c:pt>
                <c:pt idx="453">
                  <c:v>2.2313865375572957</c:v>
                </c:pt>
                <c:pt idx="454">
                  <c:v>2.1961415419739239</c:v>
                </c:pt>
                <c:pt idx="455">
                  <c:v>2.1610272069493033</c:v>
                </c:pt>
                <c:pt idx="456">
                  <c:v>2.1260425168152826</c:v>
                </c:pt>
                <c:pt idx="457">
                  <c:v>2.0911864672339511</c:v>
                </c:pt>
                <c:pt idx="458">
                  <c:v>2.0564580650344757</c:v>
                </c:pt>
                <c:pt idx="459">
                  <c:v>2.0218563280527584</c:v>
                </c:pt>
                <c:pt idx="460">
                  <c:v>1.9873802849738897</c:v>
                </c:pt>
                <c:pt idx="461">
                  <c:v>1.9530289751772996</c:v>
                </c:pt>
                <c:pt idx="462">
                  <c:v>1.9188014485845761</c:v>
                </c:pt>
                <c:pt idx="463">
                  <c:v>1.8846967655099067</c:v>
                </c:pt>
                <c:pt idx="464">
                  <c:v>1.8507139965130821</c:v>
                </c:pt>
                <c:pt idx="465">
                  <c:v>1.8168522222550034</c:v>
                </c:pt>
                <c:pt idx="466">
                  <c:v>1.7831105333556425</c:v>
                </c:pt>
                <c:pt idx="467">
                  <c:v>1.7494880302544349</c:v>
                </c:pt>
                <c:pt idx="468">
                  <c:v>1.7159838230730515</c:v>
                </c:pt>
                <c:pt idx="469">
                  <c:v>1.6825970314804448</c:v>
                </c:pt>
                <c:pt idx="470">
                  <c:v>1.6493267845602015</c:v>
                </c:pt>
                <c:pt idx="471">
                  <c:v>1.6161722206801497</c:v>
                </c:pt>
                <c:pt idx="472">
                  <c:v>1.5831324873641048</c:v>
                </c:pt>
                <c:pt idx="473">
                  <c:v>1.5502067411657852</c:v>
                </c:pt>
                <c:pt idx="474">
                  <c:v>1.5173941475448567</c:v>
                </c:pt>
                <c:pt idx="475">
                  <c:v>1.4846938807449952</c:v>
                </c:pt>
                <c:pt idx="476">
                  <c:v>1.4521051236740121</c:v>
                </c:pt>
                <c:pt idx="477">
                  <c:v>1.4196270677859411</c:v>
                </c:pt>
                <c:pt idx="478">
                  <c:v>1.387258912965097</c:v>
                </c:pt>
                <c:pt idx="479">
                  <c:v>1.3549998674120165</c:v>
                </c:pt>
                <c:pt idx="480">
                  <c:v>1.322849147531292</c:v>
                </c:pt>
                <c:pt idx="481">
                  <c:v>1.2908059778212628</c:v>
                </c:pt>
                <c:pt idx="482">
                  <c:v>1.2588695907654506</c:v>
                </c:pt>
                <c:pt idx="483">
                  <c:v>1.2270392267258321</c:v>
                </c:pt>
                <c:pt idx="484">
                  <c:v>1.1953141338378095</c:v>
                </c:pt>
                <c:pt idx="485">
                  <c:v>1.1636935679068936</c:v>
                </c:pt>
                <c:pt idx="486">
                  <c:v>1.1321767923070614</c:v>
                </c:pt>
                <c:pt idx="487">
                  <c:v>1.1007630778807513</c:v>
                </c:pt>
                <c:pt idx="488">
                  <c:v>1.0694517028404558</c:v>
                </c:pt>
                <c:pt idx="489">
                  <c:v>1.038241952671932</c:v>
                </c:pt>
                <c:pt idx="490">
                  <c:v>1.0071331200389031</c:v>
                </c:pt>
                <c:pt idx="491">
                  <c:v>0.97612450468935275</c:v>
                </c:pt>
                <c:pt idx="492">
                  <c:v>0.94521541336323966</c:v>
                </c:pt>
                <c:pt idx="493">
                  <c:v>0.91440515970172931</c:v>
                </c:pt>
                <c:pt idx="494">
                  <c:v>0.88369306415784643</c:v>
                </c:pt>
                <c:pt idx="495">
                  <c:v>0.85307845390851966</c:v>
                </c:pt>
                <c:pt idx="496">
                  <c:v>0.82256066276806905</c:v>
                </c:pt>
                <c:pt idx="497">
                  <c:v>0.79213903110298056</c:v>
                </c:pt>
                <c:pt idx="498">
                  <c:v>0.76181290574807337</c:v>
                </c:pt>
                <c:pt idx="499">
                  <c:v>0.73158163992394543</c:v>
                </c:pt>
                <c:pt idx="500">
                  <c:v>0.70144459315572538</c:v>
                </c:pt>
                <c:pt idx="501">
                  <c:v>0.67140113119306133</c:v>
                </c:pt>
                <c:pt idx="502">
                  <c:v>0.64145062593140767</c:v>
                </c:pt>
                <c:pt idx="503">
                  <c:v>0.61159245533444828</c:v>
                </c:pt>
                <c:pt idx="504">
                  <c:v>0.58182600335779422</c:v>
                </c:pt>
                <c:pt idx="505">
                  <c:v>0.55215065987379774</c:v>
                </c:pt>
                <c:pt idx="506">
                  <c:v>0.52256582059756962</c:v>
                </c:pt>
                <c:pt idx="507">
                  <c:v>0.49307088701405261</c:v>
                </c:pt>
                <c:pt idx="508">
                  <c:v>0.46366526630633698</c:v>
                </c:pt>
                <c:pt idx="509">
                  <c:v>0.4343483712849136</c:v>
                </c:pt>
                <c:pt idx="510">
                  <c:v>0.40511962031813403</c:v>
                </c:pt>
                <c:pt idx="511">
                  <c:v>0.37597843726363445</c:v>
                </c:pt>
                <c:pt idx="512">
                  <c:v>0.34692425140083022</c:v>
                </c:pt>
                <c:pt idx="513">
                  <c:v>0.31795649736446169</c:v>
                </c:pt>
                <c:pt idx="514">
                  <c:v>0.28907461507905624</c:v>
                </c:pt>
                <c:pt idx="515">
                  <c:v>0.26027804969443946</c:v>
                </c:pt>
                <c:pt idx="516">
                  <c:v>0.23156625152221594</c:v>
                </c:pt>
                <c:pt idx="517">
                  <c:v>0.2029386759731367</c:v>
                </c:pt>
                <c:pt idx="518">
                  <c:v>0.17439478349544232</c:v>
                </c:pt>
                <c:pt idx="519">
                  <c:v>0.14593403951413067</c:v>
                </c:pt>
                <c:pt idx="520">
                  <c:v>0.11755591437107807</c:v>
                </c:pt>
                <c:pt idx="521">
                  <c:v>8.9259883266100834E-2</c:v>
                </c:pt>
                <c:pt idx="522">
                  <c:v>6.1045426198827316E-2</c:v>
                </c:pt>
                <c:pt idx="523">
                  <c:v>3.2912027911472422E-2</c:v>
                </c:pt>
                <c:pt idx="524">
                  <c:v>4.8591778324048587E-3</c:v>
                </c:pt>
                <c:pt idx="525">
                  <c:v>-2.3113629979416586E-2</c:v>
                </c:pt>
                <c:pt idx="526">
                  <c:v>-5.1006896889224315E-2</c:v>
                </c:pt>
                <c:pt idx="527">
                  <c:v>-7.8821119740429754E-2</c:v>
                </c:pt>
                <c:pt idx="528">
                  <c:v>-0.10655679090780834</c:v>
                </c:pt>
                <c:pt idx="529">
                  <c:v>-0.13421439834994772</c:v>
                </c:pt>
                <c:pt idx="530">
                  <c:v>-0.16179442566089597</c:v>
                </c:pt>
                <c:pt idx="531">
                  <c:v>-0.18929735212110596</c:v>
                </c:pt>
                <c:pt idx="532">
                  <c:v>-0.21672365274763744</c:v>
                </c:pt>
                <c:pt idx="533">
                  <c:v>-0.24407379834362192</c:v>
                </c:pt>
                <c:pt idx="534">
                  <c:v>-0.27134825554705411</c:v>
                </c:pt>
                <c:pt idx="535">
                  <c:v>-0.29854748687886101</c:v>
                </c:pt>
                <c:pt idx="536">
                  <c:v>-0.32567195079030414</c:v>
                </c:pt>
                <c:pt idx="537">
                  <c:v>-0.35272210170971258</c:v>
                </c:pt>
                <c:pt idx="538">
                  <c:v>-0.37969839008853989</c:v>
                </c:pt>
                <c:pt idx="539">
                  <c:v>-0.40660126244678219</c:v>
                </c:pt>
                <c:pt idx="540">
                  <c:v>-0.43343116141776328</c:v>
                </c:pt>
                <c:pt idx="541">
                  <c:v>-0.4601885257922852</c:v>
                </c:pt>
                <c:pt idx="542">
                  <c:v>-0.48687379056215441</c:v>
                </c:pt>
                <c:pt idx="543">
                  <c:v>-0.51348738696312413</c:v>
                </c:pt>
                <c:pt idx="544">
                  <c:v>-0.54002974251720826</c:v>
                </c:pt>
                <c:pt idx="545">
                  <c:v>-0.56650128107443387</c:v>
                </c:pt>
                <c:pt idx="546">
                  <c:v>-0.59290242285400996</c:v>
                </c:pt>
                <c:pt idx="547">
                  <c:v>-0.61923358448489352</c:v>
                </c:pt>
                <c:pt idx="548">
                  <c:v>-0.64549517904588516</c:v>
                </c:pt>
                <c:pt idx="549">
                  <c:v>-0.67168761610505334</c:v>
                </c:pt>
                <c:pt idx="550">
                  <c:v>-0.69781130175872197</c:v>
                </c:pt>
                <c:pt idx="551">
                  <c:v>-0.72386663866987178</c:v>
                </c:pt>
                <c:pt idx="552">
                  <c:v>-0.74985402610602148</c:v>
                </c:pt>
                <c:pt idx="553">
                  <c:v>-0.7757738599766193</c:v>
                </c:pt>
                <c:pt idx="554">
                  <c:v>-0.80162653286989782</c:v>
                </c:pt>
                <c:pt idx="555">
                  <c:v>-0.82741243408924503</c:v>
                </c:pt>
                <c:pt idx="556">
                  <c:v>-0.85313194968909589</c:v>
                </c:pt>
                <c:pt idx="557">
                  <c:v>-0.87878546251029355</c:v>
                </c:pt>
                <c:pt idx="558">
                  <c:v>-0.90437335221505666</c:v>
                </c:pt>
                <c:pt idx="559">
                  <c:v>-0.92989599532138267</c:v>
                </c:pt>
                <c:pt idx="560">
                  <c:v>-0.95535376523707494</c:v>
                </c:pt>
                <c:pt idx="561">
                  <c:v>-0.98074703229325011</c:v>
                </c:pt>
                <c:pt idx="562">
                  <c:v>-1.0060761637774587</c:v>
                </c:pt>
                <c:pt idx="563">
                  <c:v>-1.0313415239663151</c:v>
                </c:pt>
                <c:pt idx="564">
                  <c:v>-1.0565434741577271</c:v>
                </c:pt>
                <c:pt idx="565">
                  <c:v>-1.0816823727026985</c:v>
                </c:pt>
                <c:pt idx="566">
                  <c:v>-1.1067585750366837</c:v>
                </c:pt>
                <c:pt idx="567">
                  <c:v>-1.1317724337105759</c:v>
                </c:pt>
                <c:pt idx="568">
                  <c:v>-1.1567242984212365</c:v>
                </c:pt>
                <c:pt idx="569">
                  <c:v>-1.1816145160416871</c:v>
                </c:pt>
                <c:pt idx="570">
                  <c:v>-1.2064434306508478</c:v>
                </c:pt>
                <c:pt idx="571">
                  <c:v>-1.2312113835629253</c:v>
                </c:pt>
                <c:pt idx="572">
                  <c:v>-1.2559187133564096</c:v>
                </c:pt>
                <c:pt idx="573">
                  <c:v>-1.2805657559026897</c:v>
                </c:pt>
                <c:pt idx="574">
                  <c:v>-1.3051528443943117</c:v>
                </c:pt>
                <c:pt idx="575">
                  <c:v>-1.3296803093728564</c:v>
                </c:pt>
                <c:pt idx="576">
                  <c:v>-1.3541484787564784</c:v>
                </c:pt>
                <c:pt idx="577">
                  <c:v>-1.3785576778670718</c:v>
                </c:pt>
                <c:pt idx="578">
                  <c:v>-1.4029082294571014</c:v>
                </c:pt>
                <c:pt idx="579">
                  <c:v>-1.4272004537360963</c:v>
                </c:pt>
                <c:pt idx="580">
                  <c:v>-1.4514346683967803</c:v>
                </c:pt>
                <c:pt idx="581">
                  <c:v>-1.4756111886409</c:v>
                </c:pt>
                <c:pt idx="582">
                  <c:v>-1.499730327204708</c:v>
                </c:pt>
                <c:pt idx="583">
                  <c:v>-1.5237923943841429</c:v>
                </c:pt>
                <c:pt idx="584">
                  <c:v>-1.5477976980596448</c:v>
                </c:pt>
                <c:pt idx="585">
                  <c:v>-1.5717465437207381</c:v>
                </c:pt>
                <c:pt idx="586">
                  <c:v>-1.5956392344902199</c:v>
                </c:pt>
                <c:pt idx="587">
                  <c:v>-1.6194760711480951</c:v>
                </c:pt>
                <c:pt idx="588">
                  <c:v>-1.6432573521552198</c:v>
                </c:pt>
                <c:pt idx="589">
                  <c:v>-1.6669833736766133</c:v>
                </c:pt>
                <c:pt idx="590">
                  <c:v>-1.6906544296044992</c:v>
                </c:pt>
                <c:pt idx="591">
                  <c:v>-1.7142708115810634</c:v>
                </c:pt>
                <c:pt idx="592">
                  <c:v>-1.7378328090209543</c:v>
                </c:pt>
                <c:pt idx="593">
                  <c:v>-1.7613407091334199</c:v>
                </c:pt>
                <c:pt idx="594">
                  <c:v>-1.7847947969442925</c:v>
                </c:pt>
                <c:pt idx="595">
                  <c:v>-1.8081953553175913</c:v>
                </c:pt>
                <c:pt idx="596">
                  <c:v>-1.8315426649769524</c:v>
                </c:pt>
                <c:pt idx="597">
                  <c:v>-1.8548370045267206</c:v>
                </c:pt>
                <c:pt idx="598">
                  <c:v>-1.8780786504728328</c:v>
                </c:pt>
                <c:pt idx="599">
                  <c:v>-1.9012678772434353</c:v>
                </c:pt>
                <c:pt idx="600">
                  <c:v>-1.9244049572092319</c:v>
                </c:pt>
                <c:pt idx="601">
                  <c:v>-1.9474901607036212</c:v>
                </c:pt>
                <c:pt idx="602">
                  <c:v>-1.9705237560425395</c:v>
                </c:pt>
                <c:pt idx="603">
                  <c:v>-1.9935060095441277</c:v>
                </c:pt>
                <c:pt idx="604">
                  <c:v>-2.0164371855481051</c:v>
                </c:pt>
                <c:pt idx="605">
                  <c:v>-2.0393175464349431</c:v>
                </c:pt>
                <c:pt idx="606">
                  <c:v>-3.1238257573683166</c:v>
                </c:pt>
                <c:pt idx="607">
                  <c:v>-4.1085802546803798</c:v>
                </c:pt>
                <c:pt idx="608">
                  <c:v>-5.0133184361563385</c:v>
                </c:pt>
                <c:pt idx="609">
                  <c:v>-5.8525791822413069</c:v>
                </c:pt>
                <c:pt idx="610">
                  <c:v>-6.6373464718951904</c:v>
                </c:pt>
                <c:pt idx="611">
                  <c:v>-7.3760937209964448</c:v>
                </c:pt>
                <c:pt idx="612">
                  <c:v>-8.0754731248881821</c:v>
                </c:pt>
                <c:pt idx="613">
                  <c:v>-8.740785610417765</c:v>
                </c:pt>
                <c:pt idx="614">
                  <c:v>-9.3763101946882585</c:v>
                </c:pt>
                <c:pt idx="615">
                  <c:v>-9.985540371921612</c:v>
                </c:pt>
                <c:pt idx="616">
                  <c:v>-10.57135730814956</c:v>
                </c:pt>
                <c:pt idx="617">
                  <c:v>-11.136159033305606</c:v>
                </c:pt>
                <c:pt idx="618">
                  <c:v>-11.355439280875954</c:v>
                </c:pt>
                <c:pt idx="619">
                  <c:v>-11.571808545506743</c:v>
                </c:pt>
                <c:pt idx="620">
                  <c:v>-11.785375247035306</c:v>
                </c:pt>
                <c:pt idx="621">
                  <c:v>-11.996240930221679</c:v>
                </c:pt>
                <c:pt idx="622">
                  <c:v>-12.204500811158834</c:v>
                </c:pt>
                <c:pt idx="623">
                  <c:v>-12.410244273331337</c:v>
                </c:pt>
                <c:pt idx="624">
                  <c:v>-12.613555318671308</c:v>
                </c:pt>
                <c:pt idx="625">
                  <c:v>-12.814512978306624</c:v>
                </c:pt>
                <c:pt idx="626">
                  <c:v>-13.013191687133556</c:v>
                </c:pt>
                <c:pt idx="627">
                  <c:v>-13.209661625859306</c:v>
                </c:pt>
                <c:pt idx="628">
                  <c:v>-13.403989033739034</c:v>
                </c:pt>
                <c:pt idx="629">
                  <c:v>-13.596236494865595</c:v>
                </c:pt>
                <c:pt idx="630">
                  <c:v>-13.786463200551706</c:v>
                </c:pt>
                <c:pt idx="631">
                  <c:v>-13.974725190065813</c:v>
                </c:pt>
                <c:pt idx="632">
                  <c:v>-14.161075571739346</c:v>
                </c:pt>
                <c:pt idx="633">
                  <c:v>-14.345564726249211</c:v>
                </c:pt>
                <c:pt idx="634">
                  <c:v>-14.528240493691202</c:v>
                </c:pt>
                <c:pt idx="635">
                  <c:v>-14.709148345894461</c:v>
                </c:pt>
                <c:pt idx="636">
                  <c:v>-14.888331545280289</c:v>
                </c:pt>
                <c:pt idx="637">
                  <c:v>-15.065831291439189</c:v>
                </c:pt>
                <c:pt idx="638">
                  <c:v>-15.241686856484788</c:v>
                </c:pt>
                <c:pt idx="639">
                  <c:v>-15.415935710140918</c:v>
                </c:pt>
                <c:pt idx="640">
                  <c:v>-15.588613635427141</c:v>
                </c:pt>
                <c:pt idx="641">
                  <c:v>-15.759754835726504</c:v>
                </c:pt>
                <c:pt idx="642">
                  <c:v>-15.929392033946652</c:v>
                </c:pt>
                <c:pt idx="643">
                  <c:v>-16.097556564420234</c:v>
                </c:pt>
                <c:pt idx="644">
                  <c:v>-16.264278458132132</c:v>
                </c:pt>
                <c:pt idx="645">
                  <c:v>-16.429586521808496</c:v>
                </c:pt>
                <c:pt idx="646">
                  <c:v>-16.59350841135533</c:v>
                </c:pt>
                <c:pt idx="647">
                  <c:v>-16.756070700091584</c:v>
                </c:pt>
                <c:pt idx="648">
                  <c:v>-16.91729894218355</c:v>
                </c:pt>
                <c:pt idx="649">
                  <c:v>-17.07721773165224</c:v>
                </c:pt>
                <c:pt idx="650">
                  <c:v>-17.235850757294187</c:v>
                </c:pt>
                <c:pt idx="651">
                  <c:v>-17.393220853827486</c:v>
                </c:pt>
                <c:pt idx="652">
                  <c:v>-17.549350049548828</c:v>
                </c:pt>
                <c:pt idx="653">
                  <c:v>-17.704259610764129</c:v>
                </c:pt>
                <c:pt idx="654">
                  <c:v>-17.857970083233582</c:v>
                </c:pt>
                <c:pt idx="655">
                  <c:v>-18.010501330852559</c:v>
                </c:pt>
                <c:pt idx="656">
                  <c:v>-18.161872571772204</c:v>
                </c:pt>
                <c:pt idx="657">
                  <c:v>-18.312102412147041</c:v>
                </c:pt>
                <c:pt idx="658">
                  <c:v>-18.461208877682395</c:v>
                </c:pt>
                <c:pt idx="659">
                  <c:v>-18.609209443140628</c:v>
                </c:pt>
                <c:pt idx="660">
                  <c:v>-18.756121059952974</c:v>
                </c:pt>
                <c:pt idx="661">
                  <c:v>-18.901960182072358</c:v>
                </c:pt>
                <c:pt idx="662">
                  <c:v>-19.046742790192102</c:v>
                </c:pt>
                <c:pt idx="663">
                  <c:v>-19.190484414446054</c:v>
                </c:pt>
                <c:pt idx="664">
                  <c:v>-19.333200155696659</c:v>
                </c:pt>
                <c:pt idx="665">
                  <c:v>-19.474904705509751</c:v>
                </c:pt>
                <c:pt idx="666">
                  <c:v>-19.615612364907186</c:v>
                </c:pt>
                <c:pt idx="667">
                  <c:v>-19.755337061981731</c:v>
                </c:pt>
              </c:numCache>
            </c:numRef>
          </c:yVal>
          <c:smooth val="1"/>
          <c:extLst>
            <c:ext xmlns:c16="http://schemas.microsoft.com/office/drawing/2014/chart" uri="{C3380CC4-5D6E-409C-BE32-E72D297353CC}">
              <c16:uniqueId val="{00000000-2A10-41EA-A3AE-967165122F16}"/>
            </c:ext>
          </c:extLst>
        </c:ser>
        <c:ser>
          <c:idx val="0"/>
          <c:order val="2"/>
          <c:tx>
            <c:v>Measured Gain</c:v>
          </c:tx>
          <c:spPr>
            <a:ln w="12700">
              <a:solidFill>
                <a:srgbClr val="000080"/>
              </a:solidFill>
              <a:prstDash val="solid"/>
            </a:ln>
          </c:spPr>
          <c:marker>
            <c:symbol val="diamond"/>
            <c:size val="5"/>
            <c:spPr>
              <a:solidFill>
                <a:srgbClr val="000080"/>
              </a:solidFill>
              <a:ln>
                <a:solidFill>
                  <a:srgbClr val="000080"/>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Calculations'!$BU$10:$BU$409</c:f>
              <c:numCache>
                <c:formatCode>#0.0#</c:formatCode>
                <c:ptCount val="400"/>
                <c:pt idx="0">
                  <c:v>35.359299999999998</c:v>
                </c:pt>
                <c:pt idx="1">
                  <c:v>34.936799999999998</c:v>
                </c:pt>
                <c:pt idx="2">
                  <c:v>34.190800000000003</c:v>
                </c:pt>
                <c:pt idx="3">
                  <c:v>34.477699999999999</c:v>
                </c:pt>
                <c:pt idx="4">
                  <c:v>34.114400000000003</c:v>
                </c:pt>
                <c:pt idx="5">
                  <c:v>34.297699999999999</c:v>
                </c:pt>
                <c:pt idx="6">
                  <c:v>33.346499999999999</c:v>
                </c:pt>
                <c:pt idx="7">
                  <c:v>33.0246</c:v>
                </c:pt>
                <c:pt idx="8">
                  <c:v>33.735999999999997</c:v>
                </c:pt>
                <c:pt idx="9">
                  <c:v>32.764899999999997</c:v>
                </c:pt>
                <c:pt idx="10">
                  <c:v>32.247199999999999</c:v>
                </c:pt>
                <c:pt idx="11">
                  <c:v>32.3142</c:v>
                </c:pt>
                <c:pt idx="12">
                  <c:v>32.155799999999999</c:v>
                </c:pt>
                <c:pt idx="13">
                  <c:v>32.875300000000003</c:v>
                </c:pt>
                <c:pt idx="14">
                  <c:v>32.538699999999999</c:v>
                </c:pt>
                <c:pt idx="15">
                  <c:v>32.377000000000002</c:v>
                </c:pt>
                <c:pt idx="16">
                  <c:v>31.499099999999999</c:v>
                </c:pt>
                <c:pt idx="17">
                  <c:v>31.4819</c:v>
                </c:pt>
                <c:pt idx="18">
                  <c:v>31.0519</c:v>
                </c:pt>
                <c:pt idx="19">
                  <c:v>31.248699999999999</c:v>
                </c:pt>
                <c:pt idx="20">
                  <c:v>31.003699999999998</c:v>
                </c:pt>
                <c:pt idx="21">
                  <c:v>30.429300000000001</c:v>
                </c:pt>
                <c:pt idx="22">
                  <c:v>29.9194</c:v>
                </c:pt>
                <c:pt idx="23">
                  <c:v>29.808900000000001</c:v>
                </c:pt>
                <c:pt idx="24">
                  <c:v>30.070900000000002</c:v>
                </c:pt>
                <c:pt idx="25">
                  <c:v>29.720099999999999</c:v>
                </c:pt>
                <c:pt idx="26">
                  <c:v>30.042100000000001</c:v>
                </c:pt>
                <c:pt idx="27">
                  <c:v>29.901800000000001</c:v>
                </c:pt>
                <c:pt idx="28">
                  <c:v>29.566700000000001</c:v>
                </c:pt>
                <c:pt idx="29">
                  <c:v>29.685600000000001</c:v>
                </c:pt>
                <c:pt idx="30">
                  <c:v>29.050999999999998</c:v>
                </c:pt>
                <c:pt idx="31">
                  <c:v>28.424299999999999</c:v>
                </c:pt>
                <c:pt idx="32">
                  <c:v>28.510899999999999</c:v>
                </c:pt>
                <c:pt idx="33">
                  <c:v>28.178999999999998</c:v>
                </c:pt>
                <c:pt idx="34">
                  <c:v>27.706399999999999</c:v>
                </c:pt>
                <c:pt idx="35">
                  <c:v>27.937100000000001</c:v>
                </c:pt>
                <c:pt idx="36">
                  <c:v>27.676300000000001</c:v>
                </c:pt>
                <c:pt idx="37">
                  <c:v>27.670300000000001</c:v>
                </c:pt>
                <c:pt idx="38">
                  <c:v>27.2761</c:v>
                </c:pt>
                <c:pt idx="39">
                  <c:v>27.075500000000002</c:v>
                </c:pt>
                <c:pt idx="40">
                  <c:v>27.043399999999998</c:v>
                </c:pt>
                <c:pt idx="41">
                  <c:v>26.677600000000002</c:v>
                </c:pt>
                <c:pt idx="42">
                  <c:v>26.270299999999999</c:v>
                </c:pt>
                <c:pt idx="43">
                  <c:v>26.235900000000001</c:v>
                </c:pt>
                <c:pt idx="44">
                  <c:v>25.845600000000001</c:v>
                </c:pt>
                <c:pt idx="45">
                  <c:v>26.1068</c:v>
                </c:pt>
                <c:pt idx="46">
                  <c:v>25.784400000000002</c:v>
                </c:pt>
                <c:pt idx="47">
                  <c:v>25.581099999999999</c:v>
                </c:pt>
                <c:pt idx="48">
                  <c:v>24.917000000000002</c:v>
                </c:pt>
                <c:pt idx="49">
                  <c:v>24.825199999999999</c:v>
                </c:pt>
                <c:pt idx="50">
                  <c:v>24.722000000000001</c:v>
                </c:pt>
                <c:pt idx="51">
                  <c:v>24.5962</c:v>
                </c:pt>
                <c:pt idx="52">
                  <c:v>24.386800000000001</c:v>
                </c:pt>
                <c:pt idx="53">
                  <c:v>24.136900000000001</c:v>
                </c:pt>
                <c:pt idx="54">
                  <c:v>24.040400000000002</c:v>
                </c:pt>
                <c:pt idx="55">
                  <c:v>23.629000000000001</c:v>
                </c:pt>
                <c:pt idx="56">
                  <c:v>23.6126</c:v>
                </c:pt>
                <c:pt idx="57">
                  <c:v>23.315999999999999</c:v>
                </c:pt>
                <c:pt idx="58">
                  <c:v>23.2133</c:v>
                </c:pt>
                <c:pt idx="59">
                  <c:v>22.955200000000001</c:v>
                </c:pt>
                <c:pt idx="60">
                  <c:v>22.738499999999998</c:v>
                </c:pt>
                <c:pt idx="61">
                  <c:v>22.7593</c:v>
                </c:pt>
                <c:pt idx="62">
                  <c:v>22.4206</c:v>
                </c:pt>
                <c:pt idx="63">
                  <c:v>22.373699999999999</c:v>
                </c:pt>
                <c:pt idx="64">
                  <c:v>22.074100000000001</c:v>
                </c:pt>
                <c:pt idx="65">
                  <c:v>21.761099999999999</c:v>
                </c:pt>
                <c:pt idx="66">
                  <c:v>21.6126</c:v>
                </c:pt>
                <c:pt idx="67">
                  <c:v>21.3672</c:v>
                </c:pt>
                <c:pt idx="68">
                  <c:v>21.195799999999998</c:v>
                </c:pt>
                <c:pt idx="69">
                  <c:v>20.944800000000001</c:v>
                </c:pt>
                <c:pt idx="70">
                  <c:v>20.7819</c:v>
                </c:pt>
                <c:pt idx="71">
                  <c:v>20.634799999999998</c:v>
                </c:pt>
                <c:pt idx="72">
                  <c:v>20.243600000000001</c:v>
                </c:pt>
                <c:pt idx="73">
                  <c:v>20.2926</c:v>
                </c:pt>
                <c:pt idx="74">
                  <c:v>19.992000000000001</c:v>
                </c:pt>
                <c:pt idx="75">
                  <c:v>19.682300000000001</c:v>
                </c:pt>
                <c:pt idx="76">
                  <c:v>19.596</c:v>
                </c:pt>
                <c:pt idx="77">
                  <c:v>19.373200000000001</c:v>
                </c:pt>
                <c:pt idx="78">
                  <c:v>19.198</c:v>
                </c:pt>
                <c:pt idx="79">
                  <c:v>18.983699999999999</c:v>
                </c:pt>
                <c:pt idx="80">
                  <c:v>18.802900000000001</c:v>
                </c:pt>
                <c:pt idx="81">
                  <c:v>18.598600000000001</c:v>
                </c:pt>
                <c:pt idx="82">
                  <c:v>18.468</c:v>
                </c:pt>
                <c:pt idx="83">
                  <c:v>18.2744</c:v>
                </c:pt>
                <c:pt idx="84">
                  <c:v>18.092600000000001</c:v>
                </c:pt>
                <c:pt idx="85">
                  <c:v>17.887</c:v>
                </c:pt>
                <c:pt idx="86">
                  <c:v>17.753599999999999</c:v>
                </c:pt>
                <c:pt idx="87">
                  <c:v>17.416399999999999</c:v>
                </c:pt>
                <c:pt idx="88">
                  <c:v>17.283200000000001</c:v>
                </c:pt>
                <c:pt idx="89">
                  <c:v>17.007100000000001</c:v>
                </c:pt>
                <c:pt idx="90">
                  <c:v>16.8354</c:v>
                </c:pt>
                <c:pt idx="91">
                  <c:v>16.6614</c:v>
                </c:pt>
                <c:pt idx="92">
                  <c:v>16.509799999999998</c:v>
                </c:pt>
                <c:pt idx="93">
                  <c:v>16.276800000000001</c:v>
                </c:pt>
                <c:pt idx="94">
                  <c:v>16.106100000000001</c:v>
                </c:pt>
                <c:pt idx="95">
                  <c:v>15.882400000000001</c:v>
                </c:pt>
                <c:pt idx="96">
                  <c:v>15.6715</c:v>
                </c:pt>
                <c:pt idx="97">
                  <c:v>15.471399999999999</c:v>
                </c:pt>
                <c:pt idx="98">
                  <c:v>15.352499999999999</c:v>
                </c:pt>
                <c:pt idx="99">
                  <c:v>15.0807</c:v>
                </c:pt>
                <c:pt idx="100">
                  <c:v>14.883800000000001</c:v>
                </c:pt>
                <c:pt idx="101">
                  <c:v>14.7437</c:v>
                </c:pt>
                <c:pt idx="102">
                  <c:v>14.586600000000001</c:v>
                </c:pt>
                <c:pt idx="103">
                  <c:v>14.3581</c:v>
                </c:pt>
                <c:pt idx="104">
                  <c:v>14.1501</c:v>
                </c:pt>
                <c:pt idx="105">
                  <c:v>13.9679</c:v>
                </c:pt>
                <c:pt idx="106">
                  <c:v>13.7508</c:v>
                </c:pt>
                <c:pt idx="107">
                  <c:v>13.6038</c:v>
                </c:pt>
                <c:pt idx="108">
                  <c:v>13.412800000000001</c:v>
                </c:pt>
                <c:pt idx="109">
                  <c:v>13.1837</c:v>
                </c:pt>
                <c:pt idx="110">
                  <c:v>13.0792</c:v>
                </c:pt>
                <c:pt idx="111">
                  <c:v>12.807</c:v>
                </c:pt>
                <c:pt idx="112">
                  <c:v>12.682600000000001</c:v>
                </c:pt>
                <c:pt idx="113">
                  <c:v>12.475899999999999</c:v>
                </c:pt>
                <c:pt idx="114">
                  <c:v>12.2584</c:v>
                </c:pt>
                <c:pt idx="115">
                  <c:v>12.0929</c:v>
                </c:pt>
                <c:pt idx="116">
                  <c:v>11.918900000000001</c:v>
                </c:pt>
                <c:pt idx="117">
                  <c:v>11.714700000000001</c:v>
                </c:pt>
                <c:pt idx="118">
                  <c:v>11.5252</c:v>
                </c:pt>
                <c:pt idx="119">
                  <c:v>11.3354</c:v>
                </c:pt>
                <c:pt idx="120">
                  <c:v>11.160399999999999</c:v>
                </c:pt>
                <c:pt idx="121">
                  <c:v>10.9787</c:v>
                </c:pt>
                <c:pt idx="122">
                  <c:v>10.7578</c:v>
                </c:pt>
                <c:pt idx="123">
                  <c:v>10.580500000000001</c:v>
                </c:pt>
                <c:pt idx="124">
                  <c:v>10.4643</c:v>
                </c:pt>
                <c:pt idx="125">
                  <c:v>10.213699999999999</c:v>
                </c:pt>
                <c:pt idx="126">
                  <c:v>10.045199999999999</c:v>
                </c:pt>
                <c:pt idx="127">
                  <c:v>9.8767200000000006</c:v>
                </c:pt>
                <c:pt idx="128">
                  <c:v>9.7134199999999993</c:v>
                </c:pt>
                <c:pt idx="129">
                  <c:v>9.5268499999999996</c:v>
                </c:pt>
                <c:pt idx="130">
                  <c:v>9.3349399999999996</c:v>
                </c:pt>
                <c:pt idx="131">
                  <c:v>9.0884699999999992</c:v>
                </c:pt>
                <c:pt idx="132">
                  <c:v>8.9698600000000006</c:v>
                </c:pt>
                <c:pt idx="133">
                  <c:v>8.68736</c:v>
                </c:pt>
                <c:pt idx="134">
                  <c:v>8.5308799999999998</c:v>
                </c:pt>
                <c:pt idx="135">
                  <c:v>8.3496900000000007</c:v>
                </c:pt>
                <c:pt idx="136">
                  <c:v>8.2818299999999994</c:v>
                </c:pt>
                <c:pt idx="137">
                  <c:v>8.0662299999999991</c:v>
                </c:pt>
                <c:pt idx="138">
                  <c:v>7.8140200000000002</c:v>
                </c:pt>
                <c:pt idx="139">
                  <c:v>7.6423899999999998</c:v>
                </c:pt>
                <c:pt idx="140">
                  <c:v>7.45716</c:v>
                </c:pt>
                <c:pt idx="141">
                  <c:v>7.31271</c:v>
                </c:pt>
                <c:pt idx="142">
                  <c:v>7.13504</c:v>
                </c:pt>
                <c:pt idx="143">
                  <c:v>6.8809300000000002</c:v>
                </c:pt>
                <c:pt idx="144">
                  <c:v>6.7009400000000001</c:v>
                </c:pt>
                <c:pt idx="145">
                  <c:v>6.5356199999999998</c:v>
                </c:pt>
                <c:pt idx="146">
                  <c:v>6.3265200000000004</c:v>
                </c:pt>
                <c:pt idx="147">
                  <c:v>6.1830800000000004</c:v>
                </c:pt>
                <c:pt idx="148">
                  <c:v>6.0130600000000003</c:v>
                </c:pt>
                <c:pt idx="149">
                  <c:v>5.8544900000000002</c:v>
                </c:pt>
                <c:pt idx="150">
                  <c:v>5.6099300000000003</c:v>
                </c:pt>
                <c:pt idx="151">
                  <c:v>5.4320899999999996</c:v>
                </c:pt>
                <c:pt idx="152">
                  <c:v>5.2356100000000003</c:v>
                </c:pt>
                <c:pt idx="153">
                  <c:v>5.0528199999999996</c:v>
                </c:pt>
                <c:pt idx="154">
                  <c:v>4.9028999999999998</c:v>
                </c:pt>
                <c:pt idx="155">
                  <c:v>4.6522600000000001</c:v>
                </c:pt>
                <c:pt idx="156">
                  <c:v>4.4950999999999999</c:v>
                </c:pt>
                <c:pt idx="157">
                  <c:v>4.3437000000000001</c:v>
                </c:pt>
                <c:pt idx="158">
                  <c:v>4.1437400000000002</c:v>
                </c:pt>
                <c:pt idx="159">
                  <c:v>3.9573</c:v>
                </c:pt>
                <c:pt idx="160">
                  <c:v>3.8980899999999998</c:v>
                </c:pt>
                <c:pt idx="161">
                  <c:v>3.5600999999999998</c:v>
                </c:pt>
                <c:pt idx="162">
                  <c:v>3.4098799999999998</c:v>
                </c:pt>
                <c:pt idx="163">
                  <c:v>3.2244999999999999</c:v>
                </c:pt>
                <c:pt idx="164">
                  <c:v>3.07782</c:v>
                </c:pt>
                <c:pt idx="165">
                  <c:v>2.9233199999999999</c:v>
                </c:pt>
                <c:pt idx="166">
                  <c:v>2.7266900000000001</c:v>
                </c:pt>
                <c:pt idx="167">
                  <c:v>2.54392</c:v>
                </c:pt>
                <c:pt idx="168">
                  <c:v>2.5307499999999998</c:v>
                </c:pt>
                <c:pt idx="169">
                  <c:v>2.1795599999999999</c:v>
                </c:pt>
                <c:pt idx="170">
                  <c:v>2.08934</c:v>
                </c:pt>
                <c:pt idx="171">
                  <c:v>1.7954699999999999</c:v>
                </c:pt>
                <c:pt idx="172">
                  <c:v>1.6024099999999999</c:v>
                </c:pt>
                <c:pt idx="173">
                  <c:v>1.48515</c:v>
                </c:pt>
                <c:pt idx="174">
                  <c:v>1.35836</c:v>
                </c:pt>
                <c:pt idx="175">
                  <c:v>1.07298</c:v>
                </c:pt>
                <c:pt idx="176">
                  <c:v>0.86915299999999995</c:v>
                </c:pt>
                <c:pt idx="177">
                  <c:v>0.80323599999999995</c:v>
                </c:pt>
                <c:pt idx="178">
                  <c:v>0.76992799999999995</c:v>
                </c:pt>
                <c:pt idx="179">
                  <c:v>0.46947800000000001</c:v>
                </c:pt>
                <c:pt idx="180">
                  <c:v>0.36985299999999999</c:v>
                </c:pt>
                <c:pt idx="181">
                  <c:v>0.12767600000000001</c:v>
                </c:pt>
                <c:pt idx="182">
                  <c:v>3.6938100000000001E-2</c:v>
                </c:pt>
                <c:pt idx="183">
                  <c:v>-4.9019100000000003E-2</c:v>
                </c:pt>
                <c:pt idx="184">
                  <c:v>-0.21798300000000001</c:v>
                </c:pt>
                <c:pt idx="185">
                  <c:v>-0.38401400000000002</c:v>
                </c:pt>
                <c:pt idx="186">
                  <c:v>-0.57486000000000004</c:v>
                </c:pt>
                <c:pt idx="187">
                  <c:v>-0.73329999999999995</c:v>
                </c:pt>
                <c:pt idx="188">
                  <c:v>-0.87090199999999995</c:v>
                </c:pt>
                <c:pt idx="189">
                  <c:v>-1.0348599999999999</c:v>
                </c:pt>
                <c:pt idx="190">
                  <c:v>-1.2307999999999999</c:v>
                </c:pt>
                <c:pt idx="191">
                  <c:v>-1.3526100000000001</c:v>
                </c:pt>
                <c:pt idx="192">
                  <c:v>-1.29555</c:v>
                </c:pt>
                <c:pt idx="193">
                  <c:v>-1.5137499999999999</c:v>
                </c:pt>
                <c:pt idx="194">
                  <c:v>-1.62094</c:v>
                </c:pt>
                <c:pt idx="195">
                  <c:v>-1.6954</c:v>
                </c:pt>
                <c:pt idx="196">
                  <c:v>-1.76502</c:v>
                </c:pt>
                <c:pt idx="197">
                  <c:v>-1.99203</c:v>
                </c:pt>
                <c:pt idx="198">
                  <c:v>-2.1278299999999999</c:v>
                </c:pt>
                <c:pt idx="199">
                  <c:v>-1.9944299999999999</c:v>
                </c:pt>
                <c:pt idx="200">
                  <c:v>-2.2209699999999999</c:v>
                </c:pt>
                <c:pt idx="201">
                  <c:v>-2.4867400000000002</c:v>
                </c:pt>
                <c:pt idx="202">
                  <c:v>-2.3517399999999999</c:v>
                </c:pt>
                <c:pt idx="203">
                  <c:v>-2.5136799999999999</c:v>
                </c:pt>
                <c:pt idx="204">
                  <c:v>-2.5043700000000002</c:v>
                </c:pt>
                <c:pt idx="205">
                  <c:v>-2.7486899999999999</c:v>
                </c:pt>
                <c:pt idx="206">
                  <c:v>-2.86917</c:v>
                </c:pt>
                <c:pt idx="207">
                  <c:v>-3.0396299999999998</c:v>
                </c:pt>
                <c:pt idx="208">
                  <c:v>-3.2097500000000001</c:v>
                </c:pt>
                <c:pt idx="209">
                  <c:v>-3.2360000000000002</c:v>
                </c:pt>
                <c:pt idx="210">
                  <c:v>-3.6465100000000001</c:v>
                </c:pt>
                <c:pt idx="211">
                  <c:v>-3.6234700000000002</c:v>
                </c:pt>
                <c:pt idx="212">
                  <c:v>-4.1132799999999996</c:v>
                </c:pt>
                <c:pt idx="213">
                  <c:v>-3.8779599999999999</c:v>
                </c:pt>
                <c:pt idx="214">
                  <c:v>-4.0306600000000001</c:v>
                </c:pt>
                <c:pt idx="215">
                  <c:v>-4.0179099999999996</c:v>
                </c:pt>
                <c:pt idx="216">
                  <c:v>-3.9652699999999999</c:v>
                </c:pt>
                <c:pt idx="217">
                  <c:v>-3.9583900000000001</c:v>
                </c:pt>
                <c:pt idx="218">
                  <c:v>-3.8792200000000001</c:v>
                </c:pt>
                <c:pt idx="219">
                  <c:v>-3.9822899999999999</c:v>
                </c:pt>
                <c:pt idx="220">
                  <c:v>-3.9450400000000001</c:v>
                </c:pt>
                <c:pt idx="221">
                  <c:v>-3.9639700000000002</c:v>
                </c:pt>
                <c:pt idx="222">
                  <c:v>-3.91065</c:v>
                </c:pt>
                <c:pt idx="223">
                  <c:v>-3.9488799999999999</c:v>
                </c:pt>
                <c:pt idx="224">
                  <c:v>-3.8028900000000001</c:v>
                </c:pt>
                <c:pt idx="225">
                  <c:v>-3.8474200000000001</c:v>
                </c:pt>
                <c:pt idx="226">
                  <c:v>-3.8303199999999999</c:v>
                </c:pt>
                <c:pt idx="227">
                  <c:v>-3.77474</c:v>
                </c:pt>
                <c:pt idx="228">
                  <c:v>-3.7312500000000002</c:v>
                </c:pt>
                <c:pt idx="229">
                  <c:v>-3.7243200000000001</c:v>
                </c:pt>
                <c:pt idx="230">
                  <c:v>-3.67421</c:v>
                </c:pt>
                <c:pt idx="231">
                  <c:v>-3.6440899999999998</c:v>
                </c:pt>
                <c:pt idx="232">
                  <c:v>-3.5620099999999999</c:v>
                </c:pt>
                <c:pt idx="233">
                  <c:v>-3.5589</c:v>
                </c:pt>
                <c:pt idx="234">
                  <c:v>-3.49654</c:v>
                </c:pt>
                <c:pt idx="235">
                  <c:v>-3.4356</c:v>
                </c:pt>
                <c:pt idx="236">
                  <c:v>-3.37297</c:v>
                </c:pt>
                <c:pt idx="237">
                  <c:v>-3.29522</c:v>
                </c:pt>
                <c:pt idx="238">
                  <c:v>-3.2437399999999998</c:v>
                </c:pt>
                <c:pt idx="239">
                  <c:v>-3.1709299999999998</c:v>
                </c:pt>
                <c:pt idx="240">
                  <c:v>-3.1069800000000001</c:v>
                </c:pt>
                <c:pt idx="241">
                  <c:v>-3.0172699999999999</c:v>
                </c:pt>
                <c:pt idx="242">
                  <c:v>-2.9494799999999999</c:v>
                </c:pt>
                <c:pt idx="243">
                  <c:v>-2.8411300000000002</c:v>
                </c:pt>
                <c:pt idx="244">
                  <c:v>-2.7366600000000001</c:v>
                </c:pt>
                <c:pt idx="245">
                  <c:v>-2.6523400000000001</c:v>
                </c:pt>
                <c:pt idx="246">
                  <c:v>-2.5506799999999998</c:v>
                </c:pt>
                <c:pt idx="247">
                  <c:v>-2.44991</c:v>
                </c:pt>
                <c:pt idx="248">
                  <c:v>-2.3553299999999999</c:v>
                </c:pt>
                <c:pt idx="249">
                  <c:v>-2.2543500000000001</c:v>
                </c:pt>
                <c:pt idx="250">
                  <c:v>-2.1282199999999998</c:v>
                </c:pt>
                <c:pt idx="251">
                  <c:v>-2.03586</c:v>
                </c:pt>
                <c:pt idx="252">
                  <c:v>-1.91717</c:v>
                </c:pt>
                <c:pt idx="253">
                  <c:v>-1.81593</c:v>
                </c:pt>
                <c:pt idx="254">
                  <c:v>-1.6807799999999999</c:v>
                </c:pt>
                <c:pt idx="255">
                  <c:v>-1.5620799999999999</c:v>
                </c:pt>
                <c:pt idx="256">
                  <c:v>-1.4274800000000001</c:v>
                </c:pt>
                <c:pt idx="257">
                  <c:v>-1.30297</c:v>
                </c:pt>
                <c:pt idx="258">
                  <c:v>-1.18652</c:v>
                </c:pt>
                <c:pt idx="259">
                  <c:v>-1.0515600000000001</c:v>
                </c:pt>
                <c:pt idx="260">
                  <c:v>-0.92721699999999996</c:v>
                </c:pt>
                <c:pt idx="261">
                  <c:v>-0.80365399999999998</c:v>
                </c:pt>
                <c:pt idx="262">
                  <c:v>-0.666377</c:v>
                </c:pt>
                <c:pt idx="263">
                  <c:v>-0.55182299999999995</c:v>
                </c:pt>
                <c:pt idx="264">
                  <c:v>-0.43071199999999998</c:v>
                </c:pt>
                <c:pt idx="265">
                  <c:v>-0.21105299999999999</c:v>
                </c:pt>
                <c:pt idx="266">
                  <c:v>0.52166999999999997</c:v>
                </c:pt>
                <c:pt idx="267">
                  <c:v>0.78233600000000003</c:v>
                </c:pt>
                <c:pt idx="268">
                  <c:v>0.81724300000000005</c:v>
                </c:pt>
                <c:pt idx="269">
                  <c:v>0.86195100000000002</c:v>
                </c:pt>
                <c:pt idx="270">
                  <c:v>0.950021</c:v>
                </c:pt>
                <c:pt idx="271">
                  <c:v>1.0492999999999999</c:v>
                </c:pt>
                <c:pt idx="272">
                  <c:v>1.1752400000000001</c:v>
                </c:pt>
                <c:pt idx="273">
                  <c:v>1.3152900000000001</c:v>
                </c:pt>
                <c:pt idx="274">
                  <c:v>1.4637500000000001</c:v>
                </c:pt>
                <c:pt idx="275">
                  <c:v>1.62296</c:v>
                </c:pt>
                <c:pt idx="276">
                  <c:v>1.78169</c:v>
                </c:pt>
                <c:pt idx="277">
                  <c:v>1.9421999999999999</c:v>
                </c:pt>
                <c:pt idx="278">
                  <c:v>2.1075200000000001</c:v>
                </c:pt>
                <c:pt idx="279">
                  <c:v>2.2781099999999999</c:v>
                </c:pt>
                <c:pt idx="280">
                  <c:v>2.4499300000000002</c:v>
                </c:pt>
                <c:pt idx="281">
                  <c:v>2.6258699999999999</c:v>
                </c:pt>
                <c:pt idx="282">
                  <c:v>2.7940900000000002</c:v>
                </c:pt>
                <c:pt idx="283">
                  <c:v>2.9581400000000002</c:v>
                </c:pt>
                <c:pt idx="284">
                  <c:v>3.15646</c:v>
                </c:pt>
                <c:pt idx="285">
                  <c:v>3.32565</c:v>
                </c:pt>
                <c:pt idx="286">
                  <c:v>3.4992100000000002</c:v>
                </c:pt>
                <c:pt idx="287">
                  <c:v>3.6540400000000002</c:v>
                </c:pt>
                <c:pt idx="288">
                  <c:v>3.8307899999999999</c:v>
                </c:pt>
                <c:pt idx="289">
                  <c:v>4.0309799999999996</c:v>
                </c:pt>
                <c:pt idx="290">
                  <c:v>4.23407</c:v>
                </c:pt>
                <c:pt idx="291">
                  <c:v>4.4202000000000004</c:v>
                </c:pt>
                <c:pt idx="292">
                  <c:v>4.5639399999999997</c:v>
                </c:pt>
                <c:pt idx="293">
                  <c:v>4.7605300000000002</c:v>
                </c:pt>
                <c:pt idx="294">
                  <c:v>4.9475499999999997</c:v>
                </c:pt>
                <c:pt idx="295">
                  <c:v>5.2143100000000002</c:v>
                </c:pt>
                <c:pt idx="296">
                  <c:v>5.4050900000000004</c:v>
                </c:pt>
                <c:pt idx="297">
                  <c:v>5.6014999999999997</c:v>
                </c:pt>
                <c:pt idx="298">
                  <c:v>5.7946099999999996</c:v>
                </c:pt>
                <c:pt idx="299">
                  <c:v>5.9855799999999997</c:v>
                </c:pt>
                <c:pt idx="300">
                  <c:v>6.1811499999999997</c:v>
                </c:pt>
                <c:pt idx="301">
                  <c:v>6.3762999999999996</c:v>
                </c:pt>
                <c:pt idx="302">
                  <c:v>6.5692300000000001</c:v>
                </c:pt>
                <c:pt idx="303">
                  <c:v>6.77081</c:v>
                </c:pt>
                <c:pt idx="304">
                  <c:v>6.9849899999999998</c:v>
                </c:pt>
                <c:pt idx="305">
                  <c:v>7.2120699999999998</c:v>
                </c:pt>
                <c:pt idx="306">
                  <c:v>7.47248</c:v>
                </c:pt>
                <c:pt idx="307">
                  <c:v>7.6753600000000004</c:v>
                </c:pt>
                <c:pt idx="308">
                  <c:v>7.9446199999999996</c:v>
                </c:pt>
                <c:pt idx="309">
                  <c:v>8.1865900000000007</c:v>
                </c:pt>
                <c:pt idx="310">
                  <c:v>8.4445800000000002</c:v>
                </c:pt>
                <c:pt idx="311">
                  <c:v>8.6780500000000007</c:v>
                </c:pt>
                <c:pt idx="312">
                  <c:v>8.8889499999999995</c:v>
                </c:pt>
                <c:pt idx="313">
                  <c:v>9.0986999999999991</c:v>
                </c:pt>
                <c:pt idx="314">
                  <c:v>9.3196600000000007</c:v>
                </c:pt>
                <c:pt idx="315">
                  <c:v>9.5290400000000002</c:v>
                </c:pt>
                <c:pt idx="316">
                  <c:v>9.7312899999999996</c:v>
                </c:pt>
                <c:pt idx="317">
                  <c:v>9.9010099999999994</c:v>
                </c:pt>
                <c:pt idx="318">
                  <c:v>10.0764</c:v>
                </c:pt>
                <c:pt idx="319">
                  <c:v>10.266</c:v>
                </c:pt>
                <c:pt idx="320">
                  <c:v>10.4788</c:v>
                </c:pt>
                <c:pt idx="321">
                  <c:v>10.741899999999999</c:v>
                </c:pt>
                <c:pt idx="322">
                  <c:v>11.0235</c:v>
                </c:pt>
                <c:pt idx="323">
                  <c:v>11.234299999999999</c:v>
                </c:pt>
                <c:pt idx="324">
                  <c:v>11.3918</c:v>
                </c:pt>
                <c:pt idx="325">
                  <c:v>11.612500000000001</c:v>
                </c:pt>
                <c:pt idx="326">
                  <c:v>11.8933</c:v>
                </c:pt>
                <c:pt idx="327">
                  <c:v>12.027799999999999</c:v>
                </c:pt>
                <c:pt idx="328">
                  <c:v>12.182600000000001</c:v>
                </c:pt>
                <c:pt idx="329">
                  <c:v>12.458399999999999</c:v>
                </c:pt>
                <c:pt idx="330">
                  <c:v>12.6511</c:v>
                </c:pt>
                <c:pt idx="331">
                  <c:v>12.903600000000001</c:v>
                </c:pt>
                <c:pt idx="332">
                  <c:v>13.1541</c:v>
                </c:pt>
                <c:pt idx="333">
                  <c:v>13.368399999999999</c:v>
                </c:pt>
                <c:pt idx="334">
                  <c:v>13.6015</c:v>
                </c:pt>
                <c:pt idx="335">
                  <c:v>13.8704</c:v>
                </c:pt>
                <c:pt idx="336">
                  <c:v>14.1297</c:v>
                </c:pt>
                <c:pt idx="337">
                  <c:v>14.451599999999999</c:v>
                </c:pt>
                <c:pt idx="338">
                  <c:v>14.4628</c:v>
                </c:pt>
                <c:pt idx="339">
                  <c:v>14.575900000000001</c:v>
                </c:pt>
                <c:pt idx="340">
                  <c:v>14.7446</c:v>
                </c:pt>
                <c:pt idx="341">
                  <c:v>14.891</c:v>
                </c:pt>
                <c:pt idx="342">
                  <c:v>14.9779</c:v>
                </c:pt>
                <c:pt idx="343">
                  <c:v>15.0854</c:v>
                </c:pt>
                <c:pt idx="344">
                  <c:v>15.1145</c:v>
                </c:pt>
                <c:pt idx="345">
                  <c:v>15.1486</c:v>
                </c:pt>
                <c:pt idx="346">
                  <c:v>14.961</c:v>
                </c:pt>
                <c:pt idx="347">
                  <c:v>14.946199999999999</c:v>
                </c:pt>
                <c:pt idx="348">
                  <c:v>15.1762</c:v>
                </c:pt>
                <c:pt idx="349">
                  <c:v>15.284700000000001</c:v>
                </c:pt>
                <c:pt idx="350">
                  <c:v>15.331799999999999</c:v>
                </c:pt>
                <c:pt idx="351">
                  <c:v>15.3347</c:v>
                </c:pt>
                <c:pt idx="352">
                  <c:v>15.331</c:v>
                </c:pt>
                <c:pt idx="353">
                  <c:v>15.2844</c:v>
                </c:pt>
                <c:pt idx="354">
                  <c:v>15.295400000000001</c:v>
                </c:pt>
                <c:pt idx="355">
                  <c:v>15.3028</c:v>
                </c:pt>
                <c:pt idx="356">
                  <c:v>15.049200000000001</c:v>
                </c:pt>
                <c:pt idx="357">
                  <c:v>14.9002</c:v>
                </c:pt>
                <c:pt idx="358">
                  <c:v>14.938000000000001</c:v>
                </c:pt>
                <c:pt idx="359">
                  <c:v>14.7561</c:v>
                </c:pt>
                <c:pt idx="360">
                  <c:v>14.525499999999999</c:v>
                </c:pt>
                <c:pt idx="361">
                  <c:v>14.4298</c:v>
                </c:pt>
                <c:pt idx="362">
                  <c:v>14.126799999999999</c:v>
                </c:pt>
                <c:pt idx="363">
                  <c:v>14.106299999999999</c:v>
                </c:pt>
                <c:pt idx="364">
                  <c:v>13.8226</c:v>
                </c:pt>
                <c:pt idx="365">
                  <c:v>13.599500000000001</c:v>
                </c:pt>
                <c:pt idx="366">
                  <c:v>13.3674</c:v>
                </c:pt>
                <c:pt idx="367">
                  <c:v>13.1959</c:v>
                </c:pt>
                <c:pt idx="368">
                  <c:v>13.0069</c:v>
                </c:pt>
                <c:pt idx="369">
                  <c:v>12.7394</c:v>
                </c:pt>
                <c:pt idx="370">
                  <c:v>12.4757</c:v>
                </c:pt>
                <c:pt idx="371">
                  <c:v>12.1639</c:v>
                </c:pt>
                <c:pt idx="372">
                  <c:v>11.9579</c:v>
                </c:pt>
                <c:pt idx="373">
                  <c:v>11.690200000000001</c:v>
                </c:pt>
                <c:pt idx="374">
                  <c:v>11.575799999999999</c:v>
                </c:pt>
                <c:pt idx="375">
                  <c:v>11.314</c:v>
                </c:pt>
                <c:pt idx="376">
                  <c:v>11.0791</c:v>
                </c:pt>
                <c:pt idx="377">
                  <c:v>10.8666</c:v>
                </c:pt>
                <c:pt idx="378">
                  <c:v>10.6013</c:v>
                </c:pt>
                <c:pt idx="379">
                  <c:v>10.4749</c:v>
                </c:pt>
                <c:pt idx="380">
                  <c:v>10.283799999999999</c:v>
                </c:pt>
                <c:pt idx="381">
                  <c:v>9.9821899999999992</c:v>
                </c:pt>
                <c:pt idx="382">
                  <c:v>9.7520900000000008</c:v>
                </c:pt>
                <c:pt idx="383">
                  <c:v>9.5117999999999991</c:v>
                </c:pt>
                <c:pt idx="384">
                  <c:v>9.28308</c:v>
                </c:pt>
                <c:pt idx="385">
                  <c:v>9.1002899999999993</c:v>
                </c:pt>
                <c:pt idx="386">
                  <c:v>8.7908299999999997</c:v>
                </c:pt>
                <c:pt idx="387">
                  <c:v>8.6150300000000009</c:v>
                </c:pt>
                <c:pt idx="388">
                  <c:v>8.3056699999999992</c:v>
                </c:pt>
                <c:pt idx="389">
                  <c:v>7.9999099999999999</c:v>
                </c:pt>
                <c:pt idx="390">
                  <c:v>7.7399399999999998</c:v>
                </c:pt>
                <c:pt idx="391">
                  <c:v>7.5259600000000004</c:v>
                </c:pt>
                <c:pt idx="392">
                  <c:v>7.3913599999999997</c:v>
                </c:pt>
                <c:pt idx="393">
                  <c:v>7.3125499999999999</c:v>
                </c:pt>
                <c:pt idx="394">
                  <c:v>7.1463099999999997</c:v>
                </c:pt>
                <c:pt idx="395">
                  <c:v>6.8612700000000002</c:v>
                </c:pt>
                <c:pt idx="396">
                  <c:v>6.4708399999999999</c:v>
                </c:pt>
                <c:pt idx="397">
                  <c:v>6.2453099999999999</c:v>
                </c:pt>
                <c:pt idx="398">
                  <c:v>6.1328699999999996</c:v>
                </c:pt>
                <c:pt idx="399">
                  <c:v>5.7547600000000001</c:v>
                </c:pt>
              </c:numCache>
            </c:numRef>
          </c:yVal>
          <c:smooth val="1"/>
          <c:extLst>
            <c:ext xmlns:c16="http://schemas.microsoft.com/office/drawing/2014/chart" uri="{C3380CC4-5D6E-409C-BE32-E72D297353CC}">
              <c16:uniqueId val="{00000001-2A10-41EA-A3AE-967165122F16}"/>
            </c:ext>
          </c:extLst>
        </c:ser>
        <c:dLbls>
          <c:showLegendKey val="0"/>
          <c:showVal val="0"/>
          <c:showCatName val="0"/>
          <c:showSerName val="0"/>
          <c:showPercent val="0"/>
          <c:showBubbleSize val="0"/>
        </c:dLbls>
        <c:axId val="176934912"/>
        <c:axId val="176937216"/>
      </c:scatterChart>
      <c:scatterChart>
        <c:scatterStyle val="lineMarker"/>
        <c:varyColors val="0"/>
        <c:ser>
          <c:idx val="3"/>
          <c:order val="1"/>
          <c:tx>
            <c:v>Theoretical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-239.22480387578366</c:v>
                </c:pt>
                <c:pt idx="1">
                  <c:v>-253.37044976525223</c:v>
                </c:pt>
                <c:pt idx="2">
                  <c:v>-258.68315867202199</c:v>
                </c:pt>
                <c:pt idx="3">
                  <c:v>-261.40460877547753</c:v>
                </c:pt>
                <c:pt idx="4">
                  <c:v>-263.0435816652826</c:v>
                </c:pt>
                <c:pt idx="5">
                  <c:v>-264.1313484517222</c:v>
                </c:pt>
                <c:pt idx="6">
                  <c:v>-264.90114601155591</c:v>
                </c:pt>
                <c:pt idx="7">
                  <c:v>-265.47110527402322</c:v>
                </c:pt>
                <c:pt idx="8">
                  <c:v>-265.90736535095721</c:v>
                </c:pt>
                <c:pt idx="9">
                  <c:v>-266.24981045519991</c:v>
                </c:pt>
                <c:pt idx="10">
                  <c:v>-267.60330117849128</c:v>
                </c:pt>
                <c:pt idx="11">
                  <c:v>-267.82414564505734</c:v>
                </c:pt>
                <c:pt idx="12">
                  <c:v>-267.76133130178772</c:v>
                </c:pt>
                <c:pt idx="13">
                  <c:v>-267.58502884844768</c:v>
                </c:pt>
                <c:pt idx="14">
                  <c:v>-267.352000563498</c:v>
                </c:pt>
                <c:pt idx="15">
                  <c:v>-267.08658458023501</c:v>
                </c:pt>
                <c:pt idx="16">
                  <c:v>-266.80095633248419</c:v>
                </c:pt>
                <c:pt idx="17">
                  <c:v>-266.50188472021478</c:v>
                </c:pt>
                <c:pt idx="18">
                  <c:v>-266.19343509827644</c:v>
                </c:pt>
                <c:pt idx="19">
                  <c:v>-262.90754897320886</c:v>
                </c:pt>
                <c:pt idx="20">
                  <c:v>-259.52702864745811</c:v>
                </c:pt>
                <c:pt idx="21">
                  <c:v>-256.14606237544575</c:v>
                </c:pt>
                <c:pt idx="22">
                  <c:v>-252.79015778049677</c:v>
                </c:pt>
                <c:pt idx="23">
                  <c:v>-249.47279436199636</c:v>
                </c:pt>
                <c:pt idx="24">
                  <c:v>-246.20343142742621</c:v>
                </c:pt>
                <c:pt idx="25">
                  <c:v>-242.98946473056489</c:v>
                </c:pt>
                <c:pt idx="26">
                  <c:v>-239.83686411028657</c:v>
                </c:pt>
                <c:pt idx="27">
                  <c:v>-236.7504363329362</c:v>
                </c:pt>
                <c:pt idx="28">
                  <c:v>-222.41317227445944</c:v>
                </c:pt>
                <c:pt idx="29">
                  <c:v>-209.97448143547183</c:v>
                </c:pt>
                <c:pt idx="30">
                  <c:v>-199.31731254729527</c:v>
                </c:pt>
                <c:pt idx="31">
                  <c:v>-190.20835936683682</c:v>
                </c:pt>
                <c:pt idx="32">
                  <c:v>-182.40280719589569</c:v>
                </c:pt>
                <c:pt idx="33">
                  <c:v>-175.68372570656075</c:v>
                </c:pt>
                <c:pt idx="34">
                  <c:v>-169.87034266145608</c:v>
                </c:pt>
                <c:pt idx="35">
                  <c:v>-164.81513367489347</c:v>
                </c:pt>
                <c:pt idx="36">
                  <c:v>-160.39819337010425</c:v>
                </c:pt>
                <c:pt idx="37">
                  <c:v>-156.5217903050698</c:v>
                </c:pt>
                <c:pt idx="38">
                  <c:v>-153.10584243682442</c:v>
                </c:pt>
                <c:pt idx="39">
                  <c:v>-150.08433628904038</c:v>
                </c:pt>
                <c:pt idx="40">
                  <c:v>-147.40253046972231</c:v>
                </c:pt>
                <c:pt idx="41">
                  <c:v>-145.01477096988452</c:v>
                </c:pt>
                <c:pt idx="42">
                  <c:v>-142.88277528798648</c:v>
                </c:pt>
                <c:pt idx="43">
                  <c:v>-140.97427571612209</c:v>
                </c:pt>
                <c:pt idx="44">
                  <c:v>-139.26193942872047</c:v>
                </c:pt>
                <c:pt idx="45">
                  <c:v>-137.72250354463037</c:v>
                </c:pt>
                <c:pt idx="46">
                  <c:v>-136.33607840943222</c:v>
                </c:pt>
                <c:pt idx="47">
                  <c:v>-135.08558341781142</c:v>
                </c:pt>
                <c:pt idx="48">
                  <c:v>-133.95628790261881</c:v>
                </c:pt>
                <c:pt idx="49">
                  <c:v>-132.93543576901527</c:v>
                </c:pt>
                <c:pt idx="50">
                  <c:v>-132.01193721361699</c:v>
                </c:pt>
                <c:pt idx="51">
                  <c:v>-131.17611443412767</c:v>
                </c:pt>
                <c:pt idx="52">
                  <c:v>-130.41949098374235</c:v>
                </c:pt>
                <c:pt idx="53">
                  <c:v>-129.73461655769466</c:v>
                </c:pt>
                <c:pt idx="54">
                  <c:v>-129.11492066389775</c:v>
                </c:pt>
                <c:pt idx="55">
                  <c:v>-128.55458993498905</c:v>
                </c:pt>
                <c:pt idx="56">
                  <c:v>-128.04846486730091</c:v>
                </c:pt>
                <c:pt idx="57">
                  <c:v>-127.59195258553302</c:v>
                </c:pt>
                <c:pt idx="58">
                  <c:v>-127.18095287767264</c:v>
                </c:pt>
                <c:pt idx="59">
                  <c:v>-126.81179525942932</c:v>
                </c:pt>
                <c:pt idx="60">
                  <c:v>-126.48118523924904</c:v>
                </c:pt>
                <c:pt idx="61">
                  <c:v>-126.18615828562318</c:v>
                </c:pt>
                <c:pt idx="62">
                  <c:v>-125.92404026486312</c:v>
                </c:pt>
                <c:pt idx="63">
                  <c:v>-125.69241333299695</c:v>
                </c:pt>
                <c:pt idx="64">
                  <c:v>-125.4890864403221</c:v>
                </c:pt>
                <c:pt idx="65">
                  <c:v>-125.31206974956223</c:v>
                </c:pt>
                <c:pt idx="66">
                  <c:v>-125.15955238495272</c:v>
                </c:pt>
                <c:pt idx="67">
                  <c:v>-125.02988302499485</c:v>
                </c:pt>
                <c:pt idx="68">
                  <c:v>-124.92155293011164</c:v>
                </c:pt>
                <c:pt idx="69">
                  <c:v>-124.83318106121862</c:v>
                </c:pt>
                <c:pt idx="70">
                  <c:v>-124.76350099885559</c:v>
                </c:pt>
                <c:pt idx="71">
                  <c:v>-124.71134941707302</c:v>
                </c:pt>
                <c:pt idx="72">
                  <c:v>-124.67565590337395</c:v>
                </c:pt>
                <c:pt idx="73">
                  <c:v>-124.65543394702274</c:v>
                </c:pt>
                <c:pt idx="74">
                  <c:v>-124.6497729440181</c:v>
                </c:pt>
                <c:pt idx="75">
                  <c:v>-124.65783108886774</c:v>
                </c:pt>
                <c:pt idx="76">
                  <c:v>-124.67882904170958</c:v>
                </c:pt>
                <c:pt idx="77">
                  <c:v>-124.71204427488028</c:v>
                </c:pt>
                <c:pt idx="78">
                  <c:v>-124.75680601621372</c:v>
                </c:pt>
                <c:pt idx="79">
                  <c:v>-124.81249071755107</c:v>
                </c:pt>
                <c:pt idx="80">
                  <c:v>-124.87851798648245</c:v>
                </c:pt>
                <c:pt idx="81">
                  <c:v>-124.95434692748488</c:v>
                </c:pt>
                <c:pt idx="82">
                  <c:v>-125.03947284559234</c:v>
                </c:pt>
                <c:pt idx="83">
                  <c:v>-125.13342427171435</c:v>
                </c:pt>
                <c:pt idx="84">
                  <c:v>-125.23576027386248</c:v>
                </c:pt>
                <c:pt idx="85">
                  <c:v>-125.34606802297624</c:v>
                </c:pt>
                <c:pt idx="86">
                  <c:v>-125.46396058586875</c:v>
                </c:pt>
                <c:pt idx="87">
                  <c:v>-125.58907492112519</c:v>
                </c:pt>
                <c:pt idx="88">
                  <c:v>-125.72107005666263</c:v>
                </c:pt>
                <c:pt idx="89">
                  <c:v>-125.85962543015594</c:v>
                </c:pt>
                <c:pt idx="90">
                  <c:v>-126.00443937571143</c:v>
                </c:pt>
                <c:pt idx="91">
                  <c:v>-126.15522774206715</c:v>
                </c:pt>
                <c:pt idx="92">
                  <c:v>-126.31172262925776</c:v>
                </c:pt>
                <c:pt idx="93">
                  <c:v>-126.47367123213516</c:v>
                </c:pt>
                <c:pt idx="94">
                  <c:v>-126.64083478041125</c:v>
                </c:pt>
                <c:pt idx="95">
                  <c:v>-126.81298756600839</c:v>
                </c:pt>
                <c:pt idx="96">
                  <c:v>-126.98991604949097</c:v>
                </c:pt>
                <c:pt idx="97">
                  <c:v>-127.17141803821985</c:v>
                </c:pt>
                <c:pt idx="98">
                  <c:v>-127.35730192964058</c:v>
                </c:pt>
                <c:pt idx="99">
                  <c:v>-127.54738601379563</c:v>
                </c:pt>
                <c:pt idx="100">
                  <c:v>-127.741497829753</c:v>
                </c:pt>
                <c:pt idx="101">
                  <c:v>-127.93947357117781</c:v>
                </c:pt>
                <c:pt idx="102">
                  <c:v>-128.14115753674872</c:v>
                </c:pt>
                <c:pt idx="103">
                  <c:v>-128.34640162154327</c:v>
                </c:pt>
                <c:pt idx="104">
                  <c:v>-128.55506484589313</c:v>
                </c:pt>
                <c:pt idx="105">
                  <c:v>-128.76701291854619</c:v>
                </c:pt>
                <c:pt idx="106">
                  <c:v>-128.98211783127297</c:v>
                </c:pt>
                <c:pt idx="107">
                  <c:v>-129.20025748232374</c:v>
                </c:pt>
                <c:pt idx="108">
                  <c:v>-129.42131532638319</c:v>
                </c:pt>
                <c:pt idx="109">
                  <c:v>-129.64518004888635</c:v>
                </c:pt>
                <c:pt idx="110">
                  <c:v>-129.87174526275209</c:v>
                </c:pt>
                <c:pt idx="111">
                  <c:v>-130.10090922576762</c:v>
                </c:pt>
                <c:pt idx="112">
                  <c:v>-130.33257457701126</c:v>
                </c:pt>
                <c:pt idx="113">
                  <c:v>-130.56664809084549</c:v>
                </c:pt>
                <c:pt idx="114">
                  <c:v>-130.80304044713833</c:v>
                </c:pt>
                <c:pt idx="115">
                  <c:v>-131.041666016487</c:v>
                </c:pt>
                <c:pt idx="116">
                  <c:v>-131.28244265932281</c:v>
                </c:pt>
                <c:pt idx="117">
                  <c:v>-131.52529153787026</c:v>
                </c:pt>
                <c:pt idx="118">
                  <c:v>-131.77013694001886</c:v>
                </c:pt>
                <c:pt idx="119">
                  <c:v>-132.01690611424544</c:v>
                </c:pt>
                <c:pt idx="120">
                  <c:v>-132.26552911479286</c:v>
                </c:pt>
                <c:pt idx="121">
                  <c:v>-132.51593865637773</c:v>
                </c:pt>
                <c:pt idx="122">
                  <c:v>-132.76806997775702</c:v>
                </c:pt>
                <c:pt idx="123">
                  <c:v>-133.02186071353626</c:v>
                </c:pt>
                <c:pt idx="124">
                  <c:v>-133.27725077365156</c:v>
                </c:pt>
                <c:pt idx="125">
                  <c:v>-133.53418223000156</c:v>
                </c:pt>
                <c:pt idx="126">
                  <c:v>-133.7925992097455</c:v>
                </c:pt>
                <c:pt idx="127">
                  <c:v>-134.05244779482098</c:v>
                </c:pt>
                <c:pt idx="128">
                  <c:v>-134.31367592726903</c:v>
                </c:pt>
                <c:pt idx="129">
                  <c:v>-134.57623331998417</c:v>
                </c:pt>
                <c:pt idx="130">
                  <c:v>-134.84007137253664</c:v>
                </c:pt>
                <c:pt idx="131">
                  <c:v>-135.10514309173936</c:v>
                </c:pt>
                <c:pt idx="132">
                  <c:v>-135.37140301665596</c:v>
                </c:pt>
                <c:pt idx="133">
                  <c:v>-135.63880714776866</c:v>
                </c:pt>
                <c:pt idx="134">
                  <c:v>-135.90731288004486</c:v>
                </c:pt>
                <c:pt idx="135">
                  <c:v>-136.17687893965925</c:v>
                </c:pt>
                <c:pt idx="136">
                  <c:v>-136.44746532414646</c:v>
                </c:pt>
                <c:pt idx="137">
                  <c:v>-136.71903324577374</c:v>
                </c:pt>
                <c:pt idx="138">
                  <c:v>-136.99154507793884</c:v>
                </c:pt>
                <c:pt idx="139">
                  <c:v>-137.26496430441094</c:v>
                </c:pt>
                <c:pt idx="140">
                  <c:v>-137.53925547124496</c:v>
                </c:pt>
                <c:pt idx="141">
                  <c:v>-137.81438414121152</c:v>
                </c:pt>
                <c:pt idx="142">
                  <c:v>-138.09031685059449</c:v>
                </c:pt>
                <c:pt idx="143">
                  <c:v>-138.36702106821872</c:v>
                </c:pt>
                <c:pt idx="144">
                  <c:v>-138.64446515657909</c:v>
                </c:pt>
                <c:pt idx="145">
                  <c:v>-138.92261833495058</c:v>
                </c:pt>
                <c:pt idx="146">
                  <c:v>-139.20145064436664</c:v>
                </c:pt>
                <c:pt idx="147">
                  <c:v>-139.48093291436118</c:v>
                </c:pt>
                <c:pt idx="148">
                  <c:v>-139.76103673137433</c:v>
                </c:pt>
                <c:pt idx="149">
                  <c:v>-140.04173440873083</c:v>
                </c:pt>
                <c:pt idx="150">
                  <c:v>-140.32299895810345</c:v>
                </c:pt>
                <c:pt idx="151">
                  <c:v>-140.60480406238088</c:v>
                </c:pt>
                <c:pt idx="152">
                  <c:v>-140.88712404986302</c:v>
                </c:pt>
                <c:pt idx="153">
                  <c:v>-141.16993386971313</c:v>
                </c:pt>
                <c:pt idx="154">
                  <c:v>-141.45320906859808</c:v>
                </c:pt>
                <c:pt idx="155">
                  <c:v>-141.73692576845505</c:v>
                </c:pt>
                <c:pt idx="156">
                  <c:v>-142.02106064532398</c:v>
                </c:pt>
                <c:pt idx="157">
                  <c:v>-142.3055909091903</c:v>
                </c:pt>
                <c:pt idx="158">
                  <c:v>-142.59049428478531</c:v>
                </c:pt>
                <c:pt idx="159">
                  <c:v>-142.87574899329428</c:v>
                </c:pt>
                <c:pt idx="160">
                  <c:v>-143.16133373492579</c:v>
                </c:pt>
                <c:pt idx="161">
                  <c:v>-143.447227672298</c:v>
                </c:pt>
                <c:pt idx="162">
                  <c:v>-143.73341041460031</c:v>
                </c:pt>
                <c:pt idx="163">
                  <c:v>-144.01986200249132</c:v>
                </c:pt>
                <c:pt idx="164">
                  <c:v>-144.30656289369591</c:v>
                </c:pt>
                <c:pt idx="165">
                  <c:v>-144.59349394926596</c:v>
                </c:pt>
                <c:pt idx="166">
                  <c:v>-144.88063642047311</c:v>
                </c:pt>
                <c:pt idx="167">
                  <c:v>-145.16797193630001</c:v>
                </c:pt>
                <c:pt idx="168">
                  <c:v>-145.45548249150278</c:v>
                </c:pt>
                <c:pt idx="169">
                  <c:v>-145.7431504352152</c:v>
                </c:pt>
                <c:pt idx="170">
                  <c:v>-146.03095846006858</c:v>
                </c:pt>
                <c:pt idx="171">
                  <c:v>-146.31888959180242</c:v>
                </c:pt>
                <c:pt idx="172">
                  <c:v>-146.60692717934165</c:v>
                </c:pt>
                <c:pt idx="173">
                  <c:v>-146.89505488531864</c:v>
                </c:pt>
                <c:pt idx="174">
                  <c:v>-147.18325667701754</c:v>
                </c:pt>
                <c:pt idx="175">
                  <c:v>-147.47151681772175</c:v>
                </c:pt>
                <c:pt idx="176">
                  <c:v>-147.7598198584447</c:v>
                </c:pt>
                <c:pt idx="177">
                  <c:v>-148.04815063002582</c:v>
                </c:pt>
                <c:pt idx="178">
                  <c:v>-148.33649423557429</c:v>
                </c:pt>
                <c:pt idx="179">
                  <c:v>-148.62483604324427</c:v>
                </c:pt>
                <c:pt idx="180">
                  <c:v>-148.91316167932595</c:v>
                </c:pt>
                <c:pt idx="181">
                  <c:v>-149.20145702163725</c:v>
                </c:pt>
                <c:pt idx="182">
                  <c:v>-149.48970819320235</c:v>
                </c:pt>
                <c:pt idx="183">
                  <c:v>-149.77790155620357</c:v>
                </c:pt>
                <c:pt idx="184">
                  <c:v>-150.06602370619336</c:v>
                </c:pt>
                <c:pt idx="185">
                  <c:v>-150.35406146655504</c:v>
                </c:pt>
                <c:pt idx="186">
                  <c:v>-150.64200188319953</c:v>
                </c:pt>
                <c:pt idx="187">
                  <c:v>-150.92983221948853</c:v>
                </c:pt>
                <c:pt idx="188">
                  <c:v>-151.21753995137169</c:v>
                </c:pt>
                <c:pt idx="189">
                  <c:v>-151.5051127627296</c:v>
                </c:pt>
                <c:pt idx="190">
                  <c:v>-151.79253854091209</c:v>
                </c:pt>
                <c:pt idx="191">
                  <c:v>-152.07980537246237</c:v>
                </c:pt>
                <c:pt idx="192">
                  <c:v>-152.36690153901912</c:v>
                </c:pt>
                <c:pt idx="193">
                  <c:v>-152.65381551338803</c:v>
                </c:pt>
                <c:pt idx="194">
                  <c:v>-152.94053595577429</c:v>
                </c:pt>
                <c:pt idx="195">
                  <c:v>-153.22705171016909</c:v>
                </c:pt>
                <c:pt idx="196">
                  <c:v>-153.51335180088284</c:v>
                </c:pt>
                <c:pt idx="197">
                  <c:v>-153.79942542921793</c:v>
                </c:pt>
                <c:pt idx="198">
                  <c:v>-154.08526197027425</c:v>
                </c:pt>
                <c:pt idx="199">
                  <c:v>-154.37085096988247</c:v>
                </c:pt>
                <c:pt idx="200">
                  <c:v>-154.65618214165693</c:v>
                </c:pt>
                <c:pt idx="201">
                  <c:v>-154.94124536416459</c:v>
                </c:pt>
                <c:pt idx="202">
                  <c:v>-155.22603067820305</c:v>
                </c:pt>
                <c:pt idx="203">
                  <c:v>-155.51052828418301</c:v>
                </c:pt>
                <c:pt idx="204">
                  <c:v>-155.79472853961025</c:v>
                </c:pt>
                <c:pt idx="205">
                  <c:v>-156.07862195666169</c:v>
                </c:pt>
                <c:pt idx="206">
                  <c:v>-156.36219919985214</c:v>
                </c:pt>
                <c:pt idx="207">
                  <c:v>-156.64545108378596</c:v>
                </c:pt>
                <c:pt idx="208">
                  <c:v>-156.92836857099047</c:v>
                </c:pt>
                <c:pt idx="209">
                  <c:v>-157.21094276982691</c:v>
                </c:pt>
                <c:pt idx="210">
                  <c:v>-157.4931649324746</c:v>
                </c:pt>
                <c:pt idx="211">
                  <c:v>-157.77502645298526</c:v>
                </c:pt>
                <c:pt idx="212">
                  <c:v>-158.056518865404</c:v>
                </c:pt>
                <c:pt idx="213">
                  <c:v>-158.33763384195294</c:v>
                </c:pt>
                <c:pt idx="214">
                  <c:v>-158.61836319127511</c:v>
                </c:pt>
                <c:pt idx="215">
                  <c:v>-158.89869885673508</c:v>
                </c:pt>
                <c:pt idx="216">
                  <c:v>-159.1786329147736</c:v>
                </c:pt>
                <c:pt idx="217">
                  <c:v>-159.45815757331314</c:v>
                </c:pt>
                <c:pt idx="218">
                  <c:v>-159.73726517021231</c:v>
                </c:pt>
                <c:pt idx="219">
                  <c:v>-160.01594817176607</c:v>
                </c:pt>
                <c:pt idx="220">
                  <c:v>-160.29419917124926</c:v>
                </c:pt>
                <c:pt idx="221">
                  <c:v>-160.57201088750156</c:v>
                </c:pt>
                <c:pt idx="222">
                  <c:v>-160.84937616355143</c:v>
                </c:pt>
                <c:pt idx="223">
                  <c:v>-161.12628796527667</c:v>
                </c:pt>
                <c:pt idx="224">
                  <c:v>-161.40273938010009</c:v>
                </c:pt>
                <c:pt idx="225">
                  <c:v>-161.67872361571787</c:v>
                </c:pt>
                <c:pt idx="226">
                  <c:v>-164.41146040331543</c:v>
                </c:pt>
                <c:pt idx="227">
                  <c:v>-167.09085626285727</c:v>
                </c:pt>
                <c:pt idx="228">
                  <c:v>-169.71193064325925</c:v>
                </c:pt>
                <c:pt idx="229">
                  <c:v>-172.2706810151534</c:v>
                </c:pt>
                <c:pt idx="230">
                  <c:v>-174.76399658011783</c:v>
                </c:pt>
                <c:pt idx="231">
                  <c:v>-177.18957576614173</c:v>
                </c:pt>
                <c:pt idx="232">
                  <c:v>-179.54584559656556</c:v>
                </c:pt>
                <c:pt idx="233">
                  <c:v>-181.83188250315374</c:v>
                </c:pt>
                <c:pt idx="234">
                  <c:v>-184.04733499470575</c:v>
                </c:pt>
                <c:pt idx="235">
                  <c:v>-186.1923489890471</c:v>
                </c:pt>
                <c:pt idx="236">
                  <c:v>-188.26749671829316</c:v>
                </c:pt>
                <c:pt idx="237">
                  <c:v>-190.27371003780124</c:v>
                </c:pt>
                <c:pt idx="238">
                  <c:v>-192.21221879115757</c:v>
                </c:pt>
                <c:pt idx="239">
                  <c:v>-194.08449466529822</c:v>
                </c:pt>
                <c:pt idx="240">
                  <c:v>-195.89220075015822</c:v>
                </c:pt>
                <c:pt idx="241">
                  <c:v>-197.63714681947511</c:v>
                </c:pt>
                <c:pt idx="242">
                  <c:v>-199.3212501856122</c:v>
                </c:pt>
                <c:pt idx="243">
                  <c:v>-200.94650185565936</c:v>
                </c:pt>
                <c:pt idx="244">
                  <c:v>-202.51493762761865</c:v>
                </c:pt>
                <c:pt idx="245">
                  <c:v>-204.02861371020953</c:v>
                </c:pt>
                <c:pt idx="246">
                  <c:v>-205.48958642231153</c:v>
                </c:pt>
                <c:pt idx="247">
                  <c:v>-206.8998955225039</c:v>
                </c:pt>
                <c:pt idx="248">
                  <c:v>-208.26155073003616</c:v>
                </c:pt>
                <c:pt idx="249">
                  <c:v>-209.5765210210028</c:v>
                </c:pt>
                <c:pt idx="250">
                  <c:v>-210.84672631340902</c:v>
                </c:pt>
                <c:pt idx="251">
                  <c:v>-212.07403118895863</c:v>
                </c:pt>
                <c:pt idx="252">
                  <c:v>-213.26024033527796</c:v>
                </c:pt>
                <c:pt idx="253">
                  <c:v>-214.4070954280877</c:v>
                </c:pt>
                <c:pt idx="254">
                  <c:v>-215.5162732072879</c:v>
                </c:pt>
                <c:pt idx="255">
                  <c:v>-216.58938453320843</c:v>
                </c:pt>
                <c:pt idx="256">
                  <c:v>-217.62797423891237</c:v>
                </c:pt>
                <c:pt idx="257">
                  <c:v>-218.63352162120793</c:v>
                </c:pt>
                <c:pt idx="258">
                  <c:v>-219.60744143687114</c:v>
                </c:pt>
                <c:pt idx="259">
                  <c:v>-220.55108529159699</c:v>
                </c:pt>
                <c:pt idx="260">
                  <c:v>-221.46574332753784</c:v>
                </c:pt>
                <c:pt idx="261">
                  <c:v>-222.35264613116493</c:v>
                </c:pt>
                <c:pt idx="262">
                  <c:v>-223.21296679683533</c:v>
                </c:pt>
                <c:pt idx="263">
                  <c:v>-224.04782309309851</c:v>
                </c:pt>
                <c:pt idx="264">
                  <c:v>-224.85827968867056</c:v>
                </c:pt>
                <c:pt idx="265">
                  <c:v>-225.64535040335667</c:v>
                </c:pt>
                <c:pt idx="266">
                  <c:v>-226.41000045621985</c:v>
                </c:pt>
                <c:pt idx="267">
                  <c:v>-227.15314868915968</c:v>
                </c:pt>
                <c:pt idx="268">
                  <c:v>-227.87566974894625</c:v>
                </c:pt>
                <c:pt idx="269">
                  <c:v>-228.57839621479073</c:v>
                </c:pt>
                <c:pt idx="270">
                  <c:v>-229.26212066186324</c:v>
                </c:pt>
                <c:pt idx="271">
                  <c:v>-229.92759765389098</c:v>
                </c:pt>
                <c:pt idx="272">
                  <c:v>-230.57554566018837</c:v>
                </c:pt>
                <c:pt idx="273">
                  <c:v>-231.20664889426357</c:v>
                </c:pt>
                <c:pt idx="274">
                  <c:v>-231.8215590725855</c:v>
                </c:pt>
                <c:pt idx="275">
                  <c:v>-232.42089709323881</c:v>
                </c:pt>
                <c:pt idx="276">
                  <c:v>-233.00525463509459</c:v>
                </c:pt>
                <c:pt idx="277">
                  <c:v>-233.57519567882275</c:v>
                </c:pt>
                <c:pt idx="278">
                  <c:v>-234.13125795160283</c:v>
                </c:pt>
                <c:pt idx="279">
                  <c:v>-234.67395429778767</c:v>
                </c:pt>
                <c:pt idx="280">
                  <c:v>-235.20377397805743</c:v>
                </c:pt>
                <c:pt idx="281">
                  <c:v>-235.72118389979889</c:v>
                </c:pt>
                <c:pt idx="282">
                  <c:v>-236.22662978156561</c:v>
                </c:pt>
                <c:pt idx="283">
                  <c:v>-236.72053725454086</c:v>
                </c:pt>
                <c:pt idx="284">
                  <c:v>-237.20331290394324</c:v>
                </c:pt>
                <c:pt idx="285">
                  <c:v>-237.67534525329782</c:v>
                </c:pt>
                <c:pt idx="286">
                  <c:v>-238.13700569445027</c:v>
                </c:pt>
                <c:pt idx="287">
                  <c:v>-238.58864936613475</c:v>
                </c:pt>
                <c:pt idx="288">
                  <c:v>-239.0306159838245</c:v>
                </c:pt>
                <c:pt idx="289">
                  <c:v>-239.46323062349819</c:v>
                </c:pt>
                <c:pt idx="290">
                  <c:v>-239.88680446185612</c:v>
                </c:pt>
                <c:pt idx="291">
                  <c:v>-240.30163547541051</c:v>
                </c:pt>
                <c:pt idx="292">
                  <c:v>-240.7080091007669</c:v>
                </c:pt>
                <c:pt idx="293">
                  <c:v>-241.10619885830192</c:v>
                </c:pt>
                <c:pt idx="294">
                  <c:v>-241.49646694133287</c:v>
                </c:pt>
                <c:pt idx="295">
                  <c:v>-241.87906477276712</c:v>
                </c:pt>
                <c:pt idx="296">
                  <c:v>-242.25423353111302</c:v>
                </c:pt>
                <c:pt idx="297">
                  <c:v>-242.62220464763067</c:v>
                </c:pt>
                <c:pt idx="298">
                  <c:v>-242.98320027630368</c:v>
                </c:pt>
                <c:pt idx="299">
                  <c:v>-243.33743373821613</c:v>
                </c:pt>
                <c:pt idx="300">
                  <c:v>-243.68510994182887</c:v>
                </c:pt>
                <c:pt idx="301">
                  <c:v>-244.02642578056171</c:v>
                </c:pt>
                <c:pt idx="302">
                  <c:v>-244.36157050900636</c:v>
                </c:pt>
                <c:pt idx="303">
                  <c:v>-244.69072609901554</c:v>
                </c:pt>
                <c:pt idx="304">
                  <c:v>-245.01406757683995</c:v>
                </c:pt>
                <c:pt idx="305">
                  <c:v>-245.33176334241432</c:v>
                </c:pt>
                <c:pt idx="306">
                  <c:v>-245.64397547182733</c:v>
                </c:pt>
                <c:pt idx="307">
                  <c:v>-245.95086000394824</c:v>
                </c:pt>
                <c:pt idx="308">
                  <c:v>-246.25256721212313</c:v>
                </c:pt>
                <c:pt idx="309">
                  <c:v>-246.54924186179895</c:v>
                </c:pt>
                <c:pt idx="310">
                  <c:v>-246.84102345488179</c:v>
                </c:pt>
                <c:pt idx="311">
                  <c:v>-247.12804646158503</c:v>
                </c:pt>
                <c:pt idx="312">
                  <c:v>-247.4104405404799</c:v>
                </c:pt>
                <c:pt idx="313">
                  <c:v>-247.68833074741462</c:v>
                </c:pt>
                <c:pt idx="314">
                  <c:v>-247.96183773393045</c:v>
                </c:pt>
                <c:pt idx="315">
                  <c:v>-248.23107793576332</c:v>
                </c:pt>
                <c:pt idx="316">
                  <c:v>-248.4961637519848</c:v>
                </c:pt>
                <c:pt idx="317">
                  <c:v>-248.75720371530269</c:v>
                </c:pt>
                <c:pt idx="318">
                  <c:v>-249.01430265400967</c:v>
                </c:pt>
                <c:pt idx="319">
                  <c:v>-249.26756184604054</c:v>
                </c:pt>
                <c:pt idx="320">
                  <c:v>-249.51707916556873</c:v>
                </c:pt>
                <c:pt idx="321">
                  <c:v>-249.76294922254993</c:v>
                </c:pt>
                <c:pt idx="322">
                  <c:v>-250.00526349559351</c:v>
                </c:pt>
                <c:pt idx="323">
                  <c:v>-250.24411045852233</c:v>
                </c:pt>
                <c:pt idx="324">
                  <c:v>-250.47957570095872</c:v>
                </c:pt>
                <c:pt idx="325">
                  <c:v>-250.71174204325501</c:v>
                </c:pt>
                <c:pt idx="326">
                  <c:v>-250.94068964606913</c:v>
                </c:pt>
                <c:pt idx="327">
                  <c:v>-251.16649611486613</c:v>
                </c:pt>
                <c:pt idx="328">
                  <c:v>-251.38923659961341</c:v>
                </c:pt>
                <c:pt idx="329">
                  <c:v>-251.60898388991865</c:v>
                </c:pt>
                <c:pt idx="330">
                  <c:v>-251.82580850584765</c:v>
                </c:pt>
                <c:pt idx="331">
                  <c:v>-252.03977878464423</c:v>
                </c:pt>
                <c:pt idx="332">
                  <c:v>-252.25096096356202</c:v>
                </c:pt>
                <c:pt idx="333">
                  <c:v>-252.45941925900712</c:v>
                </c:pt>
                <c:pt idx="334">
                  <c:v>-252.66521594217707</c:v>
                </c:pt>
                <c:pt idx="335">
                  <c:v>-252.8684114113741</c:v>
                </c:pt>
                <c:pt idx="336">
                  <c:v>-253.06906426115773</c:v>
                </c:pt>
                <c:pt idx="337">
                  <c:v>-253.26723134849539</c:v>
                </c:pt>
                <c:pt idx="338">
                  <c:v>-253.46296785605836</c:v>
                </c:pt>
                <c:pt idx="339">
                  <c:v>-253.65632735280457</c:v>
                </c:pt>
                <c:pt idx="340">
                  <c:v>-253.84736185198</c:v>
                </c:pt>
                <c:pt idx="341">
                  <c:v>-254.03612186666527</c:v>
                </c:pt>
                <c:pt idx="342">
                  <c:v>-254.22265646298479</c:v>
                </c:pt>
                <c:pt idx="343">
                  <c:v>-254.40701331109204</c:v>
                </c:pt>
                <c:pt idx="344">
                  <c:v>-254.5892387340366</c:v>
                </c:pt>
                <c:pt idx="345">
                  <c:v>-254.7693777546134</c:v>
                </c:pt>
                <c:pt idx="346">
                  <c:v>-254.94747414029015</c:v>
                </c:pt>
                <c:pt idx="347">
                  <c:v>-255.12357044630249</c:v>
                </c:pt>
                <c:pt idx="348">
                  <c:v>-255.29770805700275</c:v>
                </c:pt>
                <c:pt idx="349">
                  <c:v>-255.46992722554347</c:v>
                </c:pt>
                <c:pt idx="350">
                  <c:v>-255.64026711197212</c:v>
                </c:pt>
                <c:pt idx="351">
                  <c:v>-255.80876581981016</c:v>
                </c:pt>
                <c:pt idx="352">
                  <c:v>-255.97546043118581</c:v>
                </c:pt>
                <c:pt idx="353">
                  <c:v>-256.14038704058549</c:v>
                </c:pt>
                <c:pt idx="354">
                  <c:v>-256.30358078728688</c:v>
                </c:pt>
                <c:pt idx="355">
                  <c:v>-256.4650758865323</c:v>
                </c:pt>
                <c:pt idx="356">
                  <c:v>-256.62490565949849</c:v>
                </c:pt>
                <c:pt idx="357">
                  <c:v>-256.7831025621166</c:v>
                </c:pt>
                <c:pt idx="358">
                  <c:v>-256.93969821279262</c:v>
                </c:pt>
                <c:pt idx="359">
                  <c:v>-257.09472341907656</c:v>
                </c:pt>
                <c:pt idx="360">
                  <c:v>-257.24820820332639</c:v>
                </c:pt>
                <c:pt idx="361">
                  <c:v>-257.40018182740971</c:v>
                </c:pt>
                <c:pt idx="362">
                  <c:v>-257.55067281648559</c:v>
                </c:pt>
                <c:pt idx="363">
                  <c:v>-257.69970898190491</c:v>
                </c:pt>
                <c:pt idx="364">
                  <c:v>-257.84731744326763</c:v>
                </c:pt>
                <c:pt idx="365">
                  <c:v>-257.99352464967217</c:v>
                </c:pt>
                <c:pt idx="366">
                  <c:v>-258.13835640019079</c:v>
                </c:pt>
                <c:pt idx="367">
                  <c:v>-258.28183786360489</c:v>
                </c:pt>
                <c:pt idx="368">
                  <c:v>-258.42399359742808</c:v>
                </c:pt>
                <c:pt idx="369">
                  <c:v>-258.56484756625019</c:v>
                </c:pt>
                <c:pt idx="370">
                  <c:v>-258.70442315942722</c:v>
                </c:pt>
                <c:pt idx="371">
                  <c:v>-258.84274320814563</c:v>
                </c:pt>
                <c:pt idx="372">
                  <c:v>-258.97983000188594</c:v>
                </c:pt>
                <c:pt idx="373">
                  <c:v>-259.1157053043105</c:v>
                </c:pt>
                <c:pt idx="374">
                  <c:v>-259.25039036859738</c:v>
                </c:pt>
                <c:pt idx="375">
                  <c:v>-259.38390595224473</c:v>
                </c:pt>
                <c:pt idx="376">
                  <c:v>-259.51627233136435</c:v>
                </c:pt>
                <c:pt idx="377">
                  <c:v>-259.64750931448657</c:v>
                </c:pt>
                <c:pt idx="378">
                  <c:v>-259.77763625589506</c:v>
                </c:pt>
                <c:pt idx="379">
                  <c:v>-259.90667206850947</c:v>
                </c:pt>
                <c:pt idx="380">
                  <c:v>-260.03463523633502</c:v>
                </c:pt>
                <c:pt idx="381">
                  <c:v>-260.16154382649393</c:v>
                </c:pt>
                <c:pt idx="382">
                  <c:v>-260.28741550085692</c:v>
                </c:pt>
                <c:pt idx="383">
                  <c:v>-260.41226752728846</c:v>
                </c:pt>
                <c:pt idx="384">
                  <c:v>-260.53611679052148</c:v>
                </c:pt>
                <c:pt idx="385">
                  <c:v>-260.65897980267528</c:v>
                </c:pt>
                <c:pt idx="386">
                  <c:v>-260.7808727134306</c:v>
                </c:pt>
                <c:pt idx="387">
                  <c:v>-260.90181131987384</c:v>
                </c:pt>
                <c:pt idx="388">
                  <c:v>-261.02181107602422</c:v>
                </c:pt>
                <c:pt idx="389">
                  <c:v>-261.14088710205391</c:v>
                </c:pt>
                <c:pt idx="390">
                  <c:v>-261.25905419321447</c:v>
                </c:pt>
                <c:pt idx="391">
                  <c:v>-261.37632682847902</c:v>
                </c:pt>
                <c:pt idx="392">
                  <c:v>-261.49271917891099</c:v>
                </c:pt>
                <c:pt idx="393">
                  <c:v>-261.60824511576982</c:v>
                </c:pt>
                <c:pt idx="394">
                  <c:v>-261.72291821836234</c:v>
                </c:pt>
                <c:pt idx="395">
                  <c:v>-261.83675178165032</c:v>
                </c:pt>
                <c:pt idx="396">
                  <c:v>-261.94975882362161</c:v>
                </c:pt>
                <c:pt idx="397">
                  <c:v>-262.06195209243401</c:v>
                </c:pt>
                <c:pt idx="398">
                  <c:v>-262.17334407333999</c:v>
                </c:pt>
                <c:pt idx="399">
                  <c:v>-262.2839469954003</c:v>
                </c:pt>
                <c:pt idx="400">
                  <c:v>-262.39377283799263</c:v>
                </c:pt>
                <c:pt idx="401">
                  <c:v>-262.50283333712463</c:v>
                </c:pt>
                <c:pt idx="402">
                  <c:v>-262.61113999155606</c:v>
                </c:pt>
                <c:pt idx="403">
                  <c:v>-262.71870406873808</c:v>
                </c:pt>
                <c:pt idx="404">
                  <c:v>-262.82553661057534</c:v>
                </c:pt>
                <c:pt idx="405">
                  <c:v>-262.93164843901741</c:v>
                </c:pt>
                <c:pt idx="406">
                  <c:v>-263.0370501614849</c:v>
                </c:pt>
                <c:pt idx="407">
                  <c:v>-263.14175217613627</c:v>
                </c:pt>
                <c:pt idx="408">
                  <c:v>-263.2457646769812</c:v>
                </c:pt>
                <c:pt idx="409">
                  <c:v>-263.34909765884424</c:v>
                </c:pt>
                <c:pt idx="410">
                  <c:v>-263.45176092218549</c:v>
                </c:pt>
                <c:pt idx="411">
                  <c:v>-263.55376407778192</c:v>
                </c:pt>
                <c:pt idx="412">
                  <c:v>-263.65511655127489</c:v>
                </c:pt>
                <c:pt idx="413">
                  <c:v>-263.75582758758696</c:v>
                </c:pt>
                <c:pt idx="414">
                  <c:v>-263.85590625521434</c:v>
                </c:pt>
                <c:pt idx="415">
                  <c:v>-263.95536145039659</c:v>
                </c:pt>
                <c:pt idx="416">
                  <c:v>-264.05420190117019</c:v>
                </c:pt>
                <c:pt idx="417">
                  <c:v>-264.1524361713075</c:v>
                </c:pt>
                <c:pt idx="418">
                  <c:v>-264.25007266414633</c:v>
                </c:pt>
                <c:pt idx="419">
                  <c:v>-264.34711962631297</c:v>
                </c:pt>
                <c:pt idx="420">
                  <c:v>-264.44358515134229</c:v>
                </c:pt>
                <c:pt idx="421">
                  <c:v>-264.53947718319819</c:v>
                </c:pt>
                <c:pt idx="422">
                  <c:v>-264.6348035196977</c:v>
                </c:pt>
                <c:pt idx="423">
                  <c:v>-264.72957181584138</c:v>
                </c:pt>
                <c:pt idx="424">
                  <c:v>-264.82378958705351</c:v>
                </c:pt>
                <c:pt idx="425">
                  <c:v>-264.91746421233472</c:v>
                </c:pt>
                <c:pt idx="426">
                  <c:v>-265.01060293732945</c:v>
                </c:pt>
                <c:pt idx="427">
                  <c:v>-265.10321287731153</c:v>
                </c:pt>
                <c:pt idx="428">
                  <c:v>-265.19530102008986</c:v>
                </c:pt>
                <c:pt idx="429">
                  <c:v>-265.28687422883689</c:v>
                </c:pt>
                <c:pt idx="430">
                  <c:v>-265.37793924484254</c:v>
                </c:pt>
                <c:pt idx="431">
                  <c:v>-265.46850269019518</c:v>
                </c:pt>
                <c:pt idx="432">
                  <c:v>-265.5585710703927</c:v>
                </c:pt>
                <c:pt idx="433">
                  <c:v>-265.64815077688525</c:v>
                </c:pt>
                <c:pt idx="434">
                  <c:v>-265.73724808955149</c:v>
                </c:pt>
                <c:pt idx="435">
                  <c:v>-265.82586917911141</c:v>
                </c:pt>
                <c:pt idx="436">
                  <c:v>-265.91402010947644</c:v>
                </c:pt>
                <c:pt idx="437">
                  <c:v>-266.00170684003939</c:v>
                </c:pt>
                <c:pt idx="438">
                  <c:v>-266.08893522790578</c:v>
                </c:pt>
                <c:pt idx="439">
                  <c:v>-266.17571103006861</c:v>
                </c:pt>
                <c:pt idx="440">
                  <c:v>-266.2620399055275</c:v>
                </c:pt>
                <c:pt idx="441">
                  <c:v>-266.34792741735492</c:v>
                </c:pt>
                <c:pt idx="442">
                  <c:v>-266.43337903470984</c:v>
                </c:pt>
                <c:pt idx="443">
                  <c:v>-266.51840013480171</c:v>
                </c:pt>
                <c:pt idx="444">
                  <c:v>-266.60299600480465</c:v>
                </c:pt>
                <c:pt idx="445">
                  <c:v>-266.68717184372474</c:v>
                </c:pt>
                <c:pt idx="446">
                  <c:v>-266.77093276422085</c:v>
                </c:pt>
                <c:pt idx="447">
                  <c:v>-266.85428379438042</c:v>
                </c:pt>
                <c:pt idx="448">
                  <c:v>-266.93722987945233</c:v>
                </c:pt>
                <c:pt idx="449">
                  <c:v>-267.01977588353662</c:v>
                </c:pt>
                <c:pt idx="450">
                  <c:v>-267.10192659123351</c:v>
                </c:pt>
                <c:pt idx="451">
                  <c:v>-267.18368670925258</c:v>
                </c:pt>
                <c:pt idx="452">
                  <c:v>-267.26506086798287</c:v>
                </c:pt>
                <c:pt idx="453">
                  <c:v>-267.34605362302506</c:v>
                </c:pt>
                <c:pt idx="454">
                  <c:v>-267.42666945668742</c:v>
                </c:pt>
                <c:pt idx="455">
                  <c:v>-267.50691277944566</c:v>
                </c:pt>
                <c:pt idx="456">
                  <c:v>-267.58678793136812</c:v>
                </c:pt>
                <c:pt idx="457">
                  <c:v>-267.66629918350776</c:v>
                </c:pt>
                <c:pt idx="458">
                  <c:v>-267.74545073926038</c:v>
                </c:pt>
                <c:pt idx="459">
                  <c:v>-267.82424673569176</c:v>
                </c:pt>
                <c:pt idx="460">
                  <c:v>-267.90269124483319</c:v>
                </c:pt>
                <c:pt idx="461">
                  <c:v>-267.98078827494737</c:v>
                </c:pt>
                <c:pt idx="462">
                  <c:v>-268.05854177176457</c:v>
                </c:pt>
                <c:pt idx="463">
                  <c:v>-268.1359556196897</c:v>
                </c:pt>
                <c:pt idx="464">
                  <c:v>-268.21303364298274</c:v>
                </c:pt>
                <c:pt idx="465">
                  <c:v>-268.28977960691105</c:v>
                </c:pt>
                <c:pt idx="466">
                  <c:v>-268.36619721887587</c:v>
                </c:pt>
                <c:pt idx="467">
                  <c:v>-268.44229012951274</c:v>
                </c:pt>
                <c:pt idx="468">
                  <c:v>-268.51806193376751</c:v>
                </c:pt>
                <c:pt idx="469">
                  <c:v>-268.5935161719475</c:v>
                </c:pt>
                <c:pt idx="470">
                  <c:v>-268.66865633074906</c:v>
                </c:pt>
                <c:pt idx="471">
                  <c:v>-268.7434858442623</c:v>
                </c:pt>
                <c:pt idx="472">
                  <c:v>-268.81800809495348</c:v>
                </c:pt>
                <c:pt idx="473">
                  <c:v>-268.89222641462459</c:v>
                </c:pt>
                <c:pt idx="474">
                  <c:v>-268.96614408535311</c:v>
                </c:pt>
                <c:pt idx="475">
                  <c:v>-269.03976434040942</c:v>
                </c:pt>
                <c:pt idx="476">
                  <c:v>-269.11309036515541</c:v>
                </c:pt>
                <c:pt idx="477">
                  <c:v>-269.18612529792216</c:v>
                </c:pt>
                <c:pt idx="478">
                  <c:v>-269.2588722308692</c:v>
                </c:pt>
                <c:pt idx="479">
                  <c:v>-269.33133421082471</c:v>
                </c:pt>
                <c:pt idx="480">
                  <c:v>-269.40351424010782</c:v>
                </c:pt>
                <c:pt idx="481">
                  <c:v>-269.47541527733227</c:v>
                </c:pt>
                <c:pt idx="482">
                  <c:v>-269.54704023819397</c:v>
                </c:pt>
                <c:pt idx="483">
                  <c:v>-269.61839199624046</c:v>
                </c:pt>
                <c:pt idx="484">
                  <c:v>-269.68947338362477</c:v>
                </c:pt>
                <c:pt idx="485">
                  <c:v>-269.76028719184262</c:v>
                </c:pt>
                <c:pt idx="486">
                  <c:v>-269.83083617245416</c:v>
                </c:pt>
                <c:pt idx="487">
                  <c:v>-269.90112303779068</c:v>
                </c:pt>
                <c:pt idx="488">
                  <c:v>-269.97115046164572</c:v>
                </c:pt>
                <c:pt idx="489">
                  <c:v>-270.04092107995245</c:v>
                </c:pt>
                <c:pt idx="490">
                  <c:v>-270.11043749144631</c:v>
                </c:pt>
                <c:pt idx="491">
                  <c:v>-270.1797022583138</c:v>
                </c:pt>
                <c:pt idx="492">
                  <c:v>-270.24871790682812</c:v>
                </c:pt>
                <c:pt idx="493">
                  <c:v>-270.31748692797146</c:v>
                </c:pt>
                <c:pt idx="494">
                  <c:v>-270.38601177804401</c:v>
                </c:pt>
                <c:pt idx="495">
                  <c:v>-270.45429487926128</c:v>
                </c:pt>
                <c:pt idx="496">
                  <c:v>-270.52233862033808</c:v>
                </c:pt>
                <c:pt idx="497">
                  <c:v>-270.59014535706183</c:v>
                </c:pt>
                <c:pt idx="498">
                  <c:v>-270.65771741285266</c:v>
                </c:pt>
                <c:pt idx="499">
                  <c:v>-270.72505707931367</c:v>
                </c:pt>
                <c:pt idx="500">
                  <c:v>-270.79216661676878</c:v>
                </c:pt>
                <c:pt idx="501">
                  <c:v>-270.85904825479031</c:v>
                </c:pt>
                <c:pt idx="502">
                  <c:v>-270.92570419271624</c:v>
                </c:pt>
                <c:pt idx="503">
                  <c:v>-270.99213660015613</c:v>
                </c:pt>
                <c:pt idx="504">
                  <c:v>-271.0583476174881</c:v>
                </c:pt>
                <c:pt idx="505">
                  <c:v>-271.12433935634482</c:v>
                </c:pt>
                <c:pt idx="506">
                  <c:v>-271.19011390009064</c:v>
                </c:pt>
                <c:pt idx="507">
                  <c:v>-271.25567330428891</c:v>
                </c:pt>
                <c:pt idx="508">
                  <c:v>-271.3210195971601</c:v>
                </c:pt>
                <c:pt idx="509">
                  <c:v>-271.38615478003095</c:v>
                </c:pt>
                <c:pt idx="510">
                  <c:v>-271.45108082777489</c:v>
                </c:pt>
                <c:pt idx="511">
                  <c:v>-271.51579968924375</c:v>
                </c:pt>
                <c:pt idx="512">
                  <c:v>-271.58031328769101</c:v>
                </c:pt>
                <c:pt idx="513">
                  <c:v>-271.64462352118704</c:v>
                </c:pt>
                <c:pt idx="514">
                  <c:v>-271.70873226302615</c:v>
                </c:pt>
                <c:pt idx="515">
                  <c:v>-271.7726413621258</c:v>
                </c:pt>
                <c:pt idx="516">
                  <c:v>-271.83635264341797</c:v>
                </c:pt>
                <c:pt idx="517">
                  <c:v>-271.89986790823366</c:v>
                </c:pt>
                <c:pt idx="518">
                  <c:v>-271.96318893467907</c:v>
                </c:pt>
                <c:pt idx="519">
                  <c:v>-272.02631747800552</c:v>
                </c:pt>
                <c:pt idx="520">
                  <c:v>-272.08925527097165</c:v>
                </c:pt>
                <c:pt idx="521">
                  <c:v>-272.15200402419941</c:v>
                </c:pt>
                <c:pt idx="522">
                  <c:v>-272.21456542652277</c:v>
                </c:pt>
                <c:pt idx="523">
                  <c:v>-272.27694114533011</c:v>
                </c:pt>
                <c:pt idx="524">
                  <c:v>-272.3391328269002</c:v>
                </c:pt>
                <c:pt idx="525">
                  <c:v>-272.40114209673203</c:v>
                </c:pt>
                <c:pt idx="526">
                  <c:v>-272.46297055986804</c:v>
                </c:pt>
                <c:pt idx="527">
                  <c:v>-272.524619801212</c:v>
                </c:pt>
                <c:pt idx="528">
                  <c:v>-272.58609138584023</c:v>
                </c:pt>
                <c:pt idx="529">
                  <c:v>-272.64738685930797</c:v>
                </c:pt>
                <c:pt idx="530">
                  <c:v>-272.70850774794928</c:v>
                </c:pt>
                <c:pt idx="531">
                  <c:v>-272.76945555917177</c:v>
                </c:pt>
                <c:pt idx="532">
                  <c:v>-272.83023178174636</c:v>
                </c:pt>
                <c:pt idx="533">
                  <c:v>-272.89083788609082</c:v>
                </c:pt>
                <c:pt idx="534">
                  <c:v>-272.95127532454916</c:v>
                </c:pt>
                <c:pt idx="535">
                  <c:v>-273.01154553166498</c:v>
                </c:pt>
                <c:pt idx="536">
                  <c:v>-273.07164992445098</c:v>
                </c:pt>
                <c:pt idx="537">
                  <c:v>-273.13158990265242</c:v>
                </c:pt>
                <c:pt idx="538">
                  <c:v>-273.19136684900684</c:v>
                </c:pt>
                <c:pt idx="539">
                  <c:v>-273.25098212949854</c:v>
                </c:pt>
                <c:pt idx="540">
                  <c:v>-273.31043709360881</c:v>
                </c:pt>
                <c:pt idx="541">
                  <c:v>-273.36973307456151</c:v>
                </c:pt>
                <c:pt idx="542">
                  <c:v>-273.42887138956428</c:v>
                </c:pt>
                <c:pt idx="543">
                  <c:v>-273.48785334004577</c:v>
                </c:pt>
                <c:pt idx="544">
                  <c:v>-273.54668021188849</c:v>
                </c:pt>
                <c:pt idx="545">
                  <c:v>-273.60535327565731</c:v>
                </c:pt>
                <c:pt idx="546">
                  <c:v>-273.66387378682435</c:v>
                </c:pt>
                <c:pt idx="547">
                  <c:v>-273.72224298598985</c:v>
                </c:pt>
                <c:pt idx="548">
                  <c:v>-273.78046209909905</c:v>
                </c:pt>
                <c:pt idx="549">
                  <c:v>-273.83853233765524</c:v>
                </c:pt>
                <c:pt idx="550">
                  <c:v>-273.89645489892945</c:v>
                </c:pt>
                <c:pt idx="551">
                  <c:v>-273.95423096616616</c:v>
                </c:pt>
                <c:pt idx="552">
                  <c:v>-274.01186170878566</c:v>
                </c:pt>
                <c:pt idx="553">
                  <c:v>-274.06934828258289</c:v>
                </c:pt>
                <c:pt idx="554">
                  <c:v>-274.12669182992261</c:v>
                </c:pt>
                <c:pt idx="555">
                  <c:v>-274.18389347993201</c:v>
                </c:pt>
                <c:pt idx="556">
                  <c:v>-274.24095434868889</c:v>
                </c:pt>
                <c:pt idx="557">
                  <c:v>-274.29787553940758</c:v>
                </c:pt>
                <c:pt idx="558">
                  <c:v>-274.35465814262147</c:v>
                </c:pt>
                <c:pt idx="559">
                  <c:v>-274.41130323636207</c:v>
                </c:pt>
                <c:pt idx="560">
                  <c:v>-274.46781188633543</c:v>
                </c:pt>
                <c:pt idx="561">
                  <c:v>-274.52418514609582</c:v>
                </c:pt>
                <c:pt idx="562">
                  <c:v>-274.58042405721562</c:v>
                </c:pt>
                <c:pt idx="563">
                  <c:v>-274.63652964945339</c:v>
                </c:pt>
                <c:pt idx="564">
                  <c:v>-274.69250294091853</c:v>
                </c:pt>
                <c:pt idx="565">
                  <c:v>-274.74834493823329</c:v>
                </c:pt>
                <c:pt idx="566">
                  <c:v>-274.80405663669228</c:v>
                </c:pt>
                <c:pt idx="567">
                  <c:v>-274.85963902041902</c:v>
                </c:pt>
                <c:pt idx="568">
                  <c:v>-274.91509306252044</c:v>
                </c:pt>
                <c:pt idx="569">
                  <c:v>-274.97041972523812</c:v>
                </c:pt>
                <c:pt idx="570">
                  <c:v>-275.02561996009763</c:v>
                </c:pt>
                <c:pt idx="571">
                  <c:v>-275.08069470805526</c:v>
                </c:pt>
                <c:pt idx="572">
                  <c:v>-275.13564489964233</c:v>
                </c:pt>
                <c:pt idx="573">
                  <c:v>-275.19047145510706</c:v>
                </c:pt>
                <c:pt idx="574">
                  <c:v>-275.24517528455414</c:v>
                </c:pt>
                <c:pt idx="575">
                  <c:v>-275.29975728808245</c:v>
                </c:pt>
                <c:pt idx="576">
                  <c:v>-275.35421835591995</c:v>
                </c:pt>
                <c:pt idx="577">
                  <c:v>-275.40855936855678</c:v>
                </c:pt>
                <c:pt idx="578">
                  <c:v>-275.46278119687622</c:v>
                </c:pt>
                <c:pt idx="579">
                  <c:v>-275.51688470228316</c:v>
                </c:pt>
                <c:pt idx="580">
                  <c:v>-275.57087073683124</c:v>
                </c:pt>
                <c:pt idx="581">
                  <c:v>-275.62474014334737</c:v>
                </c:pt>
                <c:pt idx="582">
                  <c:v>-275.6784937555542</c:v>
                </c:pt>
                <c:pt idx="583">
                  <c:v>-275.73213239819131</c:v>
                </c:pt>
                <c:pt idx="584">
                  <c:v>-275.78565688713388</c:v>
                </c:pt>
                <c:pt idx="585">
                  <c:v>-275.83906802950958</c:v>
                </c:pt>
                <c:pt idx="586">
                  <c:v>-275.89236662381387</c:v>
                </c:pt>
                <c:pt idx="587">
                  <c:v>-275.9455534600234</c:v>
                </c:pt>
                <c:pt idx="588">
                  <c:v>-275.99862931970745</c:v>
                </c:pt>
                <c:pt idx="589">
                  <c:v>-276.05159497613789</c:v>
                </c:pt>
                <c:pt idx="590">
                  <c:v>-276.10445119439714</c:v>
                </c:pt>
                <c:pt idx="591">
                  <c:v>-276.15719873148475</c:v>
                </c:pt>
                <c:pt idx="592">
                  <c:v>-276.20983833642231</c:v>
                </c:pt>
                <c:pt idx="593">
                  <c:v>-276.26237075035641</c:v>
                </c:pt>
                <c:pt idx="594">
                  <c:v>-276.31479670666033</c:v>
                </c:pt>
                <c:pt idx="595">
                  <c:v>-276.36711693103416</c:v>
                </c:pt>
                <c:pt idx="596">
                  <c:v>-276.41933214160326</c:v>
                </c:pt>
                <c:pt idx="597">
                  <c:v>-276.47144304901508</c:v>
                </c:pt>
                <c:pt idx="598">
                  <c:v>-276.52345035653508</c:v>
                </c:pt>
                <c:pt idx="599">
                  <c:v>-276.57535476014039</c:v>
                </c:pt>
                <c:pt idx="600">
                  <c:v>-276.62715694861276</c:v>
                </c:pt>
                <c:pt idx="601">
                  <c:v>-276.67885760362958</c:v>
                </c:pt>
                <c:pt idx="602">
                  <c:v>-276.73045739985389</c:v>
                </c:pt>
                <c:pt idx="603">
                  <c:v>-276.78195700502295</c:v>
                </c:pt>
                <c:pt idx="604">
                  <c:v>-276.83335708003511</c:v>
                </c:pt>
                <c:pt idx="605">
                  <c:v>-276.88465827903622</c:v>
                </c:pt>
                <c:pt idx="606">
                  <c:v>-279.33636900258301</c:v>
                </c:pt>
                <c:pt idx="607">
                  <c:v>-281.60415673461063</c:v>
                </c:pt>
                <c:pt idx="608">
                  <c:v>-283.72892065420291</c:v>
                </c:pt>
                <c:pt idx="609">
                  <c:v>-285.7375237119133</c:v>
                </c:pt>
                <c:pt idx="610">
                  <c:v>-287.64828363154101</c:v>
                </c:pt>
                <c:pt idx="611">
                  <c:v>-289.47410792227527</c:v>
                </c:pt>
                <c:pt idx="612">
                  <c:v>-291.22437031428979</c:v>
                </c:pt>
                <c:pt idx="613">
                  <c:v>-292.90607800954257</c:v>
                </c:pt>
                <c:pt idx="614">
                  <c:v>-294.5246210368241</c:v>
                </c:pt>
                <c:pt idx="615">
                  <c:v>-296.08426585261032</c:v>
                </c:pt>
                <c:pt idx="616">
                  <c:v>-297.58848729801349</c:v>
                </c:pt>
                <c:pt idx="617">
                  <c:v>-299.04019555985968</c:v>
                </c:pt>
                <c:pt idx="618">
                  <c:v>-299.65112622857976</c:v>
                </c:pt>
                <c:pt idx="619">
                  <c:v>-300.25280050970878</c:v>
                </c:pt>
                <c:pt idx="620">
                  <c:v>-300.84543564415748</c:v>
                </c:pt>
                <c:pt idx="621">
                  <c:v>-301.42923686400542</c:v>
                </c:pt>
                <c:pt idx="622">
                  <c:v>-302.00439861911701</c:v>
                </c:pt>
                <c:pt idx="623">
                  <c:v>-302.57110565753419</c:v>
                </c:pt>
                <c:pt idx="624">
                  <c:v>-303.12953397819928</c:v>
                </c:pt>
                <c:pt idx="625">
                  <c:v>-303.67985167201692</c:v>
                </c:pt>
                <c:pt idx="626">
                  <c:v>-304.22221966509989</c:v>
                </c:pt>
                <c:pt idx="627">
                  <c:v>-304.75679237620579</c:v>
                </c:pt>
                <c:pt idx="628">
                  <c:v>-305.28371829879433</c:v>
                </c:pt>
                <c:pt idx="629">
                  <c:v>-305.80314051678863</c:v>
                </c:pt>
                <c:pt idx="630">
                  <c:v>-306.31519716196453</c:v>
                </c:pt>
                <c:pt idx="631">
                  <c:v>-306.82002181989333</c:v>
                </c:pt>
                <c:pt idx="632">
                  <c:v>-307.31774389050213</c:v>
                </c:pt>
                <c:pt idx="633">
                  <c:v>-307.80848890856873</c:v>
                </c:pt>
                <c:pt idx="634">
                  <c:v>-308.29237882882046</c:v>
                </c:pt>
                <c:pt idx="635">
                  <c:v>-308.76953227974428</c:v>
                </c:pt>
                <c:pt idx="636">
                  <c:v>-309.24006478972262</c:v>
                </c:pt>
                <c:pt idx="637">
                  <c:v>-309.70408898868322</c:v>
                </c:pt>
                <c:pt idx="638">
                  <c:v>-310.16171478807496</c:v>
                </c:pt>
                <c:pt idx="639">
                  <c:v>-310.61304954165428</c:v>
                </c:pt>
                <c:pt idx="640">
                  <c:v>-311.05819818927739</c:v>
                </c:pt>
                <c:pt idx="641">
                  <c:v>-311.4972633856421</c:v>
                </c:pt>
                <c:pt idx="642">
                  <c:v>-311.93034561569789</c:v>
                </c:pt>
                <c:pt idx="643">
                  <c:v>-312.3575432982488</c:v>
                </c:pt>
                <c:pt idx="644">
                  <c:v>-312.77895287909723</c:v>
                </c:pt>
                <c:pt idx="645">
                  <c:v>-313.19466891492732</c:v>
                </c:pt>
                <c:pt idx="646">
                  <c:v>-313.60478414898745</c:v>
                </c:pt>
                <c:pt idx="647">
                  <c:v>-314.00938957951371</c:v>
                </c:pt>
                <c:pt idx="648">
                  <c:v>-314.40857452173009</c:v>
                </c:pt>
                <c:pt idx="649">
                  <c:v>-314.80242666416365</c:v>
                </c:pt>
                <c:pt idx="650">
                  <c:v>-315.19103211993558</c:v>
                </c:pt>
                <c:pt idx="651">
                  <c:v>-315.57447547360704</c:v>
                </c:pt>
                <c:pt idx="652">
                  <c:v>-315.95283982409956</c:v>
                </c:pt>
                <c:pt idx="653">
                  <c:v>-316.32620682414711</c:v>
                </c:pt>
                <c:pt idx="654">
                  <c:v>-316.69465671668604</c:v>
                </c:pt>
                <c:pt idx="655">
                  <c:v>-317.05826836854334</c:v>
                </c:pt>
                <c:pt idx="656">
                  <c:v>-317.41711930174108</c:v>
                </c:pt>
                <c:pt idx="657">
                  <c:v>-317.77128572269999</c:v>
                </c:pt>
                <c:pt idx="658">
                  <c:v>-318.12084254959046</c:v>
                </c:pt>
                <c:pt idx="659">
                  <c:v>-318.46586343805245</c:v>
                </c:pt>
                <c:pt idx="660">
                  <c:v>-318.8064208054775</c:v>
                </c:pt>
                <c:pt idx="661">
                  <c:v>-319.14258585402598</c:v>
                </c:pt>
                <c:pt idx="662">
                  <c:v>-319.47442859252874</c:v>
                </c:pt>
                <c:pt idx="663">
                  <c:v>-319.80201785740815</c:v>
                </c:pt>
                <c:pt idx="664">
                  <c:v>-320.12542133273382</c:v>
                </c:pt>
                <c:pt idx="665">
                  <c:v>-320.44470556951626</c:v>
                </c:pt>
                <c:pt idx="666">
                  <c:v>-320.7599360043277</c:v>
                </c:pt>
                <c:pt idx="667">
                  <c:v>-321.07117697732923</c:v>
                </c:pt>
              </c:numCache>
            </c:numRef>
          </c:yVal>
          <c:smooth val="0"/>
          <c:extLst>
            <c:ext xmlns:c16="http://schemas.microsoft.com/office/drawing/2014/chart" uri="{C3380CC4-5D6E-409C-BE32-E72D297353CC}">
              <c16:uniqueId val="{00000002-2A10-41EA-A3AE-967165122F16}"/>
            </c:ext>
          </c:extLst>
        </c:ser>
        <c:ser>
          <c:idx val="1"/>
          <c:order val="3"/>
          <c:tx>
            <c:v>Measured Phase</c:v>
          </c:tx>
          <c:spPr>
            <a:ln w="12700">
              <a:solidFill>
                <a:srgbClr val="FF00FF"/>
              </a:solidFill>
              <a:prstDash val="solid"/>
            </a:ln>
          </c:spPr>
          <c:marker>
            <c:symbol val="square"/>
            <c:size val="5"/>
            <c:spPr>
              <a:solidFill>
                <a:srgbClr val="FF00FF"/>
              </a:solidFill>
              <a:ln>
                <a:solidFill>
                  <a:srgbClr val="FF00FF"/>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Calculations'!$BV$10:$BV$409</c:f>
              <c:numCache>
                <c:formatCode>#0.0#</c:formatCode>
                <c:ptCount val="400"/>
                <c:pt idx="0">
                  <c:v>-267.66769999999997</c:v>
                </c:pt>
                <c:pt idx="1">
                  <c:v>-265.91489999999999</c:v>
                </c:pt>
                <c:pt idx="2">
                  <c:v>-264.93219999999997</c:v>
                </c:pt>
                <c:pt idx="3">
                  <c:v>-262.3057</c:v>
                </c:pt>
                <c:pt idx="4">
                  <c:v>-262.76620000000003</c:v>
                </c:pt>
                <c:pt idx="5">
                  <c:v>-267.01279999999997</c:v>
                </c:pt>
                <c:pt idx="6">
                  <c:v>-266.20479999999998</c:v>
                </c:pt>
                <c:pt idx="7">
                  <c:v>-264.9049</c:v>
                </c:pt>
                <c:pt idx="8">
                  <c:v>-269.98079999999999</c:v>
                </c:pt>
                <c:pt idx="9">
                  <c:v>-265.73410000000001</c:v>
                </c:pt>
                <c:pt idx="10">
                  <c:v>-266.37110000000001</c:v>
                </c:pt>
                <c:pt idx="11">
                  <c:v>-268.05959999999999</c:v>
                </c:pt>
                <c:pt idx="12">
                  <c:v>-263.3605</c:v>
                </c:pt>
                <c:pt idx="13">
                  <c:v>-269.46539999999999</c:v>
                </c:pt>
                <c:pt idx="14">
                  <c:v>-267.95069999999998</c:v>
                </c:pt>
                <c:pt idx="15">
                  <c:v>-263.11430000000001</c:v>
                </c:pt>
                <c:pt idx="16">
                  <c:v>-266.2885</c:v>
                </c:pt>
                <c:pt idx="17">
                  <c:v>-266.34629999999999</c:v>
                </c:pt>
                <c:pt idx="18">
                  <c:v>-267.0283</c:v>
                </c:pt>
                <c:pt idx="19">
                  <c:v>-260.69729999999998</c:v>
                </c:pt>
                <c:pt idx="20">
                  <c:v>-259.86900000000003</c:v>
                </c:pt>
                <c:pt idx="21">
                  <c:v>-262.39859999999999</c:v>
                </c:pt>
                <c:pt idx="22">
                  <c:v>-264.8295</c:v>
                </c:pt>
                <c:pt idx="23">
                  <c:v>-267.72770000000003</c:v>
                </c:pt>
                <c:pt idx="24">
                  <c:v>-269.952</c:v>
                </c:pt>
                <c:pt idx="25">
                  <c:v>-271.56010000000003</c:v>
                </c:pt>
                <c:pt idx="26">
                  <c:v>-268.84590000000003</c:v>
                </c:pt>
                <c:pt idx="27">
                  <c:v>-265.37959999999998</c:v>
                </c:pt>
                <c:pt idx="28">
                  <c:v>-265.89449999999999</c:v>
                </c:pt>
                <c:pt idx="29">
                  <c:v>-265.6327</c:v>
                </c:pt>
                <c:pt idx="30">
                  <c:v>-267.80150000000003</c:v>
                </c:pt>
                <c:pt idx="31">
                  <c:v>-264.16840000000002</c:v>
                </c:pt>
                <c:pt idx="32">
                  <c:v>-267.69110000000001</c:v>
                </c:pt>
                <c:pt idx="33">
                  <c:v>-266.9667</c:v>
                </c:pt>
                <c:pt idx="34">
                  <c:v>-263.5369</c:v>
                </c:pt>
                <c:pt idx="35">
                  <c:v>-265.19450000000001</c:v>
                </c:pt>
                <c:pt idx="36">
                  <c:v>-266.75440000000003</c:v>
                </c:pt>
                <c:pt idx="37">
                  <c:v>-266.76120000000003</c:v>
                </c:pt>
                <c:pt idx="38">
                  <c:v>-267.59569999999997</c:v>
                </c:pt>
                <c:pt idx="39">
                  <c:v>-266.80959999999999</c:v>
                </c:pt>
                <c:pt idx="40">
                  <c:v>-265.9205</c:v>
                </c:pt>
                <c:pt idx="41">
                  <c:v>-267.60309999999998</c:v>
                </c:pt>
                <c:pt idx="42">
                  <c:v>-267.3229</c:v>
                </c:pt>
                <c:pt idx="43">
                  <c:v>-265.67700000000002</c:v>
                </c:pt>
                <c:pt idx="44">
                  <c:v>-266.46569999999997</c:v>
                </c:pt>
                <c:pt idx="45">
                  <c:v>-266.67570000000001</c:v>
                </c:pt>
                <c:pt idx="46">
                  <c:v>-268.05989999999997</c:v>
                </c:pt>
                <c:pt idx="47">
                  <c:v>-265.88</c:v>
                </c:pt>
                <c:pt idx="48">
                  <c:v>-267.13580000000002</c:v>
                </c:pt>
                <c:pt idx="49">
                  <c:v>-265.03610000000003</c:v>
                </c:pt>
                <c:pt idx="50">
                  <c:v>-265.21839999999997</c:v>
                </c:pt>
                <c:pt idx="51">
                  <c:v>-266.99490000000003</c:v>
                </c:pt>
                <c:pt idx="52">
                  <c:v>-265.09339999999997</c:v>
                </c:pt>
                <c:pt idx="53">
                  <c:v>-266.42009999999999</c:v>
                </c:pt>
                <c:pt idx="54">
                  <c:v>-265.87940000000003</c:v>
                </c:pt>
                <c:pt idx="55">
                  <c:v>-265.95490000000001</c:v>
                </c:pt>
                <c:pt idx="56">
                  <c:v>-265.39159999999998</c:v>
                </c:pt>
                <c:pt idx="57">
                  <c:v>-265.2439</c:v>
                </c:pt>
                <c:pt idx="58">
                  <c:v>-265.49869999999999</c:v>
                </c:pt>
                <c:pt idx="59">
                  <c:v>-266.06720000000001</c:v>
                </c:pt>
                <c:pt idx="60">
                  <c:v>-265.2319</c:v>
                </c:pt>
                <c:pt idx="61">
                  <c:v>-265.7319</c:v>
                </c:pt>
                <c:pt idx="62">
                  <c:v>-265.24939999999998</c:v>
                </c:pt>
                <c:pt idx="63">
                  <c:v>-265.14060000000001</c:v>
                </c:pt>
                <c:pt idx="64">
                  <c:v>-264.9151</c:v>
                </c:pt>
                <c:pt idx="65">
                  <c:v>-265.3082</c:v>
                </c:pt>
                <c:pt idx="66">
                  <c:v>-265.65139999999997</c:v>
                </c:pt>
                <c:pt idx="67">
                  <c:v>-265.05009999999999</c:v>
                </c:pt>
                <c:pt idx="68">
                  <c:v>-264.35129999999998</c:v>
                </c:pt>
                <c:pt idx="69">
                  <c:v>-263.91079999999999</c:v>
                </c:pt>
                <c:pt idx="70">
                  <c:v>-264.7826</c:v>
                </c:pt>
                <c:pt idx="71">
                  <c:v>-265.04300000000001</c:v>
                </c:pt>
                <c:pt idx="72">
                  <c:v>-263.95569999999998</c:v>
                </c:pt>
                <c:pt idx="73">
                  <c:v>-264.56819999999999</c:v>
                </c:pt>
                <c:pt idx="74">
                  <c:v>-264.47620000000001</c:v>
                </c:pt>
                <c:pt idx="75">
                  <c:v>-264.60399999999998</c:v>
                </c:pt>
                <c:pt idx="76">
                  <c:v>-264.9076</c:v>
                </c:pt>
                <c:pt idx="77">
                  <c:v>-263.88170000000002</c:v>
                </c:pt>
                <c:pt idx="78">
                  <c:v>-264.00260000000003</c:v>
                </c:pt>
                <c:pt idx="79">
                  <c:v>-264.13310000000001</c:v>
                </c:pt>
                <c:pt idx="80">
                  <c:v>-263.74850000000004</c:v>
                </c:pt>
                <c:pt idx="81">
                  <c:v>-263.7636</c:v>
                </c:pt>
                <c:pt idx="82">
                  <c:v>-263.60980000000001</c:v>
                </c:pt>
                <c:pt idx="83">
                  <c:v>-263.3252</c:v>
                </c:pt>
                <c:pt idx="84">
                  <c:v>-263.57819999999998</c:v>
                </c:pt>
                <c:pt idx="85">
                  <c:v>-262.84989999999999</c:v>
                </c:pt>
                <c:pt idx="86">
                  <c:v>-262.81690000000003</c:v>
                </c:pt>
                <c:pt idx="87">
                  <c:v>-262.19720000000001</c:v>
                </c:pt>
                <c:pt idx="88">
                  <c:v>-262.56690000000003</c:v>
                </c:pt>
                <c:pt idx="89">
                  <c:v>-262.71769999999998</c:v>
                </c:pt>
                <c:pt idx="90">
                  <c:v>-262.79380000000003</c:v>
                </c:pt>
                <c:pt idx="91">
                  <c:v>-262.23689999999999</c:v>
                </c:pt>
                <c:pt idx="92">
                  <c:v>-262.34320000000002</c:v>
                </c:pt>
                <c:pt idx="93">
                  <c:v>-262.197</c:v>
                </c:pt>
                <c:pt idx="94">
                  <c:v>-261.76800000000003</c:v>
                </c:pt>
                <c:pt idx="95">
                  <c:v>-261.38310000000001</c:v>
                </c:pt>
                <c:pt idx="96">
                  <c:v>-261.74869999999999</c:v>
                </c:pt>
                <c:pt idx="97">
                  <c:v>-261.20730000000003</c:v>
                </c:pt>
                <c:pt idx="98">
                  <c:v>-261.26609999999999</c:v>
                </c:pt>
                <c:pt idx="99">
                  <c:v>-260.93240000000003</c:v>
                </c:pt>
                <c:pt idx="100">
                  <c:v>-260.5154</c:v>
                </c:pt>
                <c:pt idx="101">
                  <c:v>-261.12389999999999</c:v>
                </c:pt>
                <c:pt idx="102">
                  <c:v>-260.40769999999998</c:v>
                </c:pt>
                <c:pt idx="103">
                  <c:v>-260.5301</c:v>
                </c:pt>
                <c:pt idx="104">
                  <c:v>-260.5471</c:v>
                </c:pt>
                <c:pt idx="105">
                  <c:v>-259.93099999999998</c:v>
                </c:pt>
                <c:pt idx="106">
                  <c:v>-259.94799999999998</c:v>
                </c:pt>
                <c:pt idx="107">
                  <c:v>-260.19870000000003</c:v>
                </c:pt>
                <c:pt idx="108">
                  <c:v>-259.34100000000001</c:v>
                </c:pt>
                <c:pt idx="109">
                  <c:v>-259.55099999999999</c:v>
                </c:pt>
                <c:pt idx="110">
                  <c:v>-259.27199999999999</c:v>
                </c:pt>
                <c:pt idx="111">
                  <c:v>-258.86099999999999</c:v>
                </c:pt>
                <c:pt idx="112">
                  <c:v>-258.68299999999999</c:v>
                </c:pt>
                <c:pt idx="113">
                  <c:v>-258.79700000000003</c:v>
                </c:pt>
                <c:pt idx="114">
                  <c:v>-258.41000000000003</c:v>
                </c:pt>
                <c:pt idx="115">
                  <c:v>-258.13599999999997</c:v>
                </c:pt>
                <c:pt idx="116">
                  <c:v>-257.92899999999997</c:v>
                </c:pt>
                <c:pt idx="117">
                  <c:v>-257.745</c:v>
                </c:pt>
                <c:pt idx="118">
                  <c:v>-257.61</c:v>
                </c:pt>
                <c:pt idx="119">
                  <c:v>-257.471</c:v>
                </c:pt>
                <c:pt idx="120">
                  <c:v>-256.94200000000001</c:v>
                </c:pt>
                <c:pt idx="121">
                  <c:v>-256.75299999999999</c:v>
                </c:pt>
                <c:pt idx="122">
                  <c:v>-256.85699999999997</c:v>
                </c:pt>
                <c:pt idx="123">
                  <c:v>-256.31299999999999</c:v>
                </c:pt>
                <c:pt idx="124">
                  <c:v>-256.37900000000002</c:v>
                </c:pt>
                <c:pt idx="125">
                  <c:v>-256.01499999999999</c:v>
                </c:pt>
                <c:pt idx="126">
                  <c:v>-255.833</c:v>
                </c:pt>
                <c:pt idx="127">
                  <c:v>-255.47</c:v>
                </c:pt>
                <c:pt idx="128">
                  <c:v>-255.059</c:v>
                </c:pt>
                <c:pt idx="129">
                  <c:v>-254.971</c:v>
                </c:pt>
                <c:pt idx="130">
                  <c:v>-254.804</c:v>
                </c:pt>
                <c:pt idx="131">
                  <c:v>-254.411</c:v>
                </c:pt>
                <c:pt idx="132">
                  <c:v>-254.113</c:v>
                </c:pt>
                <c:pt idx="133">
                  <c:v>-254.34</c:v>
                </c:pt>
                <c:pt idx="134">
                  <c:v>-253.785</c:v>
                </c:pt>
                <c:pt idx="135">
                  <c:v>-253.78300000000002</c:v>
                </c:pt>
                <c:pt idx="136">
                  <c:v>-253.62</c:v>
                </c:pt>
                <c:pt idx="137">
                  <c:v>-253.17099999999999</c:v>
                </c:pt>
                <c:pt idx="138">
                  <c:v>-252.65800000000002</c:v>
                </c:pt>
                <c:pt idx="139">
                  <c:v>-251.97399999999999</c:v>
                </c:pt>
                <c:pt idx="140">
                  <c:v>-252.25200000000001</c:v>
                </c:pt>
                <c:pt idx="141">
                  <c:v>-251.702</c:v>
                </c:pt>
                <c:pt idx="142">
                  <c:v>-251.40100000000001</c:v>
                </c:pt>
                <c:pt idx="143">
                  <c:v>-251.244</c:v>
                </c:pt>
                <c:pt idx="144">
                  <c:v>-251.05099999999999</c:v>
                </c:pt>
                <c:pt idx="145">
                  <c:v>-250.48</c:v>
                </c:pt>
                <c:pt idx="146">
                  <c:v>-250.202</c:v>
                </c:pt>
                <c:pt idx="147">
                  <c:v>-249.92599999999999</c:v>
                </c:pt>
                <c:pt idx="148">
                  <c:v>-249.65100000000001</c:v>
                </c:pt>
                <c:pt idx="149">
                  <c:v>-248.41800000000001</c:v>
                </c:pt>
                <c:pt idx="150">
                  <c:v>-248.626</c:v>
                </c:pt>
                <c:pt idx="151">
                  <c:v>-248.57499999999999</c:v>
                </c:pt>
                <c:pt idx="152">
                  <c:v>-247.75799999999998</c:v>
                </c:pt>
                <c:pt idx="153">
                  <c:v>-247.756</c:v>
                </c:pt>
                <c:pt idx="154">
                  <c:v>-247.51300000000001</c:v>
                </c:pt>
                <c:pt idx="155">
                  <c:v>-246.726</c:v>
                </c:pt>
                <c:pt idx="156">
                  <c:v>-246.21199999999999</c:v>
                </c:pt>
                <c:pt idx="157">
                  <c:v>-245.97</c:v>
                </c:pt>
                <c:pt idx="158">
                  <c:v>-245.16899999999998</c:v>
                </c:pt>
                <c:pt idx="159">
                  <c:v>-244.768</c:v>
                </c:pt>
                <c:pt idx="160">
                  <c:v>-244.315</c:v>
                </c:pt>
                <c:pt idx="161">
                  <c:v>-244.142</c:v>
                </c:pt>
                <c:pt idx="162">
                  <c:v>-243.709</c:v>
                </c:pt>
                <c:pt idx="163">
                  <c:v>-243.32400000000001</c:v>
                </c:pt>
                <c:pt idx="164">
                  <c:v>-242.172</c:v>
                </c:pt>
                <c:pt idx="165">
                  <c:v>-240.90300000000002</c:v>
                </c:pt>
                <c:pt idx="166">
                  <c:v>-241.25200000000001</c:v>
                </c:pt>
                <c:pt idx="167">
                  <c:v>-240.63800000000001</c:v>
                </c:pt>
                <c:pt idx="168">
                  <c:v>-240.03100000000001</c:v>
                </c:pt>
                <c:pt idx="169">
                  <c:v>-239.48099999999999</c:v>
                </c:pt>
                <c:pt idx="170">
                  <c:v>-238.50700000000001</c:v>
                </c:pt>
                <c:pt idx="171">
                  <c:v>-237.881</c:v>
                </c:pt>
                <c:pt idx="172">
                  <c:v>-238.28</c:v>
                </c:pt>
                <c:pt idx="173">
                  <c:v>-237.34699999999998</c:v>
                </c:pt>
                <c:pt idx="174">
                  <c:v>-235.61199999999999</c:v>
                </c:pt>
                <c:pt idx="175">
                  <c:v>-235.13800000000001</c:v>
                </c:pt>
                <c:pt idx="176">
                  <c:v>-234.68899999999999</c:v>
                </c:pt>
                <c:pt idx="177">
                  <c:v>-233.95400000000001</c:v>
                </c:pt>
                <c:pt idx="178">
                  <c:v>-234.14699999999999</c:v>
                </c:pt>
                <c:pt idx="179">
                  <c:v>-232.05599999999998</c:v>
                </c:pt>
                <c:pt idx="180">
                  <c:v>-231.369</c:v>
                </c:pt>
                <c:pt idx="181">
                  <c:v>-230.779</c:v>
                </c:pt>
                <c:pt idx="182">
                  <c:v>-229.60900000000001</c:v>
                </c:pt>
                <c:pt idx="183">
                  <c:v>-229.1</c:v>
                </c:pt>
                <c:pt idx="184">
                  <c:v>-228.376</c:v>
                </c:pt>
                <c:pt idx="185">
                  <c:v>-227.04400000000001</c:v>
                </c:pt>
                <c:pt idx="186">
                  <c:v>-226.239</c:v>
                </c:pt>
                <c:pt idx="187">
                  <c:v>-225.834</c:v>
                </c:pt>
                <c:pt idx="188">
                  <c:v>-224.429</c:v>
                </c:pt>
                <c:pt idx="189">
                  <c:v>-223.255</c:v>
                </c:pt>
                <c:pt idx="190">
                  <c:v>-223.13499999999999</c:v>
                </c:pt>
                <c:pt idx="191">
                  <c:v>-221.982</c:v>
                </c:pt>
                <c:pt idx="192">
                  <c:v>-220.93199999999999</c:v>
                </c:pt>
                <c:pt idx="193">
                  <c:v>-219.99600000000001</c:v>
                </c:pt>
                <c:pt idx="194">
                  <c:v>-218.72200000000001</c:v>
                </c:pt>
                <c:pt idx="195">
                  <c:v>-217.619</c:v>
                </c:pt>
                <c:pt idx="196">
                  <c:v>-216.501</c:v>
                </c:pt>
                <c:pt idx="197">
                  <c:v>-215.83600000000001</c:v>
                </c:pt>
                <c:pt idx="198">
                  <c:v>-215.499</c:v>
                </c:pt>
                <c:pt idx="199">
                  <c:v>-212.98699999999999</c:v>
                </c:pt>
                <c:pt idx="200">
                  <c:v>-213.047</c:v>
                </c:pt>
                <c:pt idx="201">
                  <c:v>-211.715</c:v>
                </c:pt>
                <c:pt idx="202">
                  <c:v>-211.89099999999999</c:v>
                </c:pt>
                <c:pt idx="203">
                  <c:v>-209.68</c:v>
                </c:pt>
                <c:pt idx="204">
                  <c:v>-209.52500000000001</c:v>
                </c:pt>
                <c:pt idx="205">
                  <c:v>-207.815</c:v>
                </c:pt>
                <c:pt idx="206">
                  <c:v>-207.916</c:v>
                </c:pt>
                <c:pt idx="207">
                  <c:v>-206.25700000000001</c:v>
                </c:pt>
                <c:pt idx="208">
                  <c:v>-205.79599999999999</c:v>
                </c:pt>
                <c:pt idx="209">
                  <c:v>-205.58</c:v>
                </c:pt>
                <c:pt idx="210">
                  <c:v>-203.78</c:v>
                </c:pt>
                <c:pt idx="211">
                  <c:v>-201.71899999999999</c:v>
                </c:pt>
                <c:pt idx="212">
                  <c:v>-198.27600000000001</c:v>
                </c:pt>
                <c:pt idx="213">
                  <c:v>-197.578</c:v>
                </c:pt>
                <c:pt idx="214">
                  <c:v>-195.64599999999999</c:v>
                </c:pt>
                <c:pt idx="215">
                  <c:v>-192.58199999999999</c:v>
                </c:pt>
                <c:pt idx="216">
                  <c:v>-192.25399999999999</c:v>
                </c:pt>
                <c:pt idx="217">
                  <c:v>-191.02600000000001</c:v>
                </c:pt>
                <c:pt idx="218">
                  <c:v>-189.453</c:v>
                </c:pt>
                <c:pt idx="219">
                  <c:v>-188.48099999999999</c:v>
                </c:pt>
                <c:pt idx="220">
                  <c:v>-186.14400000000001</c:v>
                </c:pt>
                <c:pt idx="221">
                  <c:v>-185.626</c:v>
                </c:pt>
                <c:pt idx="222">
                  <c:v>-184.43100000000001</c:v>
                </c:pt>
                <c:pt idx="223">
                  <c:v>-182.72200000000001</c:v>
                </c:pt>
                <c:pt idx="224">
                  <c:v>-181.726</c:v>
                </c:pt>
                <c:pt idx="225">
                  <c:v>-180.351</c:v>
                </c:pt>
                <c:pt idx="226">
                  <c:v>-179.43</c:v>
                </c:pt>
                <c:pt idx="227">
                  <c:v>-178.09100000000001</c:v>
                </c:pt>
                <c:pt idx="228">
                  <c:v>-176.916</c:v>
                </c:pt>
                <c:pt idx="229">
                  <c:v>-175.511</c:v>
                </c:pt>
                <c:pt idx="230">
                  <c:v>-174.244</c:v>
                </c:pt>
                <c:pt idx="231">
                  <c:v>-173.369</c:v>
                </c:pt>
                <c:pt idx="232">
                  <c:v>-172.084</c:v>
                </c:pt>
                <c:pt idx="233">
                  <c:v>-170.62899999999999</c:v>
                </c:pt>
                <c:pt idx="234">
                  <c:v>-169.465</c:v>
                </c:pt>
                <c:pt idx="235">
                  <c:v>-168.34299999999999</c:v>
                </c:pt>
                <c:pt idx="236">
                  <c:v>-167.03899999999999</c:v>
                </c:pt>
                <c:pt idx="237">
                  <c:v>-165.876</c:v>
                </c:pt>
                <c:pt idx="238">
                  <c:v>-164.703</c:v>
                </c:pt>
                <c:pt idx="239">
                  <c:v>-163.65100000000001</c:v>
                </c:pt>
                <c:pt idx="240">
                  <c:v>-162.52199999999999</c:v>
                </c:pt>
                <c:pt idx="241">
                  <c:v>-161.32599999999999</c:v>
                </c:pt>
                <c:pt idx="242">
                  <c:v>-160.22999999999999</c:v>
                </c:pt>
                <c:pt idx="243">
                  <c:v>-159.27600000000001</c:v>
                </c:pt>
                <c:pt idx="244">
                  <c:v>-158.108</c:v>
                </c:pt>
                <c:pt idx="245">
                  <c:v>-157.06299999999999</c:v>
                </c:pt>
                <c:pt idx="246">
                  <c:v>-156.01</c:v>
                </c:pt>
                <c:pt idx="247">
                  <c:v>-155.03200000000001</c:v>
                </c:pt>
                <c:pt idx="248">
                  <c:v>-154.00200000000001</c:v>
                </c:pt>
                <c:pt idx="249">
                  <c:v>-152.994</c:v>
                </c:pt>
                <c:pt idx="250">
                  <c:v>-152.041</c:v>
                </c:pt>
                <c:pt idx="251">
                  <c:v>-151.05000000000001</c:v>
                </c:pt>
                <c:pt idx="252">
                  <c:v>-150.17400000000001</c:v>
                </c:pt>
                <c:pt idx="253">
                  <c:v>-149.483</c:v>
                </c:pt>
                <c:pt idx="254">
                  <c:v>-148.328</c:v>
                </c:pt>
                <c:pt idx="255">
                  <c:v>-147.47</c:v>
                </c:pt>
                <c:pt idx="256">
                  <c:v>-146.52500000000001</c:v>
                </c:pt>
                <c:pt idx="257">
                  <c:v>-145.744</c:v>
                </c:pt>
                <c:pt idx="258">
                  <c:v>-144.86799999999999</c:v>
                </c:pt>
                <c:pt idx="259">
                  <c:v>-144.06</c:v>
                </c:pt>
                <c:pt idx="260">
                  <c:v>-143.22999999999999</c:v>
                </c:pt>
                <c:pt idx="261">
                  <c:v>-142.31399999999999</c:v>
                </c:pt>
                <c:pt idx="262">
                  <c:v>-141.465</c:v>
                </c:pt>
                <c:pt idx="263">
                  <c:v>-140.39099999999999</c:v>
                </c:pt>
                <c:pt idx="264">
                  <c:v>-139.065</c:v>
                </c:pt>
                <c:pt idx="265">
                  <c:v>-136.58699999999999</c:v>
                </c:pt>
                <c:pt idx="266">
                  <c:v>-135.751</c:v>
                </c:pt>
                <c:pt idx="267">
                  <c:v>-137.57599999999999</c:v>
                </c:pt>
                <c:pt idx="268">
                  <c:v>-138.25</c:v>
                </c:pt>
                <c:pt idx="269">
                  <c:v>-138.07900000000001</c:v>
                </c:pt>
                <c:pt idx="270">
                  <c:v>-137.59100000000001</c:v>
                </c:pt>
                <c:pt idx="271">
                  <c:v>-137.08699999999999</c:v>
                </c:pt>
                <c:pt idx="272">
                  <c:v>-136.553</c:v>
                </c:pt>
                <c:pt idx="273">
                  <c:v>-136.001</c:v>
                </c:pt>
                <c:pt idx="274">
                  <c:v>-135.524</c:v>
                </c:pt>
                <c:pt idx="275">
                  <c:v>-134.983</c:v>
                </c:pt>
                <c:pt idx="276">
                  <c:v>-134.52199999999999</c:v>
                </c:pt>
                <c:pt idx="277">
                  <c:v>-134.059</c:v>
                </c:pt>
                <c:pt idx="278">
                  <c:v>-133.65100000000001</c:v>
                </c:pt>
                <c:pt idx="279">
                  <c:v>-133.24799999999999</c:v>
                </c:pt>
                <c:pt idx="280">
                  <c:v>-132.86600000000001</c:v>
                </c:pt>
                <c:pt idx="281">
                  <c:v>-132.49799999999999</c:v>
                </c:pt>
                <c:pt idx="282">
                  <c:v>-132.279</c:v>
                </c:pt>
                <c:pt idx="283">
                  <c:v>-132.03399999999999</c:v>
                </c:pt>
                <c:pt idx="284">
                  <c:v>-131.40799999999999</c:v>
                </c:pt>
                <c:pt idx="285">
                  <c:v>-131.172</c:v>
                </c:pt>
                <c:pt idx="286">
                  <c:v>-130.929</c:v>
                </c:pt>
                <c:pt idx="287">
                  <c:v>-130.88900000000001</c:v>
                </c:pt>
                <c:pt idx="288">
                  <c:v>-130.62200000000001</c:v>
                </c:pt>
                <c:pt idx="289">
                  <c:v>-130.36099999999999</c:v>
                </c:pt>
                <c:pt idx="290">
                  <c:v>-130.17400000000001</c:v>
                </c:pt>
                <c:pt idx="291">
                  <c:v>-130.05699999999999</c:v>
                </c:pt>
                <c:pt idx="292">
                  <c:v>-130.11600000000001</c:v>
                </c:pt>
                <c:pt idx="293">
                  <c:v>-129.97300000000001</c:v>
                </c:pt>
                <c:pt idx="294">
                  <c:v>-129.96199999999999</c:v>
                </c:pt>
                <c:pt idx="295">
                  <c:v>-129.73099999999999</c:v>
                </c:pt>
                <c:pt idx="296">
                  <c:v>-129.68299999999999</c:v>
                </c:pt>
                <c:pt idx="297">
                  <c:v>-129.64400000000001</c:v>
                </c:pt>
                <c:pt idx="298">
                  <c:v>-129.63</c:v>
                </c:pt>
                <c:pt idx="299">
                  <c:v>-129.62100000000001</c:v>
                </c:pt>
                <c:pt idx="300">
                  <c:v>-129.59</c:v>
                </c:pt>
                <c:pt idx="301">
                  <c:v>-129.61099999999999</c:v>
                </c:pt>
                <c:pt idx="302">
                  <c:v>-129.61699999999999</c:v>
                </c:pt>
                <c:pt idx="303">
                  <c:v>-129.57599999999999</c:v>
                </c:pt>
                <c:pt idx="304">
                  <c:v>-129.52799999999999</c:v>
                </c:pt>
                <c:pt idx="305">
                  <c:v>-129.44300000000001</c:v>
                </c:pt>
                <c:pt idx="306">
                  <c:v>-129.58500000000001</c:v>
                </c:pt>
                <c:pt idx="307">
                  <c:v>-129.61699999999999</c:v>
                </c:pt>
                <c:pt idx="308">
                  <c:v>-129.863</c:v>
                </c:pt>
                <c:pt idx="309">
                  <c:v>-130.31299999999999</c:v>
                </c:pt>
                <c:pt idx="310">
                  <c:v>-130.77099999999999</c:v>
                </c:pt>
                <c:pt idx="311">
                  <c:v>-131.42599999999999</c:v>
                </c:pt>
                <c:pt idx="312">
                  <c:v>-132.06399999999999</c:v>
                </c:pt>
                <c:pt idx="313">
                  <c:v>-132.62899999999999</c:v>
                </c:pt>
                <c:pt idx="314">
                  <c:v>-133.267</c:v>
                </c:pt>
                <c:pt idx="315">
                  <c:v>-133.959</c:v>
                </c:pt>
                <c:pt idx="316">
                  <c:v>-134.75200000000001</c:v>
                </c:pt>
                <c:pt idx="317">
                  <c:v>-135.72399999999999</c:v>
                </c:pt>
                <c:pt idx="318">
                  <c:v>-136.34200000000001</c:v>
                </c:pt>
                <c:pt idx="319">
                  <c:v>-136.816</c:v>
                </c:pt>
                <c:pt idx="320">
                  <c:v>-137.47</c:v>
                </c:pt>
                <c:pt idx="321">
                  <c:v>-137.46899999999999</c:v>
                </c:pt>
                <c:pt idx="322">
                  <c:v>-138.31200000000001</c:v>
                </c:pt>
                <c:pt idx="323">
                  <c:v>-140.114</c:v>
                </c:pt>
                <c:pt idx="324">
                  <c:v>-141.173</c:v>
                </c:pt>
                <c:pt idx="325">
                  <c:v>-141.86199999999999</c:v>
                </c:pt>
                <c:pt idx="326">
                  <c:v>-143.41399999999999</c:v>
                </c:pt>
                <c:pt idx="327">
                  <c:v>-144.279</c:v>
                </c:pt>
                <c:pt idx="328">
                  <c:v>-145.40799999999999</c:v>
                </c:pt>
                <c:pt idx="329">
                  <c:v>-146.886</c:v>
                </c:pt>
                <c:pt idx="330">
                  <c:v>-147.23699999999999</c:v>
                </c:pt>
                <c:pt idx="331">
                  <c:v>-148.923</c:v>
                </c:pt>
                <c:pt idx="332">
                  <c:v>-149.92099999999999</c:v>
                </c:pt>
                <c:pt idx="333">
                  <c:v>-151.101</c:v>
                </c:pt>
                <c:pt idx="334">
                  <c:v>-153.08699999999999</c:v>
                </c:pt>
                <c:pt idx="335">
                  <c:v>-154.70699999999999</c:v>
                </c:pt>
                <c:pt idx="336">
                  <c:v>-156.46</c:v>
                </c:pt>
                <c:pt idx="337">
                  <c:v>-158.77500000000001</c:v>
                </c:pt>
                <c:pt idx="338">
                  <c:v>-161.529</c:v>
                </c:pt>
                <c:pt idx="339">
                  <c:v>-163.59700000000001</c:v>
                </c:pt>
                <c:pt idx="340">
                  <c:v>-165.89599999999999</c:v>
                </c:pt>
                <c:pt idx="341">
                  <c:v>-168.07</c:v>
                </c:pt>
                <c:pt idx="342">
                  <c:v>-170.82400000000001</c:v>
                </c:pt>
                <c:pt idx="343">
                  <c:v>-173.35300000000001</c:v>
                </c:pt>
                <c:pt idx="344">
                  <c:v>-175.80699999999999</c:v>
                </c:pt>
                <c:pt idx="345">
                  <c:v>-177.72399999999999</c:v>
                </c:pt>
                <c:pt idx="346">
                  <c:v>-178.92099999999999</c:v>
                </c:pt>
                <c:pt idx="347">
                  <c:v>-181.99</c:v>
                </c:pt>
                <c:pt idx="348">
                  <c:v>-183.36099999999999</c:v>
                </c:pt>
                <c:pt idx="349">
                  <c:v>-186.209</c:v>
                </c:pt>
                <c:pt idx="350">
                  <c:v>-189.75</c:v>
                </c:pt>
                <c:pt idx="351">
                  <c:v>-192.398</c:v>
                </c:pt>
                <c:pt idx="352">
                  <c:v>-194.60300000000001</c:v>
                </c:pt>
                <c:pt idx="353">
                  <c:v>-197.85300000000001</c:v>
                </c:pt>
                <c:pt idx="354">
                  <c:v>-200.482</c:v>
                </c:pt>
                <c:pt idx="355">
                  <c:v>-203.33199999999999</c:v>
                </c:pt>
                <c:pt idx="356">
                  <c:v>-205.19499999999999</c:v>
                </c:pt>
                <c:pt idx="357">
                  <c:v>-207.41</c:v>
                </c:pt>
                <c:pt idx="358">
                  <c:v>-210.39400000000001</c:v>
                </c:pt>
                <c:pt idx="359">
                  <c:v>-213.04300000000001</c:v>
                </c:pt>
                <c:pt idx="360">
                  <c:v>-214.58500000000001</c:v>
                </c:pt>
                <c:pt idx="361">
                  <c:v>-217.34299999999999</c:v>
                </c:pt>
                <c:pt idx="362">
                  <c:v>-219.017</c:v>
                </c:pt>
                <c:pt idx="363">
                  <c:v>-221.39400000000001</c:v>
                </c:pt>
                <c:pt idx="364">
                  <c:v>-223.214</c:v>
                </c:pt>
                <c:pt idx="365">
                  <c:v>-225.053</c:v>
                </c:pt>
                <c:pt idx="366">
                  <c:v>-226.50200000000001</c:v>
                </c:pt>
                <c:pt idx="367">
                  <c:v>131.81700000000001</c:v>
                </c:pt>
                <c:pt idx="368">
                  <c:v>129.95699999999999</c:v>
                </c:pt>
                <c:pt idx="369">
                  <c:v>126.41800000000001</c:v>
                </c:pt>
                <c:pt idx="370">
                  <c:v>125.40900000000001</c:v>
                </c:pt>
                <c:pt idx="371">
                  <c:v>124.027</c:v>
                </c:pt>
                <c:pt idx="372">
                  <c:v>122.795</c:v>
                </c:pt>
                <c:pt idx="373">
                  <c:v>121.76300000000001</c:v>
                </c:pt>
                <c:pt idx="374">
                  <c:v>121.762</c:v>
                </c:pt>
                <c:pt idx="375">
                  <c:v>119.89400000000001</c:v>
                </c:pt>
                <c:pt idx="376">
                  <c:v>119.196</c:v>
                </c:pt>
                <c:pt idx="377">
                  <c:v>116.889</c:v>
                </c:pt>
                <c:pt idx="378">
                  <c:v>117.324</c:v>
                </c:pt>
                <c:pt idx="379">
                  <c:v>115.142</c:v>
                </c:pt>
                <c:pt idx="380">
                  <c:v>115.247</c:v>
                </c:pt>
                <c:pt idx="381">
                  <c:v>113.164</c:v>
                </c:pt>
                <c:pt idx="382">
                  <c:v>112.872</c:v>
                </c:pt>
                <c:pt idx="383">
                  <c:v>110.592</c:v>
                </c:pt>
                <c:pt idx="384">
                  <c:v>111.01300000000001</c:v>
                </c:pt>
                <c:pt idx="385">
                  <c:v>109.21</c:v>
                </c:pt>
                <c:pt idx="386">
                  <c:v>107.553</c:v>
                </c:pt>
                <c:pt idx="387">
                  <c:v>107.324</c:v>
                </c:pt>
                <c:pt idx="388">
                  <c:v>105.50700000000001</c:v>
                </c:pt>
                <c:pt idx="389">
                  <c:v>105.28700000000001</c:v>
                </c:pt>
                <c:pt idx="390">
                  <c:v>105.286</c:v>
                </c:pt>
                <c:pt idx="391">
                  <c:v>105.187</c:v>
                </c:pt>
                <c:pt idx="392">
                  <c:v>104.541</c:v>
                </c:pt>
                <c:pt idx="393">
                  <c:v>103.205</c:v>
                </c:pt>
                <c:pt idx="394">
                  <c:v>103.91</c:v>
                </c:pt>
                <c:pt idx="395">
                  <c:v>102.337</c:v>
                </c:pt>
                <c:pt idx="396">
                  <c:v>100.33499999999999</c:v>
                </c:pt>
                <c:pt idx="397">
                  <c:v>100.20399999999999</c:v>
                </c:pt>
                <c:pt idx="398">
                  <c:v>99.956599999999995</c:v>
                </c:pt>
                <c:pt idx="399">
                  <c:v>98.699600000000004</c:v>
                </c:pt>
              </c:numCache>
            </c:numRef>
          </c:yVal>
          <c:smooth val="0"/>
          <c:extLst>
            <c:ext xmlns:c16="http://schemas.microsoft.com/office/drawing/2014/chart" uri="{C3380CC4-5D6E-409C-BE32-E72D297353CC}">
              <c16:uniqueId val="{00000003-2A10-41EA-A3AE-967165122F16}"/>
            </c:ext>
          </c:extLst>
        </c:ser>
        <c:dLbls>
          <c:showLegendKey val="0"/>
          <c:showVal val="0"/>
          <c:showCatName val="0"/>
          <c:showSerName val="0"/>
          <c:showPercent val="0"/>
          <c:showBubbleSize val="0"/>
        </c:dLbls>
        <c:axId val="176943488"/>
        <c:axId val="176945024"/>
      </c:scatterChart>
      <c:valAx>
        <c:axId val="176934912"/>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37216"/>
        <c:crossesAt val="-80"/>
        <c:crossBetween val="midCat"/>
      </c:valAx>
      <c:valAx>
        <c:axId val="176937216"/>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34912"/>
        <c:crosses val="autoZero"/>
        <c:crossBetween val="midCat"/>
      </c:valAx>
      <c:valAx>
        <c:axId val="176943488"/>
        <c:scaling>
          <c:logBase val="10"/>
          <c:orientation val="minMax"/>
        </c:scaling>
        <c:delete val="1"/>
        <c:axPos val="b"/>
        <c:numFmt formatCode="General" sourceLinked="1"/>
        <c:majorTickMark val="out"/>
        <c:minorTickMark val="none"/>
        <c:tickLblPos val="none"/>
        <c:crossAx val="176945024"/>
        <c:crosses val="autoZero"/>
        <c:crossBetween val="midCat"/>
      </c:valAx>
      <c:valAx>
        <c:axId val="176945024"/>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43488"/>
        <c:crosses val="max"/>
        <c:crossBetween val="midCat"/>
      </c:valAx>
      <c:spPr>
        <a:noFill/>
        <a:ln w="12700">
          <a:solidFill>
            <a:srgbClr val="808080"/>
          </a:solidFill>
          <a:prstDash val="solid"/>
        </a:ln>
      </c:spPr>
    </c:plotArea>
    <c:legend>
      <c:legendPos val="t"/>
      <c:layout>
        <c:manualLayout>
          <c:xMode val="edge"/>
          <c:yMode val="edge"/>
          <c:x val="0.70471147628286246"/>
          <c:y val="1.2987012987012988E-2"/>
          <c:w val="0.275362889421434"/>
          <c:h val="0.1454548181477332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MOSFET Temp Rise</a:t>
            </a:r>
          </a:p>
        </c:rich>
      </c:tx>
      <c:layout>
        <c:manualLayout>
          <c:xMode val="edge"/>
          <c:yMode val="edge"/>
          <c:x val="0.42444773564332877"/>
          <c:y val="5.7239057239057242E-2"/>
        </c:manualLayout>
      </c:layout>
      <c:overlay val="0"/>
      <c:spPr>
        <a:noFill/>
        <a:ln w="25400">
          <a:noFill/>
        </a:ln>
      </c:spPr>
    </c:title>
    <c:autoTitleDeleted val="0"/>
    <c:plotArea>
      <c:layout>
        <c:manualLayout>
          <c:layoutTarget val="inner"/>
          <c:xMode val="edge"/>
          <c:yMode val="edge"/>
          <c:x val="0.13531808670268541"/>
          <c:y val="0.15757606845026306"/>
          <c:w val="0.84573804189178381"/>
          <c:h val="0.71717313204926625"/>
        </c:manualLayout>
      </c:layout>
      <c:scatterChart>
        <c:scatterStyle val="lineMarker"/>
        <c:varyColors val="0"/>
        <c:ser>
          <c:idx val="0"/>
          <c:order val="0"/>
          <c:tx>
            <c:v>Top FET</c:v>
          </c:tx>
          <c:spPr>
            <a:ln w="38100">
              <a:solidFill>
                <a:srgbClr val="00008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Calculations'!$AR$9:$AR$209</c:f>
              <c:numCache>
                <c:formatCode>0.0</c:formatCode>
                <c:ptCount val="201"/>
                <c:pt idx="0">
                  <c:v>1.3381203466368188</c:v>
                </c:pt>
                <c:pt idx="1">
                  <c:v>1.3598983750157976</c:v>
                </c:pt>
                <c:pt idx="2">
                  <c:v>1.3819782653331796</c:v>
                </c:pt>
                <c:pt idx="3">
                  <c:v>1.404360216131693</c:v>
                </c:pt>
                <c:pt idx="4">
                  <c:v>1.4270444281744792</c:v>
                </c:pt>
                <c:pt idx="5">
                  <c:v>1.4500311044489531</c:v>
                </c:pt>
                <c:pt idx="6">
                  <c:v>1.4733204501706947</c:v>
                </c:pt>
                <c:pt idx="7">
                  <c:v>1.4969126727873971</c:v>
                </c:pt>
                <c:pt idx="8">
                  <c:v>1.5208079819828435</c:v>
                </c:pt>
                <c:pt idx="9">
                  <c:v>1.5450065896809351</c:v>
                </c:pt>
                <c:pt idx="10">
                  <c:v>1.569508710049758</c:v>
                </c:pt>
                <c:pt idx="11">
                  <c:v>1.5943145595056947</c:v>
                </c:pt>
                <c:pt idx="12">
                  <c:v>1.6194243567175741</c:v>
                </c:pt>
                <c:pt idx="13">
                  <c:v>1.6448383226108743</c:v>
                </c:pt>
                <c:pt idx="14">
                  <c:v>1.6705566803719565</c:v>
                </c:pt>
                <c:pt idx="15">
                  <c:v>1.6965796554523509</c:v>
                </c:pt>
                <c:pt idx="16">
                  <c:v>1.7229074755730822</c:v>
                </c:pt>
                <c:pt idx="17">
                  <c:v>1.7495403707290389</c:v>
                </c:pt>
                <c:pt idx="18">
                  <c:v>1.7764785731933919</c:v>
                </c:pt>
                <c:pt idx="19">
                  <c:v>1.8037223175220436</c:v>
                </c:pt>
                <c:pt idx="20">
                  <c:v>1.8659630248101626</c:v>
                </c:pt>
                <c:pt idx="21">
                  <c:v>1.968565975092706</c:v>
                </c:pt>
                <c:pt idx="22">
                  <c:v>2.0714791116860591</c:v>
                </c:pt>
                <c:pt idx="23">
                  <c:v>2.1747029501894719</c:v>
                </c:pt>
                <c:pt idx="24">
                  <c:v>2.2782380087068952</c:v>
                </c:pt>
                <c:pt idx="25">
                  <c:v>2.3820848078550472</c:v>
                </c:pt>
                <c:pt idx="26">
                  <c:v>2.4862438707715371</c:v>
                </c:pt>
                <c:pt idx="27">
                  <c:v>2.5907157231230311</c:v>
                </c:pt>
                <c:pt idx="28">
                  <c:v>2.6955008931134756</c:v>
                </c:pt>
                <c:pt idx="29">
                  <c:v>2.8005999114923794</c:v>
                </c:pt>
                <c:pt idx="30">
                  <c:v>2.8844204688158142</c:v>
                </c:pt>
                <c:pt idx="31">
                  <c:v>2.9394349886459685</c:v>
                </c:pt>
                <c:pt idx="32">
                  <c:v>2.9947610708149734</c:v>
                </c:pt>
                <c:pt idx="33">
                  <c:v>3.0503990708709785</c:v>
                </c:pt>
                <c:pt idx="34">
                  <c:v>3.1063493467966321</c:v>
                </c:pt>
                <c:pt idx="35">
                  <c:v>3.1626122590153747</c:v>
                </c:pt>
                <c:pt idx="36">
                  <c:v>3.2191881703977741</c:v>
                </c:pt>
                <c:pt idx="37">
                  <c:v>3.276077446267923</c:v>
                </c:pt>
                <c:pt idx="38">
                  <c:v>3.3332804544098682</c:v>
                </c:pt>
                <c:pt idx="39">
                  <c:v>3.3907975650741098</c:v>
                </c:pt>
                <c:pt idx="40">
                  <c:v>3.448629150984134</c:v>
                </c:pt>
                <c:pt idx="41">
                  <c:v>3.5067755873430042</c:v>
                </c:pt>
                <c:pt idx="42">
                  <c:v>3.5652372518400091</c:v>
                </c:pt>
                <c:pt idx="43">
                  <c:v>3.624014524657345</c:v>
                </c:pt>
                <c:pt idx="44">
                  <c:v>3.6831077884768644</c:v>
                </c:pt>
                <c:pt idx="45">
                  <c:v>3.7425174284868716</c:v>
                </c:pt>
                <c:pt idx="46">
                  <c:v>3.8022438323889629</c:v>
                </c:pt>
                <c:pt idx="47">
                  <c:v>3.8622873904049304</c:v>
                </c:pt>
                <c:pt idx="48">
                  <c:v>3.9226484952837128</c:v>
                </c:pt>
                <c:pt idx="49">
                  <c:v>3.9833275423083938</c:v>
                </c:pt>
                <c:pt idx="50">
                  <c:v>4.0443249293032562</c:v>
                </c:pt>
                <c:pt idx="51">
                  <c:v>4.1056410566408967</c:v>
                </c:pt>
                <c:pt idx="52">
                  <c:v>4.1672763272493833</c:v>
                </c:pt>
                <c:pt idx="53">
                  <c:v>4.229231146619469</c:v>
                </c:pt>
                <c:pt idx="54">
                  <c:v>4.2915059228118579</c:v>
                </c:pt>
                <c:pt idx="55">
                  <c:v>4.3541010664645361</c:v>
                </c:pt>
                <c:pt idx="56">
                  <c:v>4.4170169908001373</c:v>
                </c:pt>
                <c:pt idx="57">
                  <c:v>4.4802541116333767</c:v>
                </c:pt>
                <c:pt idx="58">
                  <c:v>4.5438128473785397</c:v>
                </c:pt>
                <c:pt idx="59">
                  <c:v>4.6076936190570219</c:v>
                </c:pt>
                <c:pt idx="60">
                  <c:v>4.6718968503049121</c:v>
                </c:pt>
                <c:pt idx="61">
                  <c:v>4.7364229673806602</c:v>
                </c:pt>
                <c:pt idx="62">
                  <c:v>4.801272399172773</c:v>
                </c:pt>
                <c:pt idx="63">
                  <c:v>4.8664455772075792</c:v>
                </c:pt>
                <c:pt idx="64">
                  <c:v>4.9319429356570446</c:v>
                </c:pt>
                <c:pt idx="65">
                  <c:v>4.9977649113466516</c:v>
                </c:pt>
                <c:pt idx="66">
                  <c:v>5.0639119437633271</c:v>
                </c:pt>
                <c:pt idx="67">
                  <c:v>5.1303844750634378</c:v>
                </c:pt>
                <c:pt idx="68">
                  <c:v>5.1971829500808209</c:v>
                </c:pt>
                <c:pt idx="69">
                  <c:v>5.2643078163349122</c:v>
                </c:pt>
                <c:pt idx="70">
                  <c:v>5.3317595240388806</c:v>
                </c:pt>
                <c:pt idx="71">
                  <c:v>5.3995385261078681</c:v>
                </c:pt>
                <c:pt idx="72">
                  <c:v>5.4676452781672573</c:v>
                </c:pt>
                <c:pt idx="73">
                  <c:v>5.5360802385610137</c:v>
                </c:pt>
                <c:pt idx="74">
                  <c:v>5.6048438683600796</c:v>
                </c:pt>
                <c:pt idx="75">
                  <c:v>5.6739366313708306</c:v>
                </c:pt>
                <c:pt idx="76">
                  <c:v>5.7433589941435876</c:v>
                </c:pt>
                <c:pt idx="77">
                  <c:v>5.8131114259811971</c:v>
                </c:pt>
                <c:pt idx="78">
                  <c:v>5.8831943989476621</c:v>
                </c:pt>
                <c:pt idx="79">
                  <c:v>5.9536083878768427</c:v>
                </c:pt>
                <c:pt idx="80">
                  <c:v>6.0243538703812076</c:v>
                </c:pt>
                <c:pt idx="81">
                  <c:v>6.0954313268606555</c:v>
                </c:pt>
                <c:pt idx="82">
                  <c:v>6.1668412405113964</c:v>
                </c:pt>
                <c:pt idx="83">
                  <c:v>6.2385840973348898</c:v>
                </c:pt>
                <c:pt idx="84">
                  <c:v>6.3106603861468473</c:v>
                </c:pt>
                <c:pt idx="85">
                  <c:v>6.3830705985863103</c:v>
                </c:pt>
                <c:pt idx="86">
                  <c:v>6.4558152291247586</c:v>
                </c:pt>
                <c:pt idx="87">
                  <c:v>6.5288947750753223</c:v>
                </c:pt>
                <c:pt idx="88">
                  <c:v>6.6023097366020327</c:v>
                </c:pt>
                <c:pt idx="89">
                  <c:v>6.6760606167291225</c:v>
                </c:pt>
                <c:pt idx="90">
                  <c:v>6.7501479213504449</c:v>
                </c:pt>
                <c:pt idx="91">
                  <c:v>6.8245721592388957</c:v>
                </c:pt>
                <c:pt idx="92">
                  <c:v>6.8993338420559311</c:v>
                </c:pt>
                <c:pt idx="93">
                  <c:v>6.9744334843611533</c:v>
                </c:pt>
                <c:pt idx="94">
                  <c:v>7.0498716036219449</c:v>
                </c:pt>
                <c:pt idx="95">
                  <c:v>7.1256487202231904</c:v>
                </c:pt>
                <c:pt idx="96">
                  <c:v>7.2017653574770444</c:v>
                </c:pt>
                <c:pt idx="97">
                  <c:v>7.2782220416327688</c:v>
                </c:pt>
                <c:pt idx="98">
                  <c:v>7.3550193018866565</c:v>
                </c:pt>
                <c:pt idx="99">
                  <c:v>7.432157670391998</c:v>
                </c:pt>
                <c:pt idx="100">
                  <c:v>7.5096376822691324</c:v>
                </c:pt>
                <c:pt idx="101">
                  <c:v>7.587459875615556</c:v>
                </c:pt>
                <c:pt idx="102">
                  <c:v>7.6656247915161027</c:v>
                </c:pt>
                <c:pt idx="103">
                  <c:v>7.7441329740531977</c:v>
                </c:pt>
                <c:pt idx="104">
                  <c:v>7.8229849703171785</c:v>
                </c:pt>
                <c:pt idx="105">
                  <c:v>7.9021813304166812</c:v>
                </c:pt>
                <c:pt idx="106">
                  <c:v>7.9817226074890888</c:v>
                </c:pt>
                <c:pt idx="107">
                  <c:v>8.0616093577110881</c:v>
                </c:pt>
                <c:pt idx="108">
                  <c:v>8.1418421403092367</c:v>
                </c:pt>
                <c:pt idx="109">
                  <c:v>8.2224215175706572</c:v>
                </c:pt>
                <c:pt idx="110">
                  <c:v>8.3033480548537781</c:v>
                </c:pt>
                <c:pt idx="111">
                  <c:v>8.3846223205991297</c:v>
                </c:pt>
                <c:pt idx="112">
                  <c:v>8.4662448863402595</c:v>
                </c:pt>
                <c:pt idx="113">
                  <c:v>8.5482163267146589</c:v>
                </c:pt>
                <c:pt idx="114">
                  <c:v>8.6305372194748369</c:v>
                </c:pt>
                <c:pt idx="115">
                  <c:v>8.7132081454993919</c:v>
                </c:pt>
                <c:pt idx="116">
                  <c:v>8.7962296888042033</c:v>
                </c:pt>
                <c:pt idx="117">
                  <c:v>8.8796024365536912</c:v>
                </c:pt>
                <c:pt idx="118">
                  <c:v>8.9633269790721446</c:v>
                </c:pt>
                <c:pt idx="119">
                  <c:v>9.047403909855122</c:v>
                </c:pt>
                <c:pt idx="120">
                  <c:v>9.1318338255809337</c:v>
                </c:pt>
                <c:pt idx="121">
                  <c:v>9.2166173261222095</c:v>
                </c:pt>
                <c:pt idx="122">
                  <c:v>9.3017550145575125</c:v>
                </c:pt>
                <c:pt idx="123">
                  <c:v>9.3872474971830648</c:v>
                </c:pt>
                <c:pt idx="124">
                  <c:v>9.4730953835245355</c:v>
                </c:pt>
                <c:pt idx="125">
                  <c:v>9.5592992863488977</c:v>
                </c:pt>
                <c:pt idx="126">
                  <c:v>9.6458598216763836</c:v>
                </c:pt>
                <c:pt idx="127">
                  <c:v>9.7327776087924853</c:v>
                </c:pt>
                <c:pt idx="128">
                  <c:v>9.8200532702600984</c:v>
                </c:pt>
                <c:pt idx="129">
                  <c:v>9.9076874319316683</c:v>
                </c:pt>
                <c:pt idx="130">
                  <c:v>9.9956807229614579</c:v>
                </c:pt>
                <c:pt idx="131">
                  <c:v>10.084033775817902</c:v>
                </c:pt>
                <c:pt idx="132">
                  <c:v>10.172747226296035</c:v>
                </c:pt>
                <c:pt idx="133">
                  <c:v>10.261821713529981</c:v>
                </c:pt>
                <c:pt idx="134">
                  <c:v>10.351257880005553</c:v>
                </c:pt>
                <c:pt idx="135">
                  <c:v>10.441056371572916</c:v>
                </c:pt>
                <c:pt idx="136">
                  <c:v>10.531217837459346</c:v>
                </c:pt>
                <c:pt idx="137">
                  <c:v>10.621742930282075</c:v>
                </c:pt>
                <c:pt idx="138">
                  <c:v>10.712632306061193</c:v>
                </c:pt>
                <c:pt idx="139">
                  <c:v>10.803886624232682</c:v>
                </c:pt>
                <c:pt idx="140">
                  <c:v>10.895506547661475</c:v>
                </c:pt>
                <c:pt idx="141">
                  <c:v>10.987492742654654</c:v>
                </c:pt>
                <c:pt idx="142">
                  <c:v>11.079845878974707</c:v>
                </c:pt>
                <c:pt idx="143">
                  <c:v>11.172566629852888</c:v>
                </c:pt>
                <c:pt idx="144">
                  <c:v>11.265655672002634</c:v>
                </c:pt>
                <c:pt idx="145">
                  <c:v>11.359113685633094</c:v>
                </c:pt>
                <c:pt idx="146">
                  <c:v>11.45294135446278</c:v>
                </c:pt>
                <c:pt idx="147">
                  <c:v>11.547139365733194</c:v>
                </c:pt>
                <c:pt idx="148">
                  <c:v>11.641708410222693</c:v>
                </c:pt>
                <c:pt idx="149">
                  <c:v>11.736649182260322</c:v>
                </c:pt>
                <c:pt idx="150">
                  <c:v>11.831962379739815</c:v>
                </c:pt>
                <c:pt idx="151">
                  <c:v>11.927648704133629</c:v>
                </c:pt>
                <c:pt idx="152">
                  <c:v>12.023708860507124</c:v>
                </c:pt>
                <c:pt idx="153">
                  <c:v>12.120143557532794</c:v>
                </c:pt>
                <c:pt idx="154">
                  <c:v>12.216953507504602</c:v>
                </c:pt>
                <c:pt idx="155">
                  <c:v>12.314139426352432</c:v>
                </c:pt>
                <c:pt idx="156">
                  <c:v>12.411702033656583</c:v>
                </c:pt>
                <c:pt idx="157">
                  <c:v>12.509642052662425</c:v>
                </c:pt>
                <c:pt idx="158">
                  <c:v>12.607960210295079</c:v>
                </c:pt>
                <c:pt idx="159">
                  <c:v>12.706657237174257</c:v>
                </c:pt>
                <c:pt idx="160">
                  <c:v>12.805733867629144</c:v>
                </c:pt>
                <c:pt idx="161">
                  <c:v>12.905190839713415</c:v>
                </c:pt>
                <c:pt idx="162">
                  <c:v>13.005028895220347</c:v>
                </c:pt>
                <c:pt idx="163">
                  <c:v>13.105248779697975</c:v>
                </c:pt>
                <c:pt idx="164">
                  <c:v>13.205851242464442</c:v>
                </c:pt>
                <c:pt idx="165">
                  <c:v>13.306837036623358</c:v>
                </c:pt>
                <c:pt idx="166">
                  <c:v>13.408206919079319</c:v>
                </c:pt>
                <c:pt idx="167">
                  <c:v>13.509961650553482</c:v>
                </c:pt>
                <c:pt idx="168">
                  <c:v>13.612101995599277</c:v>
                </c:pt>
                <c:pt idx="169">
                  <c:v>13.714628722618205</c:v>
                </c:pt>
                <c:pt idx="170">
                  <c:v>13.817542603875735</c:v>
                </c:pt>
                <c:pt idx="171">
                  <c:v>13.920844415517323</c:v>
                </c:pt>
                <c:pt idx="172">
                  <c:v>14.024534937584496</c:v>
                </c:pt>
                <c:pt idx="173">
                  <c:v>14.128614954031079</c:v>
                </c:pt>
                <c:pt idx="174">
                  <c:v>14.233085252739519</c:v>
                </c:pt>
                <c:pt idx="175">
                  <c:v>14.337946625537299</c:v>
                </c:pt>
                <c:pt idx="176">
                  <c:v>14.443199868213464</c:v>
                </c:pt>
                <c:pt idx="177">
                  <c:v>14.548845780535272</c:v>
                </c:pt>
                <c:pt idx="178">
                  <c:v>14.654885166264922</c:v>
                </c:pt>
                <c:pt idx="179">
                  <c:v>14.761318833176421</c:v>
                </c:pt>
                <c:pt idx="180">
                  <c:v>14.868147593072543</c:v>
                </c:pt>
                <c:pt idx="181">
                  <c:v>14.975372261801887</c:v>
                </c:pt>
                <c:pt idx="182">
                  <c:v>15.082993659276084</c:v>
                </c:pt>
                <c:pt idx="183">
                  <c:v>15.191012609487068</c:v>
                </c:pt>
                <c:pt idx="184">
                  <c:v>15.299429940524497</c:v>
                </c:pt>
                <c:pt idx="185">
                  <c:v>15.40824648459326</c:v>
                </c:pt>
                <c:pt idx="186">
                  <c:v>15.517463078031113</c:v>
                </c:pt>
                <c:pt idx="187">
                  <c:v>15.627080561326439</c:v>
                </c:pt>
                <c:pt idx="188">
                  <c:v>15.737099779136077</c:v>
                </c:pt>
                <c:pt idx="189">
                  <c:v>15.847521580303342</c:v>
                </c:pt>
                <c:pt idx="190">
                  <c:v>15.958346817876068</c:v>
                </c:pt>
                <c:pt idx="191">
                  <c:v>16.069576349124855</c:v>
                </c:pt>
                <c:pt idx="192">
                  <c:v>16.18121103556139</c:v>
                </c:pt>
                <c:pt idx="193">
                  <c:v>16.293251742956894</c:v>
                </c:pt>
                <c:pt idx="194">
                  <c:v>16.405699341360663</c:v>
                </c:pt>
                <c:pt idx="195">
                  <c:v>16.518554705118792</c:v>
                </c:pt>
                <c:pt idx="196">
                  <c:v>16.631818712892972</c:v>
                </c:pt>
                <c:pt idx="197">
                  <c:v>16.745492247679408</c:v>
                </c:pt>
                <c:pt idx="198">
                  <c:v>16.85957619682787</c:v>
                </c:pt>
                <c:pt idx="199">
                  <c:v>16.974071452060894</c:v>
                </c:pt>
                <c:pt idx="200">
                  <c:v>17.088978909493054</c:v>
                </c:pt>
              </c:numCache>
            </c:numRef>
          </c:yVal>
          <c:smooth val="0"/>
          <c:extLst>
            <c:ext xmlns:c16="http://schemas.microsoft.com/office/drawing/2014/chart" uri="{C3380CC4-5D6E-409C-BE32-E72D297353CC}">
              <c16:uniqueId val="{00000000-9EA1-4F4F-9ACD-6AF9DCA0F73F}"/>
            </c:ext>
          </c:extLst>
        </c:ser>
        <c:ser>
          <c:idx val="1"/>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Calculations'!$AS$9:$AS$209</c:f>
              <c:numCache>
                <c:formatCode>0.0</c:formatCode>
                <c:ptCount val="201"/>
                <c:pt idx="0">
                  <c:v>0.39229242218821969</c:v>
                </c:pt>
                <c:pt idx="1">
                  <c:v>0.40380863513683923</c:v>
                </c:pt>
                <c:pt idx="2">
                  <c:v>0.41574555209020941</c:v>
                </c:pt>
                <c:pt idx="3">
                  <c:v>0.42810311957078634</c:v>
                </c:pt>
                <c:pt idx="4">
                  <c:v>0.44088128831650464</c:v>
                </c:pt>
                <c:pt idx="5">
                  <c:v>0.45408001327807612</c:v>
                </c:pt>
                <c:pt idx="6">
                  <c:v>0.46769925361639547</c:v>
                </c:pt>
                <c:pt idx="7">
                  <c:v>0.48173897270005239</c:v>
                </c:pt>
                <c:pt idx="8">
                  <c:v>0.49619913810294958</c:v>
                </c:pt>
                <c:pt idx="9">
                  <c:v>0.51107972160202619</c:v>
                </c:pt>
                <c:pt idx="10">
                  <c:v>0.52638069917508878</c:v>
                </c:pt>
                <c:pt idx="11">
                  <c:v>0.54210205099874575</c:v>
                </c:pt>
                <c:pt idx="12">
                  <c:v>0.55824376144644949</c:v>
                </c:pt>
                <c:pt idx="13">
                  <c:v>0.57480581908664341</c:v>
                </c:pt>
                <c:pt idx="14">
                  <c:v>0.59178821668101222</c:v>
                </c:pt>
                <c:pt idx="15">
                  <c:v>0.60919095118284106</c:v>
                </c:pt>
                <c:pt idx="16">
                  <c:v>0.62701402373547765</c:v>
                </c:pt>
                <c:pt idx="17">
                  <c:v>0.64525743967089855</c:v>
                </c:pt>
                <c:pt idx="18">
                  <c:v>0.66392120850838332</c:v>
                </c:pt>
                <c:pt idx="19">
                  <c:v>0.68300534395328982</c:v>
                </c:pt>
                <c:pt idx="20">
                  <c:v>0.70250986389593795</c:v>
                </c:pt>
                <c:pt idx="21">
                  <c:v>0.72243479041059488</c:v>
                </c:pt>
                <c:pt idx="22">
                  <c:v>0.74278014975456697</c:v>
                </c:pt>
                <c:pt idx="23">
                  <c:v>0.76354597236739519</c:v>
                </c:pt>
                <c:pt idx="24">
                  <c:v>0.78473229287015478</c:v>
                </c:pt>
                <c:pt idx="25">
                  <c:v>0.80633915006486057</c:v>
                </c:pt>
                <c:pt idx="26">
                  <c:v>0.82836658693397525</c:v>
                </c:pt>
                <c:pt idx="27">
                  <c:v>0.85081465064002093</c:v>
                </c:pt>
                <c:pt idx="28">
                  <c:v>0.87368339252529914</c:v>
                </c:pt>
                <c:pt idx="29">
                  <c:v>0.89697286811170962</c:v>
                </c:pt>
                <c:pt idx="30">
                  <c:v>0.9254598746721141</c:v>
                </c:pt>
                <c:pt idx="31">
                  <c:v>0.96081006144219938</c:v>
                </c:pt>
                <c:pt idx="32">
                  <c:v>0.99658236596353766</c:v>
                </c:pt>
                <c:pt idx="33">
                  <c:v>1.0327769167756153</c:v>
                </c:pt>
                <c:pt idx="34">
                  <c:v>1.0693938466017858</c:v>
                </c:pt>
                <c:pt idx="35">
                  <c:v>1.1064332923506461</c:v>
                </c:pt>
                <c:pt idx="36">
                  <c:v>1.1438953951175233</c:v>
                </c:pt>
                <c:pt idx="37">
                  <c:v>1.1817803001860572</c:v>
                </c:pt>
                <c:pt idx="38">
                  <c:v>1.2200881570298934</c:v>
                </c:pt>
                <c:pt idx="39">
                  <c:v>1.2588191193144764</c:v>
                </c:pt>
                <c:pt idx="40">
                  <c:v>1.2979733448989494</c:v>
                </c:pt>
                <c:pt idx="41">
                  <c:v>1.3375509958381548</c:v>
                </c:pt>
                <c:pt idx="42">
                  <c:v>1.3775522383847427</c:v>
                </c:pt>
                <c:pt idx="43">
                  <c:v>1.4179772429913795</c:v>
                </c:pt>
                <c:pt idx="44">
                  <c:v>1.4588261843130639</c:v>
                </c:pt>
                <c:pt idx="45">
                  <c:v>1.5000992412095453</c:v>
                </c:pt>
                <c:pt idx="46">
                  <c:v>1.541796596747848</c:v>
                </c:pt>
                <c:pt idx="47">
                  <c:v>1.5839184382048959</c:v>
                </c:pt>
                <c:pt idx="48">
                  <c:v>1.6264649570702492</c:v>
                </c:pt>
                <c:pt idx="49">
                  <c:v>1.6694363490489379</c:v>
                </c:pt>
                <c:pt idx="50">
                  <c:v>1.7128328140644022</c:v>
                </c:pt>
                <c:pt idx="51">
                  <c:v>1.7566545562615412</c:v>
                </c:pt>
                <c:pt idx="52">
                  <c:v>1.8009017840098624</c:v>
                </c:pt>
                <c:pt idx="53">
                  <c:v>1.8455747099067357</c:v>
                </c:pt>
                <c:pt idx="54">
                  <c:v>1.8906735507807568</c:v>
                </c:pt>
                <c:pt idx="55">
                  <c:v>1.9361985276952116</c:v>
                </c:pt>
                <c:pt idx="56">
                  <c:v>1.9821498659516472</c:v>
                </c:pt>
                <c:pt idx="57">
                  <c:v>2.028527795093547</c:v>
                </c:pt>
                <c:pt idx="58">
                  <c:v>2.0753325489101173</c:v>
                </c:pt>
                <c:pt idx="59">
                  <c:v>2.1225643654401689</c:v>
                </c:pt>
                <c:pt idx="60">
                  <c:v>2.1702234869761114</c:v>
                </c:pt>
                <c:pt idx="61">
                  <c:v>2.2183101600680581</c:v>
                </c:pt>
                <c:pt idx="62">
                  <c:v>2.2668246355280228</c:v>
                </c:pt>
                <c:pt idx="63">
                  <c:v>2.3157671684342382</c:v>
                </c:pt>
                <c:pt idx="64">
                  <c:v>2.365138018135569</c:v>
                </c:pt>
                <c:pt idx="65">
                  <c:v>2.4149374482560364</c:v>
                </c:pt>
                <c:pt idx="66">
                  <c:v>2.4651657266994533</c:v>
                </c:pt>
                <c:pt idx="67">
                  <c:v>2.5158231256541583</c:v>
                </c:pt>
                <c:pt idx="68">
                  <c:v>2.5669099215978588</c:v>
                </c:pt>
                <c:pt idx="69">
                  <c:v>2.6184263953025888</c:v>
                </c:pt>
                <c:pt idx="70">
                  <c:v>2.670372831839761</c:v>
                </c:pt>
                <c:pt idx="71">
                  <c:v>2.7227495205853414</c:v>
                </c:pt>
                <c:pt idx="72">
                  <c:v>2.7755567552251179</c:v>
                </c:pt>
                <c:pt idx="73">
                  <c:v>2.8287948337600834</c:v>
                </c:pt>
                <c:pt idx="74">
                  <c:v>2.8824640585119319</c:v>
                </c:pt>
                <c:pt idx="75">
                  <c:v>2.936564736128652</c:v>
                </c:pt>
                <c:pt idx="76">
                  <c:v>2.9910971775902357</c:v>
                </c:pt>
                <c:pt idx="77">
                  <c:v>3.0460616982144981</c:v>
                </c:pt>
                <c:pt idx="78">
                  <c:v>3.1014586176629995</c:v>
                </c:pt>
                <c:pt idx="79">
                  <c:v>3.1572882599470837</c:v>
                </c:pt>
                <c:pt idx="80">
                  <c:v>3.2135509534340203</c:v>
                </c:pt>
                <c:pt idx="81">
                  <c:v>3.270247030853255</c:v>
                </c:pt>
                <c:pt idx="82">
                  <c:v>3.3273768293027834</c:v>
                </c:pt>
                <c:pt idx="83">
                  <c:v>3.3849406902556201</c:v>
                </c:pt>
                <c:pt idx="84">
                  <c:v>3.4429389595663795</c:v>
                </c:pt>
                <c:pt idx="85">
                  <c:v>3.501371987477977</c:v>
                </c:pt>
                <c:pt idx="86">
                  <c:v>3.5602401286284389</c:v>
                </c:pt>
                <c:pt idx="87">
                  <c:v>3.6195437420578105</c:v>
                </c:pt>
                <c:pt idx="88">
                  <c:v>3.6792831912151955</c:v>
                </c:pt>
                <c:pt idx="89">
                  <c:v>3.7394588439658873</c:v>
                </c:pt>
                <c:pt idx="90">
                  <c:v>3.8000710725986369</c:v>
                </c:pt>
                <c:pt idx="91">
                  <c:v>3.8611202538330067</c:v>
                </c:pt>
                <c:pt idx="92">
                  <c:v>3.9226067688268529</c:v>
                </c:pt>
                <c:pt idx="93">
                  <c:v>3.9845310031839221</c:v>
                </c:pt>
                <c:pt idx="94">
                  <c:v>4.0468933469615473</c:v>
                </c:pt>
                <c:pt idx="95">
                  <c:v>4.1096941946784789</c:v>
                </c:pt>
                <c:pt idx="96">
                  <c:v>4.1729339453228089</c:v>
                </c:pt>
                <c:pt idx="97">
                  <c:v>4.2366130023600181</c:v>
                </c:pt>
                <c:pt idx="98">
                  <c:v>4.300731773741143</c:v>
                </c:pt>
                <c:pt idx="99">
                  <c:v>4.3652906719110494</c:v>
                </c:pt>
                <c:pt idx="100">
                  <c:v>4.4302901138168282</c:v>
                </c:pt>
                <c:pt idx="101">
                  <c:v>4.4957305209163021</c:v>
                </c:pt>
                <c:pt idx="102">
                  <c:v>4.5616123191866418</c:v>
                </c:pt>
                <c:pt idx="103">
                  <c:v>4.6279359391331214</c:v>
                </c:pt>
                <c:pt idx="104">
                  <c:v>4.6947018157979645</c:v>
                </c:pt>
                <c:pt idx="105">
                  <c:v>4.7619103887693228</c:v>
                </c:pt>
                <c:pt idx="106">
                  <c:v>4.8295621021903612</c:v>
                </c:pt>
                <c:pt idx="107">
                  <c:v>4.8976574047684851</c:v>
                </c:pt>
                <c:pt idx="108">
                  <c:v>4.9661967497846469</c:v>
                </c:pt>
                <c:pt idx="109">
                  <c:v>5.0351805951028048</c:v>
                </c:pt>
                <c:pt idx="110">
                  <c:v>5.1046094031794915</c:v>
                </c:pt>
                <c:pt idx="111">
                  <c:v>5.1744836410734854</c:v>
                </c:pt>
                <c:pt idx="112">
                  <c:v>5.2448037804556353</c:v>
                </c:pt>
                <c:pt idx="113">
                  <c:v>5.3155702976187689</c:v>
                </c:pt>
                <c:pt idx="114">
                  <c:v>5.3867836734877494</c:v>
                </c:pt>
                <c:pt idx="115">
                  <c:v>5.4584443936296339</c:v>
                </c:pt>
                <c:pt idx="116">
                  <c:v>5.5305529482639724</c:v>
                </c:pt>
                <c:pt idx="117">
                  <c:v>5.6031098322732165</c:v>
                </c:pt>
                <c:pt idx="118">
                  <c:v>5.6761155452132446</c:v>
                </c:pt>
                <c:pt idx="119">
                  <c:v>5.7495705913240283</c:v>
                </c:pt>
                <c:pt idx="120">
                  <c:v>5.8234754795403996</c:v>
                </c:pt>
                <c:pt idx="121">
                  <c:v>5.8978307235029854</c:v>
                </c:pt>
                <c:pt idx="122">
                  <c:v>5.9726368415691917</c:v>
                </c:pt>
                <c:pt idx="123">
                  <c:v>6.047894356824381</c:v>
                </c:pt>
                <c:pt idx="124">
                  <c:v>6.1236037970931596</c:v>
                </c:pt>
                <c:pt idx="125">
                  <c:v>6.1997656949507558</c:v>
                </c:pt>
                <c:pt idx="126">
                  <c:v>6.2763805877345771</c:v>
                </c:pt>
                <c:pt idx="127">
                  <c:v>6.353449017555846</c:v>
                </c:pt>
                <c:pt idx="128">
                  <c:v>6.4309715313113873</c:v>
                </c:pt>
                <c:pt idx="129">
                  <c:v>6.5089486806955561</c:v>
                </c:pt>
                <c:pt idx="130">
                  <c:v>6.587381022212262</c:v>
                </c:pt>
                <c:pt idx="131">
                  <c:v>6.6662691171871433</c:v>
                </c:pt>
                <c:pt idx="132">
                  <c:v>6.7456135317798624</c:v>
                </c:pt>
                <c:pt idx="133">
                  <c:v>6.8254148369965462</c:v>
                </c:pt>
                <c:pt idx="134">
                  <c:v>6.9056736087023323</c:v>
                </c:pt>
                <c:pt idx="135">
                  <c:v>6.986390427634058</c:v>
                </c:pt>
                <c:pt idx="136">
                  <c:v>7.0675658794130918</c:v>
                </c:pt>
                <c:pt idx="137">
                  <c:v>7.1492005545582895</c:v>
                </c:pt>
                <c:pt idx="138">
                  <c:v>7.2312950484990548</c:v>
                </c:pt>
                <c:pt idx="139">
                  <c:v>7.3138499615886046</c:v>
                </c:pt>
                <c:pt idx="140">
                  <c:v>7.3968658991172704</c:v>
                </c:pt>
                <c:pt idx="141">
                  <c:v>7.4803434713260328</c:v>
                </c:pt>
                <c:pt idx="142">
                  <c:v>7.5642832934201101</c:v>
                </c:pt>
                <c:pt idx="143">
                  <c:v>7.6486859855827403</c:v>
                </c:pt>
                <c:pt idx="144">
                  <c:v>7.7335521729890626</c:v>
                </c:pt>
                <c:pt idx="145">
                  <c:v>7.8188824858201524</c:v>
                </c:pt>
                <c:pt idx="146">
                  <c:v>7.9046775592772107</c:v>
                </c:pt>
                <c:pt idx="147">
                  <c:v>7.9909380335958309</c:v>
                </c:pt>
                <c:pt idx="148">
                  <c:v>8.0776645540604868</c:v>
                </c:pt>
                <c:pt idx="149">
                  <c:v>8.1648577710190917</c:v>
                </c:pt>
                <c:pt idx="150">
                  <c:v>8.2525183398977475</c:v>
                </c:pt>
                <c:pt idx="151">
                  <c:v>8.3406469212155887</c:v>
                </c:pt>
                <c:pt idx="152">
                  <c:v>8.4292441805998131</c:v>
                </c:pt>
                <c:pt idx="153">
                  <c:v>8.5183107888008056</c:v>
                </c:pt>
                <c:pt idx="154">
                  <c:v>8.6078474217074756</c:v>
                </c:pt>
                <c:pt idx="155">
                  <c:v>8.6978547603626435</c:v>
                </c:pt>
                <c:pt idx="156">
                  <c:v>8.7883334909786566</c:v>
                </c:pt>
                <c:pt idx="157">
                  <c:v>8.8792843049531101</c:v>
                </c:pt>
                <c:pt idx="158">
                  <c:v>8.9707078988847115</c:v>
                </c:pt>
                <c:pt idx="159">
                  <c:v>9.0626049745893127</c:v>
                </c:pt>
                <c:pt idx="160">
                  <c:v>9.1549762391160545</c:v>
                </c:pt>
                <c:pt idx="161">
                  <c:v>9.2478224047636974</c:v>
                </c:pt>
                <c:pt idx="162">
                  <c:v>9.3411441890970952</c:v>
                </c:pt>
                <c:pt idx="163">
                  <c:v>9.4349423149637737</c:v>
                </c:pt>
                <c:pt idx="164">
                  <c:v>9.5292175105107262</c:v>
                </c:pt>
                <c:pt idx="165">
                  <c:v>9.6239705092012997</c:v>
                </c:pt>
                <c:pt idx="166">
                  <c:v>9.7192020498322957</c:v>
                </c:pt>
                <c:pt idx="167">
                  <c:v>9.8149128765511389</c:v>
                </c:pt>
                <c:pt idx="168">
                  <c:v>9.9111037388732921</c:v>
                </c:pt>
                <c:pt idx="169">
                  <c:v>10.007775391699752</c:v>
                </c:pt>
                <c:pt idx="170">
                  <c:v>10.104928595334755</c:v>
                </c:pt>
                <c:pt idx="171">
                  <c:v>10.20256411550359</c:v>
                </c:pt>
                <c:pt idx="172">
                  <c:v>10.300682723370601</c:v>
                </c:pt>
                <c:pt idx="173">
                  <c:v>10.399285195557335</c:v>
                </c:pt>
                <c:pt idx="174">
                  <c:v>10.498372314160866</c:v>
                </c:pt>
                <c:pt idx="175">
                  <c:v>10.597944866772222</c:v>
                </c:pt>
                <c:pt idx="176">
                  <c:v>10.69800364649506</c:v>
                </c:pt>
                <c:pt idx="177">
                  <c:v>10.798549451964419</c:v>
                </c:pt>
                <c:pt idx="178">
                  <c:v>10.899583087365693</c:v>
                </c:pt>
                <c:pt idx="179">
                  <c:v>11.001105362453735</c:v>
                </c:pt>
                <c:pt idx="180">
                  <c:v>11.103117092572132</c:v>
                </c:pt>
                <c:pt idx="181">
                  <c:v>11.20561909867264</c:v>
                </c:pt>
                <c:pt idx="182">
                  <c:v>11.308612207334811</c:v>
                </c:pt>
                <c:pt idx="183">
                  <c:v>11.412097250785749</c:v>
                </c:pt>
                <c:pt idx="184">
                  <c:v>11.51607506692004</c:v>
                </c:pt>
                <c:pt idx="185">
                  <c:v>11.620546499319897</c:v>
                </c:pt>
                <c:pt idx="186">
                  <c:v>11.725512397275399</c:v>
                </c:pt>
                <c:pt idx="187">
                  <c:v>11.830973615804968</c:v>
                </c:pt>
                <c:pt idx="188">
                  <c:v>11.936931015675958</c:v>
                </c:pt>
                <c:pt idx="189">
                  <c:v>12.043385463425485</c:v>
                </c:pt>
                <c:pt idx="190">
                  <c:v>12.150337831381352</c:v>
                </c:pt>
                <c:pt idx="191">
                  <c:v>12.257788997683212</c:v>
                </c:pt>
                <c:pt idx="192">
                  <c:v>12.365739846303878</c:v>
                </c:pt>
                <c:pt idx="193">
                  <c:v>12.474191267070816</c:v>
                </c:pt>
                <c:pt idx="194">
                  <c:v>12.583144155687787</c:v>
                </c:pt>
                <c:pt idx="195">
                  <c:v>12.692599413756723</c:v>
                </c:pt>
                <c:pt idx="196">
                  <c:v>12.80255794879975</c:v>
                </c:pt>
                <c:pt idx="197">
                  <c:v>12.913020674281373</c:v>
                </c:pt>
                <c:pt idx="198">
                  <c:v>13.023988509630877</c:v>
                </c:pt>
                <c:pt idx="199">
                  <c:v>13.135462380264901</c:v>
                </c:pt>
                <c:pt idx="200">
                  <c:v>13.247443217610172</c:v>
                </c:pt>
              </c:numCache>
            </c:numRef>
          </c:yVal>
          <c:smooth val="0"/>
          <c:extLst>
            <c:ext xmlns:c16="http://schemas.microsoft.com/office/drawing/2014/chart" uri="{C3380CC4-5D6E-409C-BE32-E72D297353CC}">
              <c16:uniqueId val="{00000001-9EA1-4F4F-9ACD-6AF9DCA0F73F}"/>
            </c:ext>
          </c:extLst>
        </c:ser>
        <c:dLbls>
          <c:showLegendKey val="0"/>
          <c:showVal val="0"/>
          <c:showCatName val="0"/>
          <c:showSerName val="0"/>
          <c:showPercent val="0"/>
          <c:showBubbleSize val="0"/>
        </c:dLbls>
        <c:axId val="177513600"/>
        <c:axId val="177515520"/>
      </c:scatterChart>
      <c:valAx>
        <c:axId val="177513600"/>
        <c:scaling>
          <c:orientation val="minMax"/>
          <c:min val="0"/>
        </c:scaling>
        <c:delete val="0"/>
        <c:axPos val="b"/>
        <c:majorGridlines/>
        <c:title>
          <c:tx>
            <c:rich>
              <a:bodyPr/>
              <a:lstStyle/>
              <a:p>
                <a:pPr>
                  <a:defRPr sz="925" b="1" i="0" u="none" strike="noStrike" baseline="0">
                    <a:solidFill>
                      <a:srgbClr val="000000"/>
                    </a:solidFill>
                    <a:latin typeface="Arial"/>
                    <a:ea typeface="Arial"/>
                    <a:cs typeface="Arial"/>
                  </a:defRPr>
                </a:pPr>
                <a:r>
                  <a:rPr lang="en-US"/>
                  <a:t>Iout (A)</a:t>
                </a:r>
              </a:p>
            </c:rich>
          </c:tx>
          <c:layout>
            <c:manualLayout>
              <c:xMode val="edge"/>
              <c:yMode val="edge"/>
              <c:x val="0.52774047357748588"/>
              <c:y val="0.9353554442058379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77515520"/>
        <c:crosses val="autoZero"/>
        <c:crossBetween val="midCat"/>
      </c:valAx>
      <c:valAx>
        <c:axId val="177515520"/>
        <c:scaling>
          <c:orientation val="minMax"/>
        </c:scaling>
        <c:delete val="0"/>
        <c:axPos val="l"/>
        <c:majorGridlines>
          <c:spPr>
            <a:ln w="3175">
              <a:solidFill>
                <a:srgbClr val="000000"/>
              </a:solidFill>
              <a:prstDash val="solid"/>
            </a:ln>
          </c:spPr>
        </c:majorGridlines>
        <c:title>
          <c:tx>
            <c:rich>
              <a:bodyPr/>
              <a:lstStyle/>
              <a:p>
                <a:pPr>
                  <a:defRPr sz="925" b="1" i="0" u="none" strike="noStrike" baseline="0">
                    <a:solidFill>
                      <a:srgbClr val="000000"/>
                    </a:solidFill>
                    <a:latin typeface="Arial"/>
                    <a:ea typeface="Arial"/>
                    <a:cs typeface="Arial"/>
                  </a:defRPr>
                </a:pPr>
                <a:r>
                  <a:rPr lang="en-US"/>
                  <a:t>Temperature (°C)</a:t>
                </a:r>
              </a:p>
            </c:rich>
          </c:tx>
          <c:layout>
            <c:manualLayout>
              <c:xMode val="edge"/>
              <c:yMode val="edge"/>
              <c:x val="5.5931438881371219E-2"/>
              <c:y val="0.3797988281767809"/>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77513600"/>
        <c:crosses val="autoZero"/>
        <c:crossBetween val="midCat"/>
      </c:valAx>
      <c:spPr>
        <a:solidFill>
          <a:srgbClr val="C0C0C0"/>
        </a:solidFill>
        <a:ln w="12700">
          <a:solidFill>
            <a:srgbClr val="808080"/>
          </a:solidFill>
          <a:prstDash val="solid"/>
        </a:ln>
      </c:spPr>
    </c:plotArea>
    <c:legend>
      <c:legendPos val="t"/>
      <c:layout>
        <c:manualLayout>
          <c:xMode val="edge"/>
          <c:yMode val="edge"/>
          <c:x val="0.85385713118742423"/>
          <c:y val="1.0101010101010105E-2"/>
          <c:w val="0.14073085925152451"/>
          <c:h val="8.2828494922983206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US"/>
              <a:t> FET Power Disipation</a:t>
            </a:r>
          </a:p>
        </c:rich>
      </c:tx>
      <c:layout>
        <c:manualLayout>
          <c:xMode val="edge"/>
          <c:yMode val="edge"/>
          <c:x val="0.39872611464968688"/>
          <c:y val="3.0241935483871732E-2"/>
        </c:manualLayout>
      </c:layout>
      <c:overlay val="0"/>
      <c:spPr>
        <a:noFill/>
        <a:ln w="25400">
          <a:noFill/>
        </a:ln>
      </c:spPr>
    </c:title>
    <c:autoTitleDeleted val="0"/>
    <c:plotArea>
      <c:layout>
        <c:manualLayout>
          <c:layoutTarget val="inner"/>
          <c:xMode val="edge"/>
          <c:yMode val="edge"/>
          <c:x val="8.6624203821656268E-2"/>
          <c:y val="0.15927435034411094"/>
          <c:w val="0.8471337579617837"/>
          <c:h val="0.70362972493790654"/>
        </c:manualLayout>
      </c:layout>
      <c:scatterChart>
        <c:scatterStyle val="lineMarker"/>
        <c:varyColors val="0"/>
        <c:ser>
          <c:idx val="2"/>
          <c:order val="0"/>
          <c:tx>
            <c:v>Top FET</c:v>
          </c:tx>
          <c:spPr>
            <a:ln w="25400">
              <a:solidFill>
                <a:srgbClr val="00008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Calculations'!$AC$9:$AC$209</c:f>
              <c:numCache>
                <c:formatCode>0.0000</c:formatCode>
                <c:ptCount val="201"/>
                <c:pt idx="0">
                  <c:v>5.3524813865472753E-2</c:v>
                </c:pt>
                <c:pt idx="1">
                  <c:v>5.4395935000631904E-2</c:v>
                </c:pt>
                <c:pt idx="2">
                  <c:v>5.5279130613327183E-2</c:v>
                </c:pt>
                <c:pt idx="3">
                  <c:v>5.6174408645267723E-2</c:v>
                </c:pt>
                <c:pt idx="4">
                  <c:v>5.708177712697917E-2</c:v>
                </c:pt>
                <c:pt idx="5">
                  <c:v>5.8001244177958121E-2</c:v>
                </c:pt>
                <c:pt idx="6">
                  <c:v>5.8932818006827786E-2</c:v>
                </c:pt>
                <c:pt idx="7">
                  <c:v>5.9876506911495889E-2</c:v>
                </c:pt>
                <c:pt idx="8">
                  <c:v>6.0832319279313742E-2</c:v>
                </c:pt>
                <c:pt idx="9">
                  <c:v>6.1800263587237399E-2</c:v>
                </c:pt>
                <c:pt idx="10">
                  <c:v>6.2780348401990316E-2</c:v>
                </c:pt>
                <c:pt idx="11">
                  <c:v>6.3772582380227788E-2</c:v>
                </c:pt>
                <c:pt idx="12">
                  <c:v>6.4776974268702964E-2</c:v>
                </c:pt>
                <c:pt idx="13">
                  <c:v>6.5793532904434973E-2</c:v>
                </c:pt>
                <c:pt idx="14">
                  <c:v>6.6822267214878259E-2</c:v>
                </c:pt>
                <c:pt idx="15">
                  <c:v>6.7863186218094035E-2</c:v>
                </c:pt>
                <c:pt idx="16">
                  <c:v>6.8916299022923289E-2</c:v>
                </c:pt>
                <c:pt idx="17">
                  <c:v>6.9981614829161556E-2</c:v>
                </c:pt>
                <c:pt idx="18">
                  <c:v>7.1059142927735672E-2</c:v>
                </c:pt>
                <c:pt idx="19">
                  <c:v>7.2148892700881748E-2</c:v>
                </c:pt>
                <c:pt idx="20">
                  <c:v>7.4638520992406504E-2</c:v>
                </c:pt>
                <c:pt idx="21">
                  <c:v>7.8742639003708245E-2</c:v>
                </c:pt>
                <c:pt idx="22">
                  <c:v>8.2859164467442362E-2</c:v>
                </c:pt>
                <c:pt idx="23">
                  <c:v>8.6988118007578885E-2</c:v>
                </c:pt>
                <c:pt idx="24">
                  <c:v>9.1129520348275803E-2</c:v>
                </c:pt>
                <c:pt idx="25">
                  <c:v>9.5283392314201881E-2</c:v>
                </c:pt>
                <c:pt idx="26">
                  <c:v>9.9449754830861478E-2</c:v>
                </c:pt>
                <c:pt idx="27">
                  <c:v>0.10362862892492124</c:v>
                </c:pt>
                <c:pt idx="28">
                  <c:v>0.10782003572453902</c:v>
                </c:pt>
                <c:pt idx="29">
                  <c:v>0.11202399645969519</c:v>
                </c:pt>
                <c:pt idx="30">
                  <c:v>0.11537681875263257</c:v>
                </c:pt>
                <c:pt idx="31">
                  <c:v>0.11757739954583875</c:v>
                </c:pt>
                <c:pt idx="32">
                  <c:v>0.11979044283259895</c:v>
                </c:pt>
                <c:pt idx="33">
                  <c:v>0.12201596283483915</c:v>
                </c:pt>
                <c:pt idx="34">
                  <c:v>0.12425397387186529</c:v>
                </c:pt>
                <c:pt idx="35">
                  <c:v>0.12650449036061498</c:v>
                </c:pt>
                <c:pt idx="36">
                  <c:v>0.12876752681591097</c:v>
                </c:pt>
                <c:pt idx="37">
                  <c:v>0.13104309785071691</c:v>
                </c:pt>
                <c:pt idx="38">
                  <c:v>0.13333121817639473</c:v>
                </c:pt>
                <c:pt idx="39">
                  <c:v>0.1356319026029644</c:v>
                </c:pt>
                <c:pt idx="40">
                  <c:v>0.13794516603936535</c:v>
                </c:pt>
                <c:pt idx="41">
                  <c:v>0.14027102349372017</c:v>
                </c:pt>
                <c:pt idx="42">
                  <c:v>0.14260949007360035</c:v>
                </c:pt>
                <c:pt idx="43">
                  <c:v>0.1449605809862938</c:v>
                </c:pt>
                <c:pt idx="44">
                  <c:v>0.14732431153907458</c:v>
                </c:pt>
                <c:pt idx="45">
                  <c:v>0.14970069713947487</c:v>
                </c:pt>
                <c:pt idx="46">
                  <c:v>0.15208975329555852</c:v>
                </c:pt>
                <c:pt idx="47">
                  <c:v>0.15449149561619721</c:v>
                </c:pt>
                <c:pt idx="48">
                  <c:v>0.15690593981134851</c:v>
                </c:pt>
                <c:pt idx="49">
                  <c:v>0.15933310169233575</c:v>
                </c:pt>
                <c:pt idx="50">
                  <c:v>0.16177299717213023</c:v>
                </c:pt>
                <c:pt idx="51">
                  <c:v>0.16422564226563588</c:v>
                </c:pt>
                <c:pt idx="52">
                  <c:v>0.16669105308997534</c:v>
                </c:pt>
                <c:pt idx="53">
                  <c:v>0.16916924586477874</c:v>
                </c:pt>
                <c:pt idx="54">
                  <c:v>0.17166023691247431</c:v>
                </c:pt>
                <c:pt idx="55">
                  <c:v>0.17416404265858146</c:v>
                </c:pt>
                <c:pt idx="56">
                  <c:v>0.17668067963200548</c:v>
                </c:pt>
                <c:pt idx="57">
                  <c:v>0.17921016446533505</c:v>
                </c:pt>
                <c:pt idx="58">
                  <c:v>0.1817525138951416</c:v>
                </c:pt>
                <c:pt idx="59">
                  <c:v>0.18430774476228087</c:v>
                </c:pt>
                <c:pt idx="60">
                  <c:v>0.18687587401219649</c:v>
                </c:pt>
                <c:pt idx="61">
                  <c:v>0.18945691869522641</c:v>
                </c:pt>
                <c:pt idx="62">
                  <c:v>0.19205089596691091</c:v>
                </c:pt>
                <c:pt idx="63">
                  <c:v>0.19465782308830318</c:v>
                </c:pt>
                <c:pt idx="64">
                  <c:v>0.19727771742628178</c:v>
                </c:pt>
                <c:pt idx="65">
                  <c:v>0.19991059645386608</c:v>
                </c:pt>
                <c:pt idx="66">
                  <c:v>0.20255647775053309</c:v>
                </c:pt>
                <c:pt idx="67">
                  <c:v>0.2052153790025375</c:v>
                </c:pt>
                <c:pt idx="68">
                  <c:v>0.20788731800323285</c:v>
                </c:pt>
                <c:pt idx="69">
                  <c:v>0.21057231265339649</c:v>
                </c:pt>
                <c:pt idx="70">
                  <c:v>0.21327038096155523</c:v>
                </c:pt>
                <c:pt idx="71">
                  <c:v>0.21598154104431472</c:v>
                </c:pt>
                <c:pt idx="72">
                  <c:v>0.2187058111266903</c:v>
                </c:pt>
                <c:pt idx="73">
                  <c:v>0.22144320954244054</c:v>
                </c:pt>
                <c:pt idx="74">
                  <c:v>0.2241937547344032</c:v>
                </c:pt>
                <c:pt idx="75">
                  <c:v>0.22695746525483323</c:v>
                </c:pt>
                <c:pt idx="76">
                  <c:v>0.22973435976574352</c:v>
                </c:pt>
                <c:pt idx="77">
                  <c:v>0.2325244570392479</c:v>
                </c:pt>
                <c:pt idx="78">
                  <c:v>0.23532777595790647</c:v>
                </c:pt>
                <c:pt idx="79">
                  <c:v>0.23814433551507372</c:v>
                </c:pt>
                <c:pt idx="80">
                  <c:v>0.24097415481524831</c:v>
                </c:pt>
                <c:pt idx="81">
                  <c:v>0.24381725307442623</c:v>
                </c:pt>
                <c:pt idx="82">
                  <c:v>0.24667364962045585</c:v>
                </c:pt>
                <c:pt idx="83">
                  <c:v>0.2495433638933956</c:v>
                </c:pt>
                <c:pt idx="84">
                  <c:v>0.25242641544587391</c:v>
                </c:pt>
                <c:pt idx="85">
                  <c:v>0.2553228239434524</c:v>
                </c:pt>
                <c:pt idx="86">
                  <c:v>0.25823260916499036</c:v>
                </c:pt>
                <c:pt idx="87">
                  <c:v>0.26115579100301289</c:v>
                </c:pt>
                <c:pt idx="88">
                  <c:v>0.26409238946408131</c:v>
                </c:pt>
                <c:pt idx="89">
                  <c:v>0.26704242466916489</c:v>
                </c:pt>
                <c:pt idx="90">
                  <c:v>0.27000591685401781</c:v>
                </c:pt>
                <c:pt idx="91">
                  <c:v>0.27298288636955581</c:v>
                </c:pt>
                <c:pt idx="92">
                  <c:v>0.27597335368223724</c:v>
                </c:pt>
                <c:pt idx="93">
                  <c:v>0.27897733937444613</c:v>
                </c:pt>
                <c:pt idx="94">
                  <c:v>0.28199486414487779</c:v>
                </c:pt>
                <c:pt idx="95">
                  <c:v>0.28502594880892762</c:v>
                </c:pt>
                <c:pt idx="96">
                  <c:v>0.28807061429908176</c:v>
                </c:pt>
                <c:pt idx="97">
                  <c:v>0.29112888166531076</c:v>
                </c:pt>
                <c:pt idx="98">
                  <c:v>0.29420077207546624</c:v>
                </c:pt>
                <c:pt idx="99">
                  <c:v>0.29728630681567991</c:v>
                </c:pt>
                <c:pt idx="100">
                  <c:v>0.3003855072907653</c:v>
                </c:pt>
                <c:pt idx="101">
                  <c:v>0.30349839502462223</c:v>
                </c:pt>
                <c:pt idx="102">
                  <c:v>0.30662499166064411</c:v>
                </c:pt>
                <c:pt idx="103">
                  <c:v>0.30976531896212789</c:v>
                </c:pt>
                <c:pt idx="104">
                  <c:v>0.31291939881268716</c:v>
                </c:pt>
                <c:pt idx="105">
                  <c:v>0.31608725321666725</c:v>
                </c:pt>
                <c:pt idx="106">
                  <c:v>0.31926890429956356</c:v>
                </c:pt>
                <c:pt idx="107">
                  <c:v>0.32246437430844355</c:v>
                </c:pt>
                <c:pt idx="108">
                  <c:v>0.32567368561236948</c:v>
                </c:pt>
                <c:pt idx="109">
                  <c:v>0.32889686070282631</c:v>
                </c:pt>
                <c:pt idx="110">
                  <c:v>0.33213392219415111</c:v>
                </c:pt>
                <c:pt idx="111">
                  <c:v>0.33538489282396516</c:v>
                </c:pt>
                <c:pt idx="112">
                  <c:v>0.33864979545361035</c:v>
                </c:pt>
                <c:pt idx="113">
                  <c:v>0.34192865306858639</c:v>
                </c:pt>
                <c:pt idx="114">
                  <c:v>0.3452214887789935</c:v>
                </c:pt>
                <c:pt idx="115">
                  <c:v>0.34852832581997567</c:v>
                </c:pt>
                <c:pt idx="116">
                  <c:v>0.35184918755216815</c:v>
                </c:pt>
                <c:pt idx="117">
                  <c:v>0.35518409746214763</c:v>
                </c:pt>
                <c:pt idx="118">
                  <c:v>0.35853307916288579</c:v>
                </c:pt>
                <c:pt idx="119">
                  <c:v>0.36189615639420486</c:v>
                </c:pt>
                <c:pt idx="120">
                  <c:v>0.36527335302323738</c:v>
                </c:pt>
                <c:pt idx="121">
                  <c:v>0.36866469304488841</c:v>
                </c:pt>
                <c:pt idx="122">
                  <c:v>0.3720702005823005</c:v>
                </c:pt>
                <c:pt idx="123">
                  <c:v>0.37548989988732262</c:v>
                </c:pt>
                <c:pt idx="124">
                  <c:v>0.37892381534098141</c:v>
                </c:pt>
                <c:pt idx="125">
                  <c:v>0.38237197145395591</c:v>
                </c:pt>
                <c:pt idx="126">
                  <c:v>0.38583439286705534</c:v>
                </c:pt>
                <c:pt idx="127">
                  <c:v>0.38931110435169941</c:v>
                </c:pt>
                <c:pt idx="128">
                  <c:v>0.39280213081040394</c:v>
                </c:pt>
                <c:pt idx="129">
                  <c:v>0.39630749727726672</c:v>
                </c:pt>
                <c:pt idx="130">
                  <c:v>0.39982722891845829</c:v>
                </c:pt>
                <c:pt idx="131">
                  <c:v>0.40336135103271609</c:v>
                </c:pt>
                <c:pt idx="132">
                  <c:v>0.40690988905184144</c:v>
                </c:pt>
                <c:pt idx="133">
                  <c:v>0.41047286854119924</c:v>
                </c:pt>
                <c:pt idx="134">
                  <c:v>0.41405031520022212</c:v>
                </c:pt>
                <c:pt idx="135">
                  <c:v>0.41764225486291662</c:v>
                </c:pt>
                <c:pt idx="136">
                  <c:v>0.42124871349837384</c:v>
                </c:pt>
                <c:pt idx="137">
                  <c:v>0.42486971721128297</c:v>
                </c:pt>
                <c:pt idx="138">
                  <c:v>0.42850529224244777</c:v>
                </c:pt>
                <c:pt idx="139">
                  <c:v>0.43215546496930729</c:v>
                </c:pt>
                <c:pt idx="140">
                  <c:v>0.43582026190645901</c:v>
                </c:pt>
                <c:pt idx="141">
                  <c:v>0.43949970970618613</c:v>
                </c:pt>
                <c:pt idx="142">
                  <c:v>0.4431938351589883</c:v>
                </c:pt>
                <c:pt idx="143">
                  <c:v>0.44690266519411548</c:v>
                </c:pt>
                <c:pt idx="144">
                  <c:v>0.45062622688010534</c:v>
                </c:pt>
                <c:pt idx="145">
                  <c:v>0.45436454742532378</c:v>
                </c:pt>
                <c:pt idx="146">
                  <c:v>0.45811765417851119</c:v>
                </c:pt>
                <c:pt idx="147">
                  <c:v>0.46188557462932778</c:v>
                </c:pt>
                <c:pt idx="148">
                  <c:v>0.4656683364089077</c:v>
                </c:pt>
                <c:pt idx="149">
                  <c:v>0.4694659672904129</c:v>
                </c:pt>
                <c:pt idx="150">
                  <c:v>0.47327849518959259</c:v>
                </c:pt>
                <c:pt idx="151">
                  <c:v>0.47710594816534518</c:v>
                </c:pt>
                <c:pt idx="152">
                  <c:v>0.480948354420285</c:v>
                </c:pt>
                <c:pt idx="153">
                  <c:v>0.48480574230131174</c:v>
                </c:pt>
                <c:pt idx="154">
                  <c:v>0.48867814030018408</c:v>
                </c:pt>
                <c:pt idx="155">
                  <c:v>0.49256557705409726</c:v>
                </c:pt>
                <c:pt idx="156">
                  <c:v>0.4964680813462633</c:v>
                </c:pt>
                <c:pt idx="157">
                  <c:v>0.50038568210649703</c:v>
                </c:pt>
                <c:pt idx="158">
                  <c:v>0.5043184084118032</c:v>
                </c:pt>
                <c:pt idx="159">
                  <c:v>0.50826628948697028</c:v>
                </c:pt>
                <c:pt idx="160">
                  <c:v>0.51222935470516573</c:v>
                </c:pt>
                <c:pt idx="161">
                  <c:v>0.51620763358853661</c:v>
                </c:pt>
                <c:pt idx="162">
                  <c:v>0.52020115580881388</c:v>
                </c:pt>
                <c:pt idx="163">
                  <c:v>0.52420995118791902</c:v>
                </c:pt>
                <c:pt idx="164">
                  <c:v>0.52823404969857768</c:v>
                </c:pt>
                <c:pt idx="165">
                  <c:v>0.53227348146493436</c:v>
                </c:pt>
                <c:pt idx="166">
                  <c:v>0.53632827676317274</c:v>
                </c:pt>
                <c:pt idx="167">
                  <c:v>0.54039846602213926</c:v>
                </c:pt>
                <c:pt idx="168">
                  <c:v>0.54448407982397107</c:v>
                </c:pt>
                <c:pt idx="169">
                  <c:v>0.5485851489047282</c:v>
                </c:pt>
                <c:pt idx="170">
                  <c:v>0.55270170415502939</c:v>
                </c:pt>
                <c:pt idx="171">
                  <c:v>0.55683377662069289</c:v>
                </c:pt>
                <c:pt idx="172">
                  <c:v>0.56098139750337983</c:v>
                </c:pt>
                <c:pt idx="173">
                  <c:v>0.56514459816124318</c:v>
                </c:pt>
                <c:pt idx="174">
                  <c:v>0.56932341010958076</c:v>
                </c:pt>
                <c:pt idx="175">
                  <c:v>0.57351786502149193</c:v>
                </c:pt>
                <c:pt idx="176">
                  <c:v>0.57772799472853853</c:v>
                </c:pt>
                <c:pt idx="177">
                  <c:v>0.58195383122141087</c:v>
                </c:pt>
                <c:pt idx="178">
                  <c:v>0.58619540665059688</c:v>
                </c:pt>
                <c:pt idx="179">
                  <c:v>0.59045275332705682</c:v>
                </c:pt>
                <c:pt idx="180">
                  <c:v>0.59472590372290168</c:v>
                </c:pt>
                <c:pt idx="181">
                  <c:v>0.59901489047207546</c:v>
                </c:pt>
                <c:pt idx="182">
                  <c:v>0.60331974637104335</c:v>
                </c:pt>
                <c:pt idx="183">
                  <c:v>0.60764050437948269</c:v>
                </c:pt>
                <c:pt idx="184">
                  <c:v>0.61197719762097991</c:v>
                </c:pt>
                <c:pt idx="185">
                  <c:v>0.61632985938373042</c:v>
                </c:pt>
                <c:pt idx="186">
                  <c:v>0.62069852312124452</c:v>
                </c:pt>
                <c:pt idx="187">
                  <c:v>0.62508322245305759</c:v>
                </c:pt>
                <c:pt idx="188">
                  <c:v>0.62948399116544307</c:v>
                </c:pt>
                <c:pt idx="189">
                  <c:v>0.63390086321213368</c:v>
                </c:pt>
                <c:pt idx="190">
                  <c:v>0.63833387271504272</c:v>
                </c:pt>
                <c:pt idx="191">
                  <c:v>0.64278305396499413</c:v>
                </c:pt>
                <c:pt idx="192">
                  <c:v>0.64724844142245563</c:v>
                </c:pt>
                <c:pt idx="193">
                  <c:v>0.65173006971827574</c:v>
                </c:pt>
                <c:pt idx="194">
                  <c:v>0.65622797365442653</c:v>
                </c:pt>
                <c:pt idx="195">
                  <c:v>0.66074218820475172</c:v>
                </c:pt>
                <c:pt idx="196">
                  <c:v>0.66527274851571894</c:v>
                </c:pt>
                <c:pt idx="197">
                  <c:v>0.66981968990717633</c:v>
                </c:pt>
                <c:pt idx="198">
                  <c:v>0.67438304787311476</c:v>
                </c:pt>
                <c:pt idx="199">
                  <c:v>0.67896285808243573</c:v>
                </c:pt>
                <c:pt idx="200">
                  <c:v>0.6835591563797222</c:v>
                </c:pt>
              </c:numCache>
            </c:numRef>
          </c:yVal>
          <c:smooth val="0"/>
          <c:extLst>
            <c:ext xmlns:c16="http://schemas.microsoft.com/office/drawing/2014/chart" uri="{C3380CC4-5D6E-409C-BE32-E72D297353CC}">
              <c16:uniqueId val="{00000000-224D-4C5D-9638-87D4BF1AF418}"/>
            </c:ext>
          </c:extLst>
        </c:ser>
        <c:ser>
          <c:idx val="3"/>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Calculations'!$AG$9:$AG$209</c:f>
              <c:numCache>
                <c:formatCode>0.0000</c:formatCode>
                <c:ptCount val="201"/>
                <c:pt idx="0">
                  <c:v>1.5691696887528788E-2</c:v>
                </c:pt>
                <c:pt idx="1">
                  <c:v>1.615234540547357E-2</c:v>
                </c:pt>
                <c:pt idx="2">
                  <c:v>1.6629822083608376E-2</c:v>
                </c:pt>
                <c:pt idx="3">
                  <c:v>1.7124124782831453E-2</c:v>
                </c:pt>
                <c:pt idx="4">
                  <c:v>1.7635251532660184E-2</c:v>
                </c:pt>
                <c:pt idx="5">
                  <c:v>1.8163200531123046E-2</c:v>
                </c:pt>
                <c:pt idx="6">
                  <c:v>1.8707970144655819E-2</c:v>
                </c:pt>
                <c:pt idx="7">
                  <c:v>1.9269558908002096E-2</c:v>
                </c:pt>
                <c:pt idx="8">
                  <c:v>1.9847965524117984E-2</c:v>
                </c:pt>
                <c:pt idx="9">
                  <c:v>2.0443188864081047E-2</c:v>
                </c:pt>
                <c:pt idx="10">
                  <c:v>2.1055227967003553E-2</c:v>
                </c:pt>
                <c:pt idx="11">
                  <c:v>2.1684082039949832E-2</c:v>
                </c:pt>
                <c:pt idx="12">
                  <c:v>2.232975045785798E-2</c:v>
                </c:pt>
                <c:pt idx="13">
                  <c:v>2.2992232763465736E-2</c:v>
                </c:pt>
                <c:pt idx="14">
                  <c:v>2.3671528667240489E-2</c:v>
                </c:pt>
                <c:pt idx="15">
                  <c:v>2.4367638047313643E-2</c:v>
                </c:pt>
                <c:pt idx="16">
                  <c:v>2.5080560949419104E-2</c:v>
                </c:pt>
                <c:pt idx="17">
                  <c:v>2.5810297586835944E-2</c:v>
                </c:pt>
                <c:pt idx="18">
                  <c:v>2.6556848340335334E-2</c:v>
                </c:pt>
                <c:pt idx="19">
                  <c:v>2.7320213758131592E-2</c:v>
                </c:pt>
                <c:pt idx="20">
                  <c:v>2.8100394555837519E-2</c:v>
                </c:pt>
                <c:pt idx="21">
                  <c:v>2.8897391616423795E-2</c:v>
                </c:pt>
                <c:pt idx="22">
                  <c:v>2.971120599018268E-2</c:v>
                </c:pt>
                <c:pt idx="23">
                  <c:v>3.0541838894695809E-2</c:v>
                </c:pt>
                <c:pt idx="24">
                  <c:v>3.1389291714806193E-2</c:v>
                </c:pt>
                <c:pt idx="25">
                  <c:v>3.2253566002594422E-2</c:v>
                </c:pt>
                <c:pt idx="26">
                  <c:v>3.3134663477359008E-2</c:v>
                </c:pt>
                <c:pt idx="27">
                  <c:v>3.4032586025600838E-2</c:v>
                </c:pt>
                <c:pt idx="28">
                  <c:v>3.4947335701011967E-2</c:v>
                </c:pt>
                <c:pt idx="29">
                  <c:v>3.5878914724468386E-2</c:v>
                </c:pt>
                <c:pt idx="30">
                  <c:v>3.7018394986884563E-2</c:v>
                </c:pt>
                <c:pt idx="31">
                  <c:v>3.8432402457687975E-2</c:v>
                </c:pt>
                <c:pt idx="32">
                  <c:v>3.9863294638541505E-2</c:v>
                </c:pt>
                <c:pt idx="33">
                  <c:v>4.1311076671024613E-2</c:v>
                </c:pt>
                <c:pt idx="34">
                  <c:v>4.2775753864071432E-2</c:v>
                </c:pt>
                <c:pt idx="35">
                  <c:v>4.4257331694025848E-2</c:v>
                </c:pt>
                <c:pt idx="36">
                  <c:v>4.5755815804700929E-2</c:v>
                </c:pt>
                <c:pt idx="37">
                  <c:v>4.7271212007442283E-2</c:v>
                </c:pt>
                <c:pt idx="38">
                  <c:v>4.8803526281195733E-2</c:v>
                </c:pt>
                <c:pt idx="39">
                  <c:v>5.0352764772579058E-2</c:v>
                </c:pt>
                <c:pt idx="40">
                  <c:v>5.1918933795957981E-2</c:v>
                </c:pt>
                <c:pt idx="41">
                  <c:v>5.3502039833526194E-2</c:v>
                </c:pt>
                <c:pt idx="42">
                  <c:v>5.5102089535389705E-2</c:v>
                </c:pt>
                <c:pt idx="43">
                  <c:v>5.6719089719655183E-2</c:v>
                </c:pt>
                <c:pt idx="44">
                  <c:v>5.8353047372522553E-2</c:v>
                </c:pt>
                <c:pt idx="45">
                  <c:v>6.0003969648381811E-2</c:v>
                </c:pt>
                <c:pt idx="46">
                  <c:v>6.1671863869913919E-2</c:v>
                </c:pt>
                <c:pt idx="47">
                  <c:v>6.3356737528195831E-2</c:v>
                </c:pt>
                <c:pt idx="48">
                  <c:v>6.5058598282809965E-2</c:v>
                </c:pt>
                <c:pt idx="49">
                  <c:v>6.6777453961957514E-2</c:v>
                </c:pt>
                <c:pt idx="50">
                  <c:v>6.851331256257609E-2</c:v>
                </c:pt>
                <c:pt idx="51">
                  <c:v>7.0266182250461648E-2</c:v>
                </c:pt>
                <c:pt idx="52">
                  <c:v>7.2036071360394499E-2</c:v>
                </c:pt>
                <c:pt idx="53">
                  <c:v>7.3822988396269426E-2</c:v>
                </c:pt>
                <c:pt idx="54">
                  <c:v>7.5626942031230271E-2</c:v>
                </c:pt>
                <c:pt idx="55">
                  <c:v>7.7447941107808463E-2</c:v>
                </c:pt>
                <c:pt idx="56">
                  <c:v>7.928599463806589E-2</c:v>
                </c:pt>
                <c:pt idx="57">
                  <c:v>8.114111180374188E-2</c:v>
                </c:pt>
                <c:pt idx="58">
                  <c:v>8.3013301956404689E-2</c:v>
                </c:pt>
                <c:pt idx="59">
                  <c:v>8.4902574617606752E-2</c:v>
                </c:pt>
                <c:pt idx="60">
                  <c:v>8.6808939479044459E-2</c:v>
                </c:pt>
                <c:pt idx="61">
                  <c:v>8.8732406402722327E-2</c:v>
                </c:pt>
                <c:pt idx="62">
                  <c:v>9.0672985421120914E-2</c:v>
                </c:pt>
                <c:pt idx="63">
                  <c:v>9.263068673736953E-2</c:v>
                </c:pt>
                <c:pt idx="64">
                  <c:v>9.4605520725422762E-2</c:v>
                </c:pt>
                <c:pt idx="65">
                  <c:v>9.6597497930241458E-2</c:v>
                </c:pt>
                <c:pt idx="66">
                  <c:v>9.8606629067978138E-2</c:v>
                </c:pt>
                <c:pt idx="67">
                  <c:v>0.10063292502616633</c:v>
                </c:pt>
                <c:pt idx="68">
                  <c:v>0.10267639686391436</c:v>
                </c:pt>
                <c:pt idx="69">
                  <c:v>0.10473705581210356</c:v>
                </c:pt>
                <c:pt idx="70">
                  <c:v>0.10681491327359044</c:v>
                </c:pt>
                <c:pt idx="71">
                  <c:v>0.10890998082341366</c:v>
                </c:pt>
                <c:pt idx="72">
                  <c:v>0.11102227020900472</c:v>
                </c:pt>
                <c:pt idx="73">
                  <c:v>0.11315179335040335</c:v>
                </c:pt>
                <c:pt idx="74">
                  <c:v>0.11529856234047728</c:v>
                </c:pt>
                <c:pt idx="75">
                  <c:v>0.11746258944514608</c:v>
                </c:pt>
                <c:pt idx="76">
                  <c:v>0.11964388710360943</c:v>
                </c:pt>
                <c:pt idx="77">
                  <c:v>0.12184246792857992</c:v>
                </c:pt>
                <c:pt idx="78">
                  <c:v>0.12405834470651998</c:v>
                </c:pt>
                <c:pt idx="79">
                  <c:v>0.12629153039788335</c:v>
                </c:pt>
                <c:pt idx="80">
                  <c:v>0.12854203813736081</c:v>
                </c:pt>
                <c:pt idx="81">
                  <c:v>0.1308098812341302</c:v>
                </c:pt>
                <c:pt idx="82">
                  <c:v>0.13309507317211133</c:v>
                </c:pt>
                <c:pt idx="83">
                  <c:v>0.13539762761022481</c:v>
                </c:pt>
                <c:pt idx="84">
                  <c:v>0.13771755838265518</c:v>
                </c:pt>
                <c:pt idx="85">
                  <c:v>0.14005487949911907</c:v>
                </c:pt>
                <c:pt idx="86">
                  <c:v>0.14240960514513756</c:v>
                </c:pt>
                <c:pt idx="87">
                  <c:v>0.14478174968231242</c:v>
                </c:pt>
                <c:pt idx="88">
                  <c:v>0.14717132764860782</c:v>
                </c:pt>
                <c:pt idx="89">
                  <c:v>0.14957835375863548</c:v>
                </c:pt>
                <c:pt idx="90">
                  <c:v>0.15200284290394547</c:v>
                </c:pt>
                <c:pt idx="91">
                  <c:v>0.15444481015332026</c:v>
                </c:pt>
                <c:pt idx="92">
                  <c:v>0.15690427075307412</c:v>
                </c:pt>
                <c:pt idx="93">
                  <c:v>0.15938124012735688</c:v>
                </c:pt>
                <c:pt idx="94">
                  <c:v>0.16187573387846188</c:v>
                </c:pt>
                <c:pt idx="95">
                  <c:v>0.16438776778713915</c:v>
                </c:pt>
                <c:pt idx="96">
                  <c:v>0.16691735781291236</c:v>
                </c:pt>
                <c:pt idx="97">
                  <c:v>0.16946452009440072</c:v>
                </c:pt>
                <c:pt idx="98">
                  <c:v>0.17202927094964571</c:v>
                </c:pt>
                <c:pt idx="99">
                  <c:v>0.17461162687644197</c:v>
                </c:pt>
                <c:pt idx="100">
                  <c:v>0.17721160455267312</c:v>
                </c:pt>
                <c:pt idx="101">
                  <c:v>0.17982922083665209</c:v>
                </c:pt>
                <c:pt idx="102">
                  <c:v>0.18246449276746568</c:v>
                </c:pt>
                <c:pt idx="103">
                  <c:v>0.18511743756532487</c:v>
                </c:pt>
                <c:pt idx="104">
                  <c:v>0.18778807263191857</c:v>
                </c:pt>
                <c:pt idx="105">
                  <c:v>0.19047641555077291</c:v>
                </c:pt>
                <c:pt idx="106">
                  <c:v>0.19318248408761446</c:v>
                </c:pt>
                <c:pt idx="107">
                  <c:v>0.1959062961907394</c:v>
                </c:pt>
                <c:pt idx="108">
                  <c:v>0.19864786999138587</c:v>
                </c:pt>
                <c:pt idx="109">
                  <c:v>0.20140722380411219</c:v>
                </c:pt>
                <c:pt idx="110">
                  <c:v>0.20418437612717966</c:v>
                </c:pt>
                <c:pt idx="111">
                  <c:v>0.20697934564293941</c:v>
                </c:pt>
                <c:pt idx="112">
                  <c:v>0.20979215121822542</c:v>
                </c:pt>
                <c:pt idx="113">
                  <c:v>0.21262281190475074</c:v>
                </c:pt>
                <c:pt idx="114">
                  <c:v>0.21547134693950998</c:v>
                </c:pt>
                <c:pt idx="115">
                  <c:v>0.21833777574518537</c:v>
                </c:pt>
                <c:pt idx="116">
                  <c:v>0.2212221179305589</c:v>
                </c:pt>
                <c:pt idx="117">
                  <c:v>0.22412439329092865</c:v>
                </c:pt>
                <c:pt idx="118">
                  <c:v>0.22704462180852977</c:v>
                </c:pt>
                <c:pt idx="119">
                  <c:v>0.22998282365296113</c:v>
                </c:pt>
                <c:pt idx="120">
                  <c:v>0.232939019181616</c:v>
                </c:pt>
                <c:pt idx="121">
                  <c:v>0.23591322894011943</c:v>
                </c:pt>
                <c:pt idx="122">
                  <c:v>0.23890547366276765</c:v>
                </c:pt>
                <c:pt idx="123">
                  <c:v>0.24191577427297525</c:v>
                </c:pt>
                <c:pt idx="124">
                  <c:v>0.24494415188372637</c:v>
                </c:pt>
                <c:pt idx="125">
                  <c:v>0.24799062779803024</c:v>
                </c:pt>
                <c:pt idx="126">
                  <c:v>0.25105522350938309</c:v>
                </c:pt>
                <c:pt idx="127">
                  <c:v>0.25413796070223382</c:v>
                </c:pt>
                <c:pt idx="128">
                  <c:v>0.25723886125245549</c:v>
                </c:pt>
                <c:pt idx="129">
                  <c:v>0.26035794722782224</c:v>
                </c:pt>
                <c:pt idx="130">
                  <c:v>0.26349524088849047</c:v>
                </c:pt>
                <c:pt idx="131">
                  <c:v>0.26665076468748572</c:v>
                </c:pt>
                <c:pt idx="132">
                  <c:v>0.26982454127119448</c:v>
                </c:pt>
                <c:pt idx="133">
                  <c:v>0.27301659347986185</c:v>
                </c:pt>
                <c:pt idx="134">
                  <c:v>0.27622694434809331</c:v>
                </c:pt>
                <c:pt idx="135">
                  <c:v>0.27945561710536232</c:v>
                </c:pt>
                <c:pt idx="136">
                  <c:v>0.28270263517652366</c:v>
                </c:pt>
                <c:pt idx="137">
                  <c:v>0.28596802218233158</c:v>
                </c:pt>
                <c:pt idx="138">
                  <c:v>0.28925180193996219</c:v>
                </c:pt>
                <c:pt idx="139">
                  <c:v>0.29255399846354418</c:v>
                </c:pt>
                <c:pt idx="140">
                  <c:v>0.29587463596469082</c:v>
                </c:pt>
                <c:pt idx="141">
                  <c:v>0.29921373885304131</c:v>
                </c:pt>
                <c:pt idx="142">
                  <c:v>0.30257133173680439</c:v>
                </c:pt>
                <c:pt idx="143">
                  <c:v>0.3059474394233096</c:v>
                </c:pt>
                <c:pt idx="144">
                  <c:v>0.3093420869195625</c:v>
                </c:pt>
                <c:pt idx="145">
                  <c:v>0.31275529943280611</c:v>
                </c:pt>
                <c:pt idx="146">
                  <c:v>0.31618710237108844</c:v>
                </c:pt>
                <c:pt idx="147">
                  <c:v>0.31963752134383322</c:v>
                </c:pt>
                <c:pt idx="148">
                  <c:v>0.32310658216241944</c:v>
                </c:pt>
                <c:pt idx="149">
                  <c:v>0.32659431084076368</c:v>
                </c:pt>
                <c:pt idx="150">
                  <c:v>0.33010073359590991</c:v>
                </c:pt>
                <c:pt idx="151">
                  <c:v>0.33362587684862355</c:v>
                </c:pt>
                <c:pt idx="152">
                  <c:v>0.33716976722399256</c:v>
                </c:pt>
                <c:pt idx="153">
                  <c:v>0.34073243155203226</c:v>
                </c:pt>
                <c:pt idx="154">
                  <c:v>0.34431389686829905</c:v>
                </c:pt>
                <c:pt idx="155">
                  <c:v>0.34791419041450572</c:v>
                </c:pt>
                <c:pt idx="156">
                  <c:v>0.35153333963914624</c:v>
                </c:pt>
                <c:pt idx="157">
                  <c:v>0.35517137219812439</c:v>
                </c:pt>
                <c:pt idx="158">
                  <c:v>0.35882831595538844</c:v>
                </c:pt>
                <c:pt idx="159">
                  <c:v>0.3625041989835725</c:v>
                </c:pt>
                <c:pt idx="160">
                  <c:v>0.36619904956464217</c:v>
                </c:pt>
                <c:pt idx="161">
                  <c:v>0.3699128961905479</c:v>
                </c:pt>
                <c:pt idx="162">
                  <c:v>0.37364576756388379</c:v>
                </c:pt>
                <c:pt idx="163">
                  <c:v>0.37739769259855094</c:v>
                </c:pt>
                <c:pt idx="164">
                  <c:v>0.38116870042042905</c:v>
                </c:pt>
                <c:pt idx="165">
                  <c:v>0.38495882036805201</c:v>
                </c:pt>
                <c:pt idx="166">
                  <c:v>0.38876808199329183</c:v>
                </c:pt>
                <c:pt idx="167">
                  <c:v>0.39259651506204557</c:v>
                </c:pt>
                <c:pt idx="168">
                  <c:v>0.39644414955493168</c:v>
                </c:pt>
                <c:pt idx="169">
                  <c:v>0.4003110156679901</c:v>
                </c:pt>
                <c:pt idx="170">
                  <c:v>0.40419714381339017</c:v>
                </c:pt>
                <c:pt idx="171">
                  <c:v>0.40810256462014355</c:v>
                </c:pt>
                <c:pt idx="172">
                  <c:v>0.41202730893482403</c:v>
                </c:pt>
                <c:pt idx="173">
                  <c:v>0.41597140782229342</c:v>
                </c:pt>
                <c:pt idx="174">
                  <c:v>0.41993489256643463</c:v>
                </c:pt>
                <c:pt idx="175">
                  <c:v>0.42391779467088886</c:v>
                </c:pt>
                <c:pt idx="176">
                  <c:v>0.42792014585980237</c:v>
                </c:pt>
                <c:pt idx="177">
                  <c:v>0.43194197807857676</c:v>
                </c:pt>
                <c:pt idx="178">
                  <c:v>0.43598332349462771</c:v>
                </c:pt>
                <c:pt idx="179">
                  <c:v>0.4400442144981494</c:v>
                </c:pt>
                <c:pt idx="180">
                  <c:v>0.44412468370288527</c:v>
                </c:pt>
                <c:pt idx="181">
                  <c:v>0.44822476394690558</c:v>
                </c:pt>
                <c:pt idx="182">
                  <c:v>0.45234448829339247</c:v>
                </c:pt>
                <c:pt idx="183">
                  <c:v>0.45648389003142992</c:v>
                </c:pt>
                <c:pt idx="184">
                  <c:v>0.46064300267680158</c:v>
                </c:pt>
                <c:pt idx="185">
                  <c:v>0.46482185997279585</c:v>
                </c:pt>
                <c:pt idx="186">
                  <c:v>0.46902049589101591</c:v>
                </c:pt>
                <c:pt idx="187">
                  <c:v>0.47323894463219873</c:v>
                </c:pt>
                <c:pt idx="188">
                  <c:v>0.47747724062703834</c:v>
                </c:pt>
                <c:pt idx="189">
                  <c:v>0.4817354185370194</c:v>
                </c:pt>
                <c:pt idx="190">
                  <c:v>0.48601351325525405</c:v>
                </c:pt>
                <c:pt idx="191">
                  <c:v>0.4903115599073285</c:v>
                </c:pt>
                <c:pt idx="192">
                  <c:v>0.49462959385215516</c:v>
                </c:pt>
                <c:pt idx="193">
                  <c:v>0.49896765068283266</c:v>
                </c:pt>
                <c:pt idx="194">
                  <c:v>0.50332576622751146</c:v>
                </c:pt>
                <c:pt idx="195">
                  <c:v>0.50770397655026889</c:v>
                </c:pt>
                <c:pt idx="196">
                  <c:v>0.51210231795199002</c:v>
                </c:pt>
                <c:pt idx="197">
                  <c:v>0.5165208269712549</c:v>
                </c:pt>
                <c:pt idx="198">
                  <c:v>0.52095954038523506</c:v>
                </c:pt>
                <c:pt idx="199">
                  <c:v>0.52541849521059603</c:v>
                </c:pt>
                <c:pt idx="200">
                  <c:v>0.52989772870440688</c:v>
                </c:pt>
              </c:numCache>
            </c:numRef>
          </c:yVal>
          <c:smooth val="0"/>
          <c:extLst>
            <c:ext xmlns:c16="http://schemas.microsoft.com/office/drawing/2014/chart" uri="{C3380CC4-5D6E-409C-BE32-E72D297353CC}">
              <c16:uniqueId val="{00000001-224D-4C5D-9638-87D4BF1AF418}"/>
            </c:ext>
          </c:extLst>
        </c:ser>
        <c:ser>
          <c:idx val="0"/>
          <c:order val="2"/>
          <c:tx>
            <c:v>Inductor Loss</c:v>
          </c:tx>
          <c:spPr>
            <a:ln w="38100">
              <a:solidFill>
                <a:srgbClr val="FF660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Calculations'!$Q$9:$Q$209</c:f>
              <c:numCache>
                <c:formatCode>0.0000</c:formatCode>
                <c:ptCount val="201"/>
                <c:pt idx="0">
                  <c:v>0.40708662596294742</c:v>
                </c:pt>
                <c:pt idx="1">
                  <c:v>0.40711297179712141</c:v>
                </c:pt>
                <c:pt idx="2">
                  <c:v>0.40718833411511085</c:v>
                </c:pt>
                <c:pt idx="3">
                  <c:v>0.40731271468903907</c:v>
                </c:pt>
                <c:pt idx="4">
                  <c:v>0.40748611644374977</c:v>
                </c:pt>
                <c:pt idx="5">
                  <c:v>0.40770854345697899</c:v>
                </c:pt>
                <c:pt idx="6">
                  <c:v>0.40798000095959464</c:v>
                </c:pt>
                <c:pt idx="7">
                  <c:v>0.40830049533590435</c:v>
                </c:pt>
                <c:pt idx="8">
                  <c:v>0.40867003412403069</c:v>
                </c:pt>
                <c:pt idx="9">
                  <c:v>0.4090886260163546</c:v>
                </c:pt>
                <c:pt idx="10">
                  <c:v>0.40955628086002643</c:v>
                </c:pt>
                <c:pt idx="11">
                  <c:v>0.41007300965754545</c:v>
                </c:pt>
                <c:pt idx="12">
                  <c:v>0.41063882456740686</c:v>
                </c:pt>
                <c:pt idx="13">
                  <c:v>0.41125373890481742</c:v>
                </c:pt>
                <c:pt idx="14">
                  <c:v>0.41191776714247913</c:v>
                </c:pt>
                <c:pt idx="15">
                  <c:v>0.41263092491144088</c:v>
                </c:pt>
                <c:pt idx="16">
                  <c:v>0.41339322900201908</c:v>
                </c:pt>
                <c:pt idx="17">
                  <c:v>0.41420469736478638</c:v>
                </c:pt>
                <c:pt idx="18">
                  <c:v>0.41506534911162901</c:v>
                </c:pt>
                <c:pt idx="19">
                  <c:v>0.41597520451687303</c:v>
                </c:pt>
                <c:pt idx="20">
                  <c:v>0.41693428501847907</c:v>
                </c:pt>
                <c:pt idx="21">
                  <c:v>0.4179426132193067</c:v>
                </c:pt>
                <c:pt idx="22">
                  <c:v>0.41900021288844702</c:v>
                </c:pt>
                <c:pt idx="23">
                  <c:v>0.42010710896262532</c:v>
                </c:pt>
                <c:pt idx="24">
                  <c:v>0.42126332754767254</c:v>
                </c:pt>
                <c:pt idx="25">
                  <c:v>0.42246889592006681</c:v>
                </c:pt>
                <c:pt idx="26">
                  <c:v>0.42372384252854434</c:v>
                </c:pt>
                <c:pt idx="27">
                  <c:v>0.42502819699578032</c:v>
                </c:pt>
                <c:pt idx="28">
                  <c:v>0.42638199012014033</c:v>
                </c:pt>
                <c:pt idx="29">
                  <c:v>0.42778525387750127</c:v>
                </c:pt>
                <c:pt idx="30">
                  <c:v>0.4292380214231436</c:v>
                </c:pt>
                <c:pt idx="31">
                  <c:v>0.43074032709371368</c:v>
                </c:pt>
                <c:pt idx="32">
                  <c:v>0.43229220640925753</c:v>
                </c:pt>
                <c:pt idx="33">
                  <c:v>0.4338936960753253</c:v>
                </c:pt>
                <c:pt idx="34">
                  <c:v>0.43554483398514743</c:v>
                </c:pt>
                <c:pt idx="35">
                  <c:v>0.43724565922188235</c:v>
                </c:pt>
                <c:pt idx="36">
                  <c:v>0.43899621206093609</c:v>
                </c:pt>
                <c:pt idx="37">
                  <c:v>0.4407965339723538</c:v>
                </c:pt>
                <c:pt idx="38">
                  <c:v>0.44264666762328431</c:v>
                </c:pt>
                <c:pt idx="39">
                  <c:v>0.4445466568805162</c:v>
                </c:pt>
                <c:pt idx="40">
                  <c:v>0.44649654681308848</c:v>
                </c:pt>
                <c:pt idx="41">
                  <c:v>0.44849638369497263</c:v>
                </c:pt>
                <c:pt idx="42">
                  <c:v>0.4505462150078301</c:v>
                </c:pt>
                <c:pt idx="43">
                  <c:v>0.45264608944384183</c:v>
                </c:pt>
                <c:pt idx="44">
                  <c:v>0.45479605690861352</c:v>
                </c:pt>
                <c:pt idx="45">
                  <c:v>0.45699616852415442</c:v>
                </c:pt>
                <c:pt idx="46">
                  <c:v>0.45924647663193119</c:v>
                </c:pt>
                <c:pt idx="47">
                  <c:v>0.46154703479599724</c:v>
                </c:pt>
                <c:pt idx="48">
                  <c:v>0.46389789780619711</c:v>
                </c:pt>
                <c:pt idx="49">
                  <c:v>0.4662991216814471</c:v>
                </c:pt>
                <c:pt idx="50">
                  <c:v>0.46875076367309204</c:v>
                </c:pt>
                <c:pt idx="51">
                  <c:v>0.47125288226833856</c:v>
                </c:pt>
                <c:pt idx="52">
                  <c:v>0.47380553719376572</c:v>
                </c:pt>
                <c:pt idx="53">
                  <c:v>0.47640878941891263</c:v>
                </c:pt>
                <c:pt idx="54">
                  <c:v>0.47906270115994409</c:v>
                </c:pt>
                <c:pt idx="55">
                  <c:v>0.48176733588339471</c:v>
                </c:pt>
                <c:pt idx="56">
                  <c:v>0.48452275830999114</c:v>
                </c:pt>
                <c:pt idx="57">
                  <c:v>0.48732903441855391</c:v>
                </c:pt>
                <c:pt idx="58">
                  <c:v>0.49018623144997858</c:v>
                </c:pt>
                <c:pt idx="59">
                  <c:v>0.49309441791129671</c:v>
                </c:pt>
                <c:pt idx="60">
                  <c:v>0.49605366357981745</c:v>
                </c:pt>
                <c:pt idx="61">
                  <c:v>0.49906403950735045</c:v>
                </c:pt>
                <c:pt idx="62">
                  <c:v>0.50212561802450917</c:v>
                </c:pt>
                <c:pt idx="63">
                  <c:v>0.50523847274509703</c:v>
                </c:pt>
                <c:pt idx="64">
                  <c:v>0.50840267857057564</c:v>
                </c:pt>
                <c:pt idx="65">
                  <c:v>0.51161831169461558</c:v>
                </c:pt>
                <c:pt idx="66">
                  <c:v>0.51488544960773108</c:v>
                </c:pt>
                <c:pt idx="67">
                  <c:v>0.51820417110199879</c:v>
                </c:pt>
                <c:pt idx="68">
                  <c:v>0.52157455627586002</c:v>
                </c:pt>
                <c:pt idx="69">
                  <c:v>0.52499668653900922</c:v>
                </c:pt>
                <c:pt idx="70">
                  <c:v>0.52847064461736748</c:v>
                </c:pt>
                <c:pt idx="71">
                  <c:v>0.53199651455814279</c:v>
                </c:pt>
                <c:pt idx="72">
                  <c:v>0.53557438173497551</c:v>
                </c:pt>
                <c:pt idx="73">
                  <c:v>0.53920433285317337</c:v>
                </c:pt>
                <c:pt idx="74">
                  <c:v>0.5428864559550326</c:v>
                </c:pt>
                <c:pt idx="75">
                  <c:v>0.5466208404252495</c:v>
                </c:pt>
                <c:pt idx="76">
                  <c:v>0.55040757699641829</c:v>
                </c:pt>
                <c:pt idx="77">
                  <c:v>0.55424675775462273</c:v>
                </c:pt>
                <c:pt idx="78">
                  <c:v>0.55813847614511491</c:v>
                </c:pt>
                <c:pt idx="79">
                  <c:v>0.56208282697808676</c:v>
                </c:pt>
                <c:pt idx="80">
                  <c:v>0.56607990643453321</c:v>
                </c:pt>
                <c:pt idx="81">
                  <c:v>0.57012981207220792</c:v>
                </c:pt>
                <c:pt idx="82">
                  <c:v>0.57423264283167186</c:v>
                </c:pt>
                <c:pt idx="83">
                  <c:v>0.57838849904243639</c:v>
                </c:pt>
                <c:pt idx="84">
                  <c:v>0.58259748242920062</c:v>
                </c:pt>
                <c:pt idx="85">
                  <c:v>0.58685969611818378</c:v>
                </c:pt>
                <c:pt idx="86">
                  <c:v>0.59117524464355531</c:v>
                </c:pt>
                <c:pt idx="87">
                  <c:v>0.5955442339539595</c:v>
                </c:pt>
                <c:pt idx="88">
                  <c:v>0.59996677141914057</c:v>
                </c:pt>
                <c:pt idx="89">
                  <c:v>0.60444296583666279</c:v>
                </c:pt>
                <c:pt idx="90">
                  <c:v>0.6089729274387341</c:v>
                </c:pt>
                <c:pt idx="91">
                  <c:v>0.61355676789912539</c:v>
                </c:pt>
                <c:pt idx="92">
                  <c:v>0.61819460034019458</c:v>
                </c:pt>
                <c:pt idx="93">
                  <c:v>0.62288653934000915</c:v>
                </c:pt>
                <c:pt idx="94">
                  <c:v>0.62763270093957435</c:v>
                </c:pt>
                <c:pt idx="95">
                  <c:v>0.63243320265016245</c:v>
                </c:pt>
                <c:pt idx="96">
                  <c:v>0.63728816346074701</c:v>
                </c:pt>
                <c:pt idx="97">
                  <c:v>0.64219770384554342</c:v>
                </c:pt>
                <c:pt idx="98">
                  <c:v>0.6471619457716542</c:v>
                </c:pt>
                <c:pt idx="99">
                  <c:v>0.6521810127068226</c:v>
                </c:pt>
                <c:pt idx="100">
                  <c:v>0.65725502962729299</c:v>
                </c:pt>
                <c:pt idx="101">
                  <c:v>0.6623841230257812</c:v>
                </c:pt>
                <c:pt idx="102">
                  <c:v>0.66756842091955448</c:v>
                </c:pt>
                <c:pt idx="103">
                  <c:v>0.672808052858622</c:v>
                </c:pt>
                <c:pt idx="104">
                  <c:v>0.67810314993403886</c:v>
                </c:pt>
                <c:pt idx="105">
                  <c:v>0.6834538447863201</c:v>
                </c:pt>
                <c:pt idx="106">
                  <c:v>0.6888602716139719</c:v>
                </c:pt>
                <c:pt idx="107">
                  <c:v>0.69432256618213595</c:v>
                </c:pt>
                <c:pt idx="108">
                  <c:v>0.69984086583135008</c:v>
                </c:pt>
                <c:pt idx="109">
                  <c:v>0.70541530948642661</c:v>
                </c:pt>
                <c:pt idx="110">
                  <c:v>0.71104603766544905</c:v>
                </c:pt>
                <c:pt idx="111">
                  <c:v>0.71673319248888689</c:v>
                </c:pt>
                <c:pt idx="112">
                  <c:v>0.72247691768883349</c:v>
                </c:pt>
                <c:pt idx="113">
                  <c:v>0.72827735861836218</c:v>
                </c:pt>
                <c:pt idx="114">
                  <c:v>0.73413466226100899</c:v>
                </c:pt>
                <c:pt idx="115">
                  <c:v>0.74004897724037588</c:v>
                </c:pt>
                <c:pt idx="116">
                  <c:v>0.74602045382986226</c:v>
                </c:pt>
                <c:pt idx="117">
                  <c:v>0.75204924396252082</c:v>
                </c:pt>
                <c:pt idx="118">
                  <c:v>0.75813550124104212</c:v>
                </c:pt>
                <c:pt idx="119">
                  <c:v>0.7642793809478674</c:v>
                </c:pt>
                <c:pt idx="120">
                  <c:v>0.77048104005543294</c:v>
                </c:pt>
                <c:pt idx="121">
                  <c:v>0.77674063723654507</c:v>
                </c:pt>
                <c:pt idx="122">
                  <c:v>0.78305833287488746</c:v>
                </c:pt>
                <c:pt idx="123">
                  <c:v>0.78943428907566349</c:v>
                </c:pt>
                <c:pt idx="124">
                  <c:v>0.79586866967637493</c:v>
                </c:pt>
                <c:pt idx="125">
                  <c:v>0.80236164025773582</c:v>
                </c:pt>
                <c:pt idx="126">
                  <c:v>0.80891336815472559</c:v>
                </c:pt>
                <c:pt idx="127">
                  <c:v>0.81552402246778222</c:v>
                </c:pt>
                <c:pt idx="128">
                  <c:v>0.8221937740741363</c:v>
                </c:pt>
                <c:pt idx="129">
                  <c:v>0.82892279563928817</c:v>
                </c:pt>
                <c:pt idx="130">
                  <c:v>0.83571126162862819</c:v>
                </c:pt>
                <c:pt idx="131">
                  <c:v>0.84255934831920309</c:v>
                </c:pt>
                <c:pt idx="132">
                  <c:v>0.84946723381163247</c:v>
                </c:pt>
                <c:pt idx="133">
                  <c:v>0.85643509804216778</c:v>
                </c:pt>
                <c:pt idx="134">
                  <c:v>0.86346312279490856</c:v>
                </c:pt>
                <c:pt idx="135">
                  <c:v>0.87055149171416524</c:v>
                </c:pt>
                <c:pt idx="136">
                  <c:v>0.87770039031697911</c:v>
                </c:pt>
                <c:pt idx="137">
                  <c:v>0.88491000600579683</c:v>
                </c:pt>
                <c:pt idx="138">
                  <c:v>0.89218052808129888</c:v>
                </c:pt>
                <c:pt idx="139">
                  <c:v>0.89951214775539168</c:v>
                </c:pt>
                <c:pt idx="140">
                  <c:v>0.90690505816435552</c:v>
                </c:pt>
                <c:pt idx="141">
                  <c:v>0.91435945438215838</c:v>
                </c:pt>
                <c:pt idx="142">
                  <c:v>0.92187553343392992</c:v>
                </c:pt>
                <c:pt idx="143">
                  <c:v>0.92945349430960478</c:v>
                </c:pt>
                <c:pt idx="144">
                  <c:v>0.93709353797773032</c:v>
                </c:pt>
                <c:pt idx="145">
                  <c:v>0.94479586739944577</c:v>
                </c:pt>
                <c:pt idx="146">
                  <c:v>0.95256068754263423</c:v>
                </c:pt>
                <c:pt idx="147">
                  <c:v>0.96038820539624137</c:v>
                </c:pt>
                <c:pt idx="148">
                  <c:v>0.96827862998477798</c:v>
                </c:pt>
                <c:pt idx="149">
                  <c:v>0.97623217238299287</c:v>
                </c:pt>
                <c:pt idx="150">
                  <c:v>0.98424904573072902</c:v>
                </c:pt>
                <c:pt idx="151">
                  <c:v>0.99232946524795829</c:v>
                </c:pt>
                <c:pt idx="152">
                  <c:v>1.0004736482500021</c:v>
                </c:pt>
                <c:pt idx="153">
                  <c:v>1.0086818141629328</c:v>
                </c:pt>
                <c:pt idx="154">
                  <c:v>1.0169541845391712</c:v>
                </c:pt>
                <c:pt idx="155">
                  <c:v>1.0252909830732615</c:v>
                </c:pt>
                <c:pt idx="156">
                  <c:v>1.0336924356178507</c:v>
                </c:pt>
                <c:pt idx="157">
                  <c:v>1.0421587701998529</c:v>
                </c:pt>
                <c:pt idx="158">
                  <c:v>1.0506902170368138</c:v>
                </c:pt>
                <c:pt idx="159">
                  <c:v>1.0592870085534751</c:v>
                </c:pt>
                <c:pt idx="160">
                  <c:v>1.0679493793985362</c:v>
                </c:pt>
                <c:pt idx="161">
                  <c:v>1.0766775664616219</c:v>
                </c:pt>
                <c:pt idx="162">
                  <c:v>1.0854718088904565</c:v>
                </c:pt>
                <c:pt idx="163">
                  <c:v>1.0943323481082423</c:v>
                </c:pt>
                <c:pt idx="164">
                  <c:v>1.1032594278312542</c:v>
                </c:pt>
                <c:pt idx="165">
                  <c:v>1.1122532940866421</c:v>
                </c:pt>
                <c:pt idx="166">
                  <c:v>1.1213141952304542</c:v>
                </c:pt>
                <c:pt idx="167">
                  <c:v>1.1304423819658731</c:v>
                </c:pt>
                <c:pt idx="168">
                  <c:v>1.1396381073616784</c:v>
                </c:pt>
                <c:pt idx="169">
                  <c:v>1.1489016268709287</c:v>
                </c:pt>
                <c:pt idx="170">
                  <c:v>1.1582331983498735</c:v>
                </c:pt>
                <c:pt idx="171">
                  <c:v>1.1676330820770904</c:v>
                </c:pt>
                <c:pt idx="172">
                  <c:v>1.1771015407728576</c:v>
                </c:pt>
                <c:pt idx="173">
                  <c:v>1.1866388396187584</c:v>
                </c:pt>
                <c:pt idx="174">
                  <c:v>1.1962452462775277</c:v>
                </c:pt>
                <c:pt idx="175">
                  <c:v>1.2059210309131321</c:v>
                </c:pt>
                <c:pt idx="176">
                  <c:v>1.2156664662111005</c:v>
                </c:pt>
                <c:pt idx="177">
                  <c:v>1.2254818273990975</c:v>
                </c:pt>
                <c:pt idx="178">
                  <c:v>1.2353673922677459</c:v>
                </c:pt>
                <c:pt idx="179">
                  <c:v>1.2453234411917065</c:v>
                </c:pt>
                <c:pt idx="180">
                  <c:v>1.2553502571510076</c:v>
                </c:pt>
                <c:pt idx="181">
                  <c:v>1.265448125752636</c:v>
                </c:pt>
                <c:pt idx="182">
                  <c:v>1.2756173352523956</c:v>
                </c:pt>
                <c:pt idx="183">
                  <c:v>1.2858581765770221</c:v>
                </c:pt>
                <c:pt idx="184">
                  <c:v>1.2961709433465733</c:v>
                </c:pt>
                <c:pt idx="185">
                  <c:v>1.3065559318970914</c:v>
                </c:pt>
                <c:pt idx="186">
                  <c:v>1.3170134413035375</c:v>
                </c:pt>
                <c:pt idx="187">
                  <c:v>1.3275437734030118</c:v>
                </c:pt>
                <c:pt idx="188">
                  <c:v>1.3381472328182482</c:v>
                </c:pt>
                <c:pt idx="189">
                  <c:v>1.348824126981405</c:v>
                </c:pt>
                <c:pt idx="190">
                  <c:v>1.3595747661581377</c:v>
                </c:pt>
                <c:pt idx="191">
                  <c:v>1.3703994634719705</c:v>
                </c:pt>
                <c:pt idx="192">
                  <c:v>1.3812985349289675</c:v>
                </c:pt>
                <c:pt idx="193">
                  <c:v>1.3922722994426966</c:v>
                </c:pt>
                <c:pt idx="194">
                  <c:v>1.403321078859511</c:v>
                </c:pt>
                <c:pt idx="195">
                  <c:v>1.4144451979841302</c:v>
                </c:pt>
                <c:pt idx="196">
                  <c:v>1.4256449846055421</c:v>
                </c:pt>
                <c:pt idx="197">
                  <c:v>1.4369207695232182</c:v>
                </c:pt>
                <c:pt idx="198">
                  <c:v>1.4482728865736512</c:v>
                </c:pt>
                <c:pt idx="199">
                  <c:v>1.4597016726572214</c:v>
                </c:pt>
                <c:pt idx="200">
                  <c:v>1.4712074677653919</c:v>
                </c:pt>
              </c:numCache>
            </c:numRef>
          </c:yVal>
          <c:smooth val="0"/>
          <c:extLst>
            <c:ext xmlns:c16="http://schemas.microsoft.com/office/drawing/2014/chart" uri="{C3380CC4-5D6E-409C-BE32-E72D297353CC}">
              <c16:uniqueId val="{00000002-224D-4C5D-9638-87D4BF1AF418}"/>
            </c:ext>
          </c:extLst>
        </c:ser>
        <c:dLbls>
          <c:showLegendKey val="0"/>
          <c:showVal val="0"/>
          <c:showCatName val="0"/>
          <c:showSerName val="0"/>
          <c:showPercent val="0"/>
          <c:showBubbleSize val="0"/>
        </c:dLbls>
        <c:axId val="177296512"/>
        <c:axId val="177298432"/>
      </c:scatterChart>
      <c:valAx>
        <c:axId val="177296512"/>
        <c:scaling>
          <c:orientation val="minMax"/>
          <c:min val="0"/>
        </c:scaling>
        <c:delete val="0"/>
        <c:axPos val="b"/>
        <c:majorGridlines/>
        <c:title>
          <c:tx>
            <c:rich>
              <a:bodyPr/>
              <a:lstStyle/>
              <a:p>
                <a:pPr>
                  <a:defRPr sz="975" b="1" i="0" u="none" strike="noStrike" baseline="0">
                    <a:solidFill>
                      <a:srgbClr val="000000"/>
                    </a:solidFill>
                    <a:latin typeface="Arial"/>
                    <a:ea typeface="Arial"/>
                    <a:cs typeface="Arial"/>
                  </a:defRPr>
                </a:pPr>
                <a:r>
                  <a:rPr lang="en-US"/>
                  <a:t>Iout (A)</a:t>
                </a:r>
              </a:p>
            </c:rich>
          </c:tx>
          <c:layout>
            <c:manualLayout>
              <c:xMode val="edge"/>
              <c:yMode val="edge"/>
              <c:x val="0.47898089171975411"/>
              <c:y val="0.925404072474819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77298432"/>
        <c:crosses val="autoZero"/>
        <c:crossBetween val="midCat"/>
      </c:valAx>
      <c:valAx>
        <c:axId val="177298432"/>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00"/>
                    </a:solidFill>
                    <a:latin typeface="Arial"/>
                    <a:ea typeface="Arial"/>
                    <a:cs typeface="Arial"/>
                  </a:defRPr>
                </a:pPr>
                <a:r>
                  <a:rPr lang="en-US"/>
                  <a:t>Power Disipation (W)</a:t>
                </a:r>
              </a:p>
            </c:rich>
          </c:tx>
          <c:layout>
            <c:manualLayout>
              <c:xMode val="edge"/>
              <c:yMode val="edge"/>
              <c:x val="1.9108280254777267E-2"/>
              <c:y val="0.37298429430192653"/>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77296512"/>
        <c:crosses val="autoZero"/>
        <c:crossBetween val="midCat"/>
      </c:valAx>
      <c:spPr>
        <a:solidFill>
          <a:srgbClr val="C0C0C0"/>
        </a:solidFill>
        <a:ln w="12700">
          <a:solidFill>
            <a:srgbClr val="808080"/>
          </a:solidFill>
          <a:prstDash val="solid"/>
        </a:ln>
      </c:spPr>
    </c:plotArea>
    <c:legend>
      <c:legendPos val="r"/>
      <c:layout>
        <c:manualLayout>
          <c:xMode val="edge"/>
          <c:yMode val="edge"/>
          <c:x val="0.84585987261148066"/>
          <c:y val="1.0080645161290319E-2"/>
          <c:w val="0.14904458598726408"/>
          <c:h val="0.129032469731606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Overall Efficiency</a:t>
            </a:r>
          </a:p>
        </c:rich>
      </c:tx>
      <c:layout>
        <c:manualLayout>
          <c:xMode val="edge"/>
          <c:yMode val="edge"/>
          <c:x val="0.41192468827576079"/>
          <c:y val="3.0241935483871732E-2"/>
        </c:manualLayout>
      </c:layout>
      <c:overlay val="0"/>
      <c:spPr>
        <a:noFill/>
        <a:ln w="25400">
          <a:noFill/>
        </a:ln>
      </c:spPr>
    </c:title>
    <c:autoTitleDeleted val="0"/>
    <c:plotArea>
      <c:layout>
        <c:manualLayout>
          <c:layoutTarget val="inner"/>
          <c:xMode val="edge"/>
          <c:yMode val="edge"/>
          <c:x val="0.12330639622818776"/>
          <c:y val="0.15927435034411094"/>
          <c:w val="0.80758914452747144"/>
          <c:h val="0.72983942815909986"/>
        </c:manualLayout>
      </c:layout>
      <c:scatterChart>
        <c:scatterStyle val="lineMarker"/>
        <c:varyColors val="0"/>
        <c:ser>
          <c:idx val="0"/>
          <c:order val="0"/>
          <c:spPr>
            <a:ln w="38100">
              <a:solidFill>
                <a:srgbClr val="000080"/>
              </a:solidFill>
              <a:prstDash val="solid"/>
            </a:ln>
          </c:spPr>
          <c:marker>
            <c:symbol val="none"/>
          </c:marker>
          <c:xVal>
            <c:numRef>
              <c:f>'Power Calculations'!$H$9:$H$209</c:f>
              <c:numCache>
                <c:formatCode>General</c:formatCode>
                <c:ptCount val="201"/>
                <c:pt idx="0">
                  <c:v>0</c:v>
                </c:pt>
                <c:pt idx="1">
                  <c:v>0.06</c:v>
                </c:pt>
                <c:pt idx="2">
                  <c:v>0.12</c:v>
                </c:pt>
                <c:pt idx="3">
                  <c:v>0.18</c:v>
                </c:pt>
                <c:pt idx="4">
                  <c:v>0.24</c:v>
                </c:pt>
                <c:pt idx="5">
                  <c:v>0.30000000000000004</c:v>
                </c:pt>
                <c:pt idx="6">
                  <c:v>0.36</c:v>
                </c:pt>
                <c:pt idx="7">
                  <c:v>0.42000000000000004</c:v>
                </c:pt>
                <c:pt idx="8">
                  <c:v>0.48</c:v>
                </c:pt>
                <c:pt idx="9">
                  <c:v>0.54</c:v>
                </c:pt>
                <c:pt idx="10">
                  <c:v>0.60000000000000009</c:v>
                </c:pt>
                <c:pt idx="11">
                  <c:v>0.66</c:v>
                </c:pt>
                <c:pt idx="12">
                  <c:v>0.72</c:v>
                </c:pt>
                <c:pt idx="13">
                  <c:v>0.78</c:v>
                </c:pt>
                <c:pt idx="14">
                  <c:v>0.84000000000000008</c:v>
                </c:pt>
                <c:pt idx="15">
                  <c:v>0.89999999999999991</c:v>
                </c:pt>
                <c:pt idx="16">
                  <c:v>0.96</c:v>
                </c:pt>
                <c:pt idx="17">
                  <c:v>1.02</c:v>
                </c:pt>
                <c:pt idx="18">
                  <c:v>1.08</c:v>
                </c:pt>
                <c:pt idx="19">
                  <c:v>1.1400000000000001</c:v>
                </c:pt>
                <c:pt idx="20">
                  <c:v>1.2000000000000002</c:v>
                </c:pt>
                <c:pt idx="21">
                  <c:v>1.26</c:v>
                </c:pt>
                <c:pt idx="22">
                  <c:v>1.32</c:v>
                </c:pt>
                <c:pt idx="23">
                  <c:v>1.3800000000000001</c:v>
                </c:pt>
                <c:pt idx="24">
                  <c:v>1.44</c:v>
                </c:pt>
                <c:pt idx="25">
                  <c:v>1.5</c:v>
                </c:pt>
                <c:pt idx="26">
                  <c:v>1.56</c:v>
                </c:pt>
                <c:pt idx="27">
                  <c:v>1.62</c:v>
                </c:pt>
                <c:pt idx="28">
                  <c:v>1.6800000000000002</c:v>
                </c:pt>
                <c:pt idx="29">
                  <c:v>1.7399999999999998</c:v>
                </c:pt>
                <c:pt idx="30">
                  <c:v>1.7999999999999998</c:v>
                </c:pt>
                <c:pt idx="31">
                  <c:v>1.8599999999999999</c:v>
                </c:pt>
                <c:pt idx="32">
                  <c:v>1.92</c:v>
                </c:pt>
                <c:pt idx="33">
                  <c:v>1.98</c:v>
                </c:pt>
                <c:pt idx="34">
                  <c:v>2.04</c:v>
                </c:pt>
                <c:pt idx="35">
                  <c:v>2.0999999999999996</c:v>
                </c:pt>
                <c:pt idx="36">
                  <c:v>2.16</c:v>
                </c:pt>
                <c:pt idx="37">
                  <c:v>2.2199999999999998</c:v>
                </c:pt>
                <c:pt idx="38">
                  <c:v>2.2800000000000002</c:v>
                </c:pt>
                <c:pt idx="39">
                  <c:v>2.34</c:v>
                </c:pt>
                <c:pt idx="40">
                  <c:v>2.4000000000000004</c:v>
                </c:pt>
                <c:pt idx="41">
                  <c:v>2.46</c:v>
                </c:pt>
                <c:pt idx="42">
                  <c:v>2.52</c:v>
                </c:pt>
                <c:pt idx="43">
                  <c:v>2.58</c:v>
                </c:pt>
                <c:pt idx="44">
                  <c:v>2.64</c:v>
                </c:pt>
                <c:pt idx="45">
                  <c:v>2.7</c:v>
                </c:pt>
                <c:pt idx="46">
                  <c:v>2.7600000000000002</c:v>
                </c:pt>
                <c:pt idx="47">
                  <c:v>2.82</c:v>
                </c:pt>
                <c:pt idx="48">
                  <c:v>2.88</c:v>
                </c:pt>
                <c:pt idx="49">
                  <c:v>2.94</c:v>
                </c:pt>
                <c:pt idx="50">
                  <c:v>3</c:v>
                </c:pt>
                <c:pt idx="51">
                  <c:v>3.06</c:v>
                </c:pt>
                <c:pt idx="52">
                  <c:v>3.12</c:v>
                </c:pt>
                <c:pt idx="53">
                  <c:v>3.18</c:v>
                </c:pt>
                <c:pt idx="54">
                  <c:v>3.24</c:v>
                </c:pt>
                <c:pt idx="55">
                  <c:v>3.3000000000000003</c:v>
                </c:pt>
                <c:pt idx="56">
                  <c:v>3.3600000000000003</c:v>
                </c:pt>
                <c:pt idx="57">
                  <c:v>3.42</c:v>
                </c:pt>
                <c:pt idx="58">
                  <c:v>3.4799999999999995</c:v>
                </c:pt>
                <c:pt idx="59">
                  <c:v>3.54</c:v>
                </c:pt>
                <c:pt idx="60">
                  <c:v>3.5999999999999996</c:v>
                </c:pt>
                <c:pt idx="61">
                  <c:v>3.66</c:v>
                </c:pt>
                <c:pt idx="62">
                  <c:v>3.7199999999999998</c:v>
                </c:pt>
                <c:pt idx="63">
                  <c:v>3.7800000000000002</c:v>
                </c:pt>
                <c:pt idx="64">
                  <c:v>3.84</c:v>
                </c:pt>
                <c:pt idx="65">
                  <c:v>3.9000000000000004</c:v>
                </c:pt>
                <c:pt idx="66">
                  <c:v>3.96</c:v>
                </c:pt>
                <c:pt idx="67">
                  <c:v>4.0200000000000005</c:v>
                </c:pt>
                <c:pt idx="68">
                  <c:v>4.08</c:v>
                </c:pt>
                <c:pt idx="69">
                  <c:v>4.1399999999999997</c:v>
                </c:pt>
                <c:pt idx="70">
                  <c:v>4.1999999999999993</c:v>
                </c:pt>
                <c:pt idx="71">
                  <c:v>4.26</c:v>
                </c:pt>
                <c:pt idx="72">
                  <c:v>4.32</c:v>
                </c:pt>
                <c:pt idx="73">
                  <c:v>4.38</c:v>
                </c:pt>
                <c:pt idx="74">
                  <c:v>4.4399999999999995</c:v>
                </c:pt>
                <c:pt idx="75">
                  <c:v>4.5</c:v>
                </c:pt>
                <c:pt idx="76">
                  <c:v>4.5600000000000005</c:v>
                </c:pt>
                <c:pt idx="77">
                  <c:v>4.62</c:v>
                </c:pt>
                <c:pt idx="78">
                  <c:v>4.68</c:v>
                </c:pt>
                <c:pt idx="79">
                  <c:v>4.74</c:v>
                </c:pt>
                <c:pt idx="80">
                  <c:v>4.8000000000000007</c:v>
                </c:pt>
                <c:pt idx="81">
                  <c:v>4.8600000000000003</c:v>
                </c:pt>
                <c:pt idx="82">
                  <c:v>4.92</c:v>
                </c:pt>
                <c:pt idx="83">
                  <c:v>4.9799999999999995</c:v>
                </c:pt>
                <c:pt idx="84">
                  <c:v>5.04</c:v>
                </c:pt>
                <c:pt idx="85">
                  <c:v>5.0999999999999996</c:v>
                </c:pt>
                <c:pt idx="86">
                  <c:v>5.16</c:v>
                </c:pt>
                <c:pt idx="87">
                  <c:v>5.22</c:v>
                </c:pt>
                <c:pt idx="88">
                  <c:v>5.28</c:v>
                </c:pt>
                <c:pt idx="89">
                  <c:v>5.34</c:v>
                </c:pt>
                <c:pt idx="90">
                  <c:v>5.4</c:v>
                </c:pt>
                <c:pt idx="91">
                  <c:v>5.46</c:v>
                </c:pt>
                <c:pt idx="92">
                  <c:v>5.5200000000000005</c:v>
                </c:pt>
                <c:pt idx="93">
                  <c:v>5.58</c:v>
                </c:pt>
                <c:pt idx="94">
                  <c:v>5.64</c:v>
                </c:pt>
                <c:pt idx="95">
                  <c:v>5.6999999999999993</c:v>
                </c:pt>
                <c:pt idx="96">
                  <c:v>5.76</c:v>
                </c:pt>
                <c:pt idx="97">
                  <c:v>5.82</c:v>
                </c:pt>
                <c:pt idx="98">
                  <c:v>5.88</c:v>
                </c:pt>
                <c:pt idx="99">
                  <c:v>5.9399999999999995</c:v>
                </c:pt>
                <c:pt idx="100">
                  <c:v>6</c:v>
                </c:pt>
                <c:pt idx="101">
                  <c:v>6.0600000000000005</c:v>
                </c:pt>
                <c:pt idx="102">
                  <c:v>6.12</c:v>
                </c:pt>
                <c:pt idx="103">
                  <c:v>6.18</c:v>
                </c:pt>
                <c:pt idx="104">
                  <c:v>6.24</c:v>
                </c:pt>
                <c:pt idx="105">
                  <c:v>6.3000000000000007</c:v>
                </c:pt>
                <c:pt idx="106">
                  <c:v>6.36</c:v>
                </c:pt>
                <c:pt idx="107">
                  <c:v>6.42</c:v>
                </c:pt>
                <c:pt idx="108">
                  <c:v>6.48</c:v>
                </c:pt>
                <c:pt idx="109">
                  <c:v>6.5400000000000009</c:v>
                </c:pt>
                <c:pt idx="110">
                  <c:v>6.6000000000000005</c:v>
                </c:pt>
                <c:pt idx="111">
                  <c:v>6.66</c:v>
                </c:pt>
                <c:pt idx="112">
                  <c:v>6.7200000000000006</c:v>
                </c:pt>
                <c:pt idx="113">
                  <c:v>6.7799999999999994</c:v>
                </c:pt>
                <c:pt idx="114">
                  <c:v>6.84</c:v>
                </c:pt>
                <c:pt idx="115">
                  <c:v>6.8999999999999995</c:v>
                </c:pt>
                <c:pt idx="116">
                  <c:v>6.9599999999999991</c:v>
                </c:pt>
                <c:pt idx="117">
                  <c:v>7.02</c:v>
                </c:pt>
                <c:pt idx="118">
                  <c:v>7.08</c:v>
                </c:pt>
                <c:pt idx="119">
                  <c:v>7.14</c:v>
                </c:pt>
                <c:pt idx="120">
                  <c:v>7.1999999999999993</c:v>
                </c:pt>
                <c:pt idx="121">
                  <c:v>7.26</c:v>
                </c:pt>
                <c:pt idx="122">
                  <c:v>7.32</c:v>
                </c:pt>
                <c:pt idx="123">
                  <c:v>7.38</c:v>
                </c:pt>
                <c:pt idx="124">
                  <c:v>7.4399999999999995</c:v>
                </c:pt>
                <c:pt idx="125">
                  <c:v>7.5</c:v>
                </c:pt>
                <c:pt idx="126">
                  <c:v>7.5600000000000005</c:v>
                </c:pt>
                <c:pt idx="127">
                  <c:v>7.62</c:v>
                </c:pt>
                <c:pt idx="128">
                  <c:v>7.68</c:v>
                </c:pt>
                <c:pt idx="129">
                  <c:v>7.74</c:v>
                </c:pt>
                <c:pt idx="130">
                  <c:v>7.8000000000000007</c:v>
                </c:pt>
                <c:pt idx="131">
                  <c:v>7.86</c:v>
                </c:pt>
                <c:pt idx="132">
                  <c:v>7.92</c:v>
                </c:pt>
                <c:pt idx="133">
                  <c:v>7.98</c:v>
                </c:pt>
                <c:pt idx="134">
                  <c:v>8.0400000000000009</c:v>
                </c:pt>
                <c:pt idx="135">
                  <c:v>8.1000000000000014</c:v>
                </c:pt>
                <c:pt idx="136">
                  <c:v>8.16</c:v>
                </c:pt>
                <c:pt idx="137">
                  <c:v>8.2200000000000006</c:v>
                </c:pt>
                <c:pt idx="138">
                  <c:v>8.2799999999999994</c:v>
                </c:pt>
                <c:pt idx="139">
                  <c:v>8.34</c:v>
                </c:pt>
                <c:pt idx="140">
                  <c:v>8.3999999999999986</c:v>
                </c:pt>
                <c:pt idx="141">
                  <c:v>8.4599999999999991</c:v>
                </c:pt>
                <c:pt idx="142">
                  <c:v>8.52</c:v>
                </c:pt>
                <c:pt idx="143">
                  <c:v>8.58</c:v>
                </c:pt>
                <c:pt idx="144">
                  <c:v>8.64</c:v>
                </c:pt>
                <c:pt idx="145">
                  <c:v>8.6999999999999993</c:v>
                </c:pt>
                <c:pt idx="146">
                  <c:v>8.76</c:v>
                </c:pt>
                <c:pt idx="147">
                  <c:v>8.82</c:v>
                </c:pt>
                <c:pt idx="148">
                  <c:v>8.879999999999999</c:v>
                </c:pt>
                <c:pt idx="149">
                  <c:v>8.94</c:v>
                </c:pt>
                <c:pt idx="150">
                  <c:v>9</c:v>
                </c:pt>
                <c:pt idx="151">
                  <c:v>9.06</c:v>
                </c:pt>
                <c:pt idx="152">
                  <c:v>9.120000000000001</c:v>
                </c:pt>
                <c:pt idx="153">
                  <c:v>9.18</c:v>
                </c:pt>
                <c:pt idx="154">
                  <c:v>9.24</c:v>
                </c:pt>
                <c:pt idx="155">
                  <c:v>9.3000000000000007</c:v>
                </c:pt>
                <c:pt idx="156">
                  <c:v>9.36</c:v>
                </c:pt>
                <c:pt idx="157">
                  <c:v>9.42</c:v>
                </c:pt>
                <c:pt idx="158">
                  <c:v>9.48</c:v>
                </c:pt>
                <c:pt idx="159">
                  <c:v>9.5400000000000009</c:v>
                </c:pt>
                <c:pt idx="160">
                  <c:v>9.6000000000000014</c:v>
                </c:pt>
                <c:pt idx="161">
                  <c:v>9.66</c:v>
                </c:pt>
                <c:pt idx="162">
                  <c:v>9.7200000000000006</c:v>
                </c:pt>
                <c:pt idx="163">
                  <c:v>9.7799999999999994</c:v>
                </c:pt>
                <c:pt idx="164">
                  <c:v>9.84</c:v>
                </c:pt>
                <c:pt idx="165">
                  <c:v>9.8999999999999986</c:v>
                </c:pt>
                <c:pt idx="166">
                  <c:v>9.9599999999999991</c:v>
                </c:pt>
                <c:pt idx="167">
                  <c:v>10.02</c:v>
                </c:pt>
                <c:pt idx="168">
                  <c:v>10.08</c:v>
                </c:pt>
                <c:pt idx="169">
                  <c:v>10.14</c:v>
                </c:pt>
                <c:pt idx="170">
                  <c:v>10.199999999999999</c:v>
                </c:pt>
                <c:pt idx="171">
                  <c:v>10.26</c:v>
                </c:pt>
                <c:pt idx="172">
                  <c:v>10.32</c:v>
                </c:pt>
                <c:pt idx="173">
                  <c:v>10.379999999999999</c:v>
                </c:pt>
                <c:pt idx="174">
                  <c:v>10.44</c:v>
                </c:pt>
                <c:pt idx="175">
                  <c:v>10.5</c:v>
                </c:pt>
                <c:pt idx="176">
                  <c:v>10.56</c:v>
                </c:pt>
                <c:pt idx="177">
                  <c:v>10.620000000000001</c:v>
                </c:pt>
                <c:pt idx="178">
                  <c:v>10.68</c:v>
                </c:pt>
                <c:pt idx="179">
                  <c:v>10.74</c:v>
                </c:pt>
                <c:pt idx="180">
                  <c:v>10.8</c:v>
                </c:pt>
                <c:pt idx="181">
                  <c:v>10.86</c:v>
                </c:pt>
                <c:pt idx="182">
                  <c:v>10.92</c:v>
                </c:pt>
                <c:pt idx="183">
                  <c:v>10.98</c:v>
                </c:pt>
                <c:pt idx="184">
                  <c:v>11.040000000000001</c:v>
                </c:pt>
                <c:pt idx="185">
                  <c:v>11.100000000000001</c:v>
                </c:pt>
                <c:pt idx="186">
                  <c:v>11.16</c:v>
                </c:pt>
                <c:pt idx="187">
                  <c:v>11.22</c:v>
                </c:pt>
                <c:pt idx="188">
                  <c:v>11.28</c:v>
                </c:pt>
                <c:pt idx="189">
                  <c:v>11.34</c:v>
                </c:pt>
                <c:pt idx="190">
                  <c:v>11.399999999999999</c:v>
                </c:pt>
                <c:pt idx="191">
                  <c:v>11.459999999999999</c:v>
                </c:pt>
                <c:pt idx="192">
                  <c:v>11.52</c:v>
                </c:pt>
                <c:pt idx="193">
                  <c:v>11.58</c:v>
                </c:pt>
                <c:pt idx="194">
                  <c:v>11.64</c:v>
                </c:pt>
                <c:pt idx="195">
                  <c:v>11.7</c:v>
                </c:pt>
                <c:pt idx="196">
                  <c:v>11.76</c:v>
                </c:pt>
                <c:pt idx="197">
                  <c:v>11.82</c:v>
                </c:pt>
                <c:pt idx="198">
                  <c:v>11.879999999999999</c:v>
                </c:pt>
                <c:pt idx="199">
                  <c:v>11.94</c:v>
                </c:pt>
                <c:pt idx="200">
                  <c:v>12</c:v>
                </c:pt>
              </c:numCache>
            </c:numRef>
          </c:xVal>
          <c:yVal>
            <c:numRef>
              <c:f>'Power Calculations'!$AQ$9:$AQ$209</c:f>
              <c:numCache>
                <c:formatCode>0.00%</c:formatCode>
                <c:ptCount val="201"/>
                <c:pt idx="0">
                  <c:v>0</c:v>
                </c:pt>
                <c:pt idx="1">
                  <c:v>0.24877967799174866</c:v>
                </c:pt>
                <c:pt idx="2">
                  <c:v>0.39805695290077175</c:v>
                </c:pt>
                <c:pt idx="3">
                  <c:v>0.49755737270625433</c:v>
                </c:pt>
                <c:pt idx="4">
                  <c:v>0.5686044518249147</c:v>
                </c:pt>
                <c:pt idx="5">
                  <c:v>0.62186407274229027</c:v>
                </c:pt>
                <c:pt idx="6">
                  <c:v>0.66326335587968654</c:v>
                </c:pt>
                <c:pt idx="7">
                  <c:v>0.69635930705192906</c:v>
                </c:pt>
                <c:pt idx="8">
                  <c:v>0.72341583905642826</c:v>
                </c:pt>
                <c:pt idx="9">
                  <c:v>0.74594242141339273</c:v>
                </c:pt>
                <c:pt idx="10">
                  <c:v>0.76498418174586746</c:v>
                </c:pt>
                <c:pt idx="11">
                  <c:v>0.78128770549436222</c:v>
                </c:pt>
                <c:pt idx="12">
                  <c:v>0.79540052943572248</c:v>
                </c:pt>
                <c:pt idx="13">
                  <c:v>0.80773333235288436</c:v>
                </c:pt>
                <c:pt idx="14">
                  <c:v>0.81860018005447666</c:v>
                </c:pt>
                <c:pt idx="15">
                  <c:v>0.82824535769561769</c:v>
                </c:pt>
                <c:pt idx="16">
                  <c:v>0.83686173011517972</c:v>
                </c:pt>
                <c:pt idx="17">
                  <c:v>0.84460359492466575</c:v>
                </c:pt>
                <c:pt idx="18">
                  <c:v>0.85159586382746744</c:v>
                </c:pt>
                <c:pt idx="19">
                  <c:v>0.85794074029439926</c:v>
                </c:pt>
                <c:pt idx="20">
                  <c:v>0.86355015521524925</c:v>
                </c:pt>
                <c:pt idx="21">
                  <c:v>0.86848755020322199</c:v>
                </c:pt>
                <c:pt idx="22">
                  <c:v>0.87301616102138557</c:v>
                </c:pt>
                <c:pt idx="23">
                  <c:v>0.87718355284781524</c:v>
                </c:pt>
                <c:pt idx="24">
                  <c:v>0.88103018651794507</c:v>
                </c:pt>
                <c:pt idx="25">
                  <c:v>0.88459069713308291</c:v>
                </c:pt>
                <c:pt idx="26">
                  <c:v>0.88789490612129163</c:v>
                </c:pt>
                <c:pt idx="27">
                  <c:v>0.8909686294013075</c:v>
                </c:pt>
                <c:pt idx="28">
                  <c:v>0.89383432801750429</c:v>
                </c:pt>
                <c:pt idx="29">
                  <c:v>0.89651163594223271</c:v>
                </c:pt>
                <c:pt idx="30">
                  <c:v>0.89907820124891313</c:v>
                </c:pt>
                <c:pt idx="31">
                  <c:v>0.90156481036536718</c:v>
                </c:pt>
                <c:pt idx="32">
                  <c:v>0.90390172870648333</c:v>
                </c:pt>
                <c:pt idx="33">
                  <c:v>0.90610144553558269</c:v>
                </c:pt>
                <c:pt idx="34">
                  <c:v>0.9081750979900185</c:v>
                </c:pt>
                <c:pt idx="35">
                  <c:v>0.9101326492248365</c:v>
                </c:pt>
                <c:pt idx="36">
                  <c:v>0.91198303911482947</c:v>
                </c:pt>
                <c:pt idx="37">
                  <c:v>0.91373431232322866</c:v>
                </c:pt>
                <c:pt idx="38">
                  <c:v>0.9153937276059394</c:v>
                </c:pt>
                <c:pt idx="39">
                  <c:v>0.91696785148242854</c:v>
                </c:pt>
                <c:pt idx="40">
                  <c:v>0.91846263882116352</c:v>
                </c:pt>
                <c:pt idx="41">
                  <c:v>0.91988350242372763</c:v>
                </c:pt>
                <c:pt idx="42">
                  <c:v>0.92123537332081606</c:v>
                </c:pt>
                <c:pt idx="43">
                  <c:v>0.92252275319504573</c:v>
                </c:pt>
                <c:pt idx="44">
                  <c:v>0.92374976010442089</c:v>
                </c:pt>
                <c:pt idx="45">
                  <c:v>0.92492016848445124</c:v>
                </c:pt>
                <c:pt idx="46">
                  <c:v>0.92603744424708612</c:v>
                </c:pt>
                <c:pt idx="47">
                  <c:v>0.92710477566359151</c:v>
                </c:pt>
                <c:pt idx="48">
                  <c:v>0.92812510061060693</c:v>
                </c:pt>
                <c:pt idx="49">
                  <c:v>0.92910113066942313</c:v>
                </c:pt>
                <c:pt idx="50">
                  <c:v>0.93003537249447932</c:v>
                </c:pt>
                <c:pt idx="51">
                  <c:v>0.93093014680539776</c:v>
                </c:pt>
                <c:pt idx="52">
                  <c:v>0.93178760530528615</c:v>
                </c:pt>
                <c:pt idx="53">
                  <c:v>0.93260974578475397</c:v>
                </c:pt>
                <c:pt idx="54">
                  <c:v>0.93339842563464437</c:v>
                </c:pt>
                <c:pt idx="55">
                  <c:v>0.93415537395969717</c:v>
                </c:pt>
                <c:pt idx="56">
                  <c:v>0.93488220245927356</c:v>
                </c:pt>
                <c:pt idx="57">
                  <c:v>0.93558041521910407</c:v>
                </c:pt>
                <c:pt idx="58">
                  <c:v>0.93625141753912766</c:v>
                </c:pt>
                <c:pt idx="59">
                  <c:v>0.93689652390633471</c:v>
                </c:pt>
                <c:pt idx="60">
                  <c:v>0.9375169652076899</c:v>
                </c:pt>
                <c:pt idx="61">
                  <c:v>0.93811389526631639</c:v>
                </c:pt>
                <c:pt idx="62">
                  <c:v>0.93868839677387428</c:v>
                </c:pt>
                <c:pt idx="63">
                  <c:v>0.93924148668322371</c:v>
                </c:pt>
                <c:pt idx="64">
                  <c:v>0.9397741211178009</c:v>
                </c:pt>
                <c:pt idx="65">
                  <c:v>0.94028719984749376</c:v>
                </c:pt>
                <c:pt idx="66">
                  <c:v>0.94078157037502919</c:v>
                </c:pt>
                <c:pt idx="67">
                  <c:v>0.94125803167184408</c:v>
                </c:pt>
                <c:pt idx="68">
                  <c:v>0.94171733759802678</c:v>
                </c:pt>
                <c:pt idx="69">
                  <c:v>0.94216020003706247</c:v>
                </c:pt>
                <c:pt idx="70">
                  <c:v>0.94258729177275014</c:v>
                </c:pt>
                <c:pt idx="71">
                  <c:v>0.94299924913269506</c:v>
                </c:pt>
                <c:pt idx="72">
                  <c:v>0.9433966744201796</c:v>
                </c:pt>
                <c:pt idx="73">
                  <c:v>0.94378013815391504</c:v>
                </c:pt>
                <c:pt idx="74">
                  <c:v>0.94415018113315152</c:v>
                </c:pt>
                <c:pt idx="75">
                  <c:v>0.94450731634382812</c:v>
                </c:pt>
                <c:pt idx="76">
                  <c:v>0.94485203071985902</c:v>
                </c:pt>
                <c:pt idx="77">
                  <c:v>0.94518478677223705</c:v>
                </c:pt>
                <c:pt idx="78">
                  <c:v>0.9455060240973856</c:v>
                </c:pt>
                <c:pt idx="79">
                  <c:v>0.94581616077507402</c:v>
                </c:pt>
                <c:pt idx="80">
                  <c:v>0.94611559466521467</c:v>
                </c:pt>
                <c:pt idx="81">
                  <c:v>0.94640470461197279</c:v>
                </c:pt>
                <c:pt idx="82">
                  <c:v>0.94668385156282986</c:v>
                </c:pt>
                <c:pt idx="83">
                  <c:v>0.94695337960952175</c:v>
                </c:pt>
                <c:pt idx="84">
                  <c:v>0.94721361695714601</c:v>
                </c:pt>
                <c:pt idx="85">
                  <c:v>0.94746487682715164</c:v>
                </c:pt>
                <c:pt idx="86">
                  <c:v>0.94770745829941783</c:v>
                </c:pt>
                <c:pt idx="87">
                  <c:v>0.94794164709815787</c:v>
                </c:pt>
                <c:pt idx="88">
                  <c:v>0.94816771632597585</c:v>
                </c:pt>
                <c:pt idx="89">
                  <c:v>0.94838592715001968</c:v>
                </c:pt>
                <c:pt idx="90">
                  <c:v>0.94859652944384043</c:v>
                </c:pt>
                <c:pt idx="91">
                  <c:v>0.94879976238825636</c:v>
                </c:pt>
                <c:pt idx="92">
                  <c:v>0.94899585503424544</c:v>
                </c:pt>
                <c:pt idx="93">
                  <c:v>0.94918502683063599</c:v>
                </c:pt>
                <c:pt idx="94">
                  <c:v>0.94936748811913585</c:v>
                </c:pt>
                <c:pt idx="95">
                  <c:v>0.94954344059903606</c:v>
                </c:pt>
                <c:pt idx="96">
                  <c:v>0.94971307776373404</c:v>
                </c:pt>
                <c:pt idx="97">
                  <c:v>0.94987658531104768</c:v>
                </c:pt>
                <c:pt idx="98">
                  <c:v>0.95003414152914134</c:v>
                </c:pt>
                <c:pt idx="99">
                  <c:v>0.95018591765973481</c:v>
                </c:pt>
                <c:pt idx="100">
                  <c:v>0.95033207824014221</c:v>
                </c:pt>
                <c:pt idx="101">
                  <c:v>0.95047278142556424</c:v>
                </c:pt>
                <c:pt idx="102">
                  <c:v>0.95060817929295405</c:v>
                </c:pt>
                <c:pt idx="103">
                  <c:v>0.95073841812767024</c:v>
                </c:pt>
                <c:pt idx="104">
                  <c:v>0.95086363869404633</c:v>
                </c:pt>
                <c:pt idx="105">
                  <c:v>0.95098397649091837</c:v>
                </c:pt>
                <c:pt idx="106">
                  <c:v>0.95109956199307844</c:v>
                </c:pt>
                <c:pt idx="107">
                  <c:v>0.95121052087954727</c:v>
                </c:pt>
                <c:pt idx="108">
                  <c:v>0.95131697424950123</c:v>
                </c:pt>
                <c:pt idx="109">
                  <c:v>0.95141903882662249</c:v>
                </c:pt>
                <c:pt idx="110">
                  <c:v>0.95151682715259134</c:v>
                </c:pt>
                <c:pt idx="111">
                  <c:v>0.95161044777038772</c:v>
                </c:pt>
                <c:pt idx="112">
                  <c:v>0.95170000539802191</c:v>
                </c:pt>
                <c:pt idx="113">
                  <c:v>0.95178560109327237</c:v>
                </c:pt>
                <c:pt idx="114">
                  <c:v>0.95186733240996835</c:v>
                </c:pt>
                <c:pt idx="115">
                  <c:v>0.95194529354632096</c:v>
                </c:pt>
                <c:pt idx="116">
                  <c:v>0.95201957548576865</c:v>
                </c:pt>
                <c:pt idx="117">
                  <c:v>0.95209026613077408</c:v>
                </c:pt>
                <c:pt idx="118">
                  <c:v>0.95215745042998179</c:v>
                </c:pt>
                <c:pt idx="119">
                  <c:v>0.95222121049911601</c:v>
                </c:pt>
                <c:pt idx="120">
                  <c:v>0.95228162573597597</c:v>
                </c:pt>
                <c:pt idx="121">
                  <c:v>0.95233877292986235</c:v>
                </c:pt>
                <c:pt idx="122">
                  <c:v>0.95239272636574479</c:v>
                </c:pt>
                <c:pt idx="123">
                  <c:v>0.95244355792346591</c:v>
                </c:pt>
                <c:pt idx="124">
                  <c:v>0.95249133717225276</c:v>
                </c:pt>
                <c:pt idx="125">
                  <c:v>0.95253613146079319</c:v>
                </c:pt>
                <c:pt idx="126">
                  <c:v>0.95257800600311893</c:v>
                </c:pt>
                <c:pt idx="127">
                  <c:v>0.95261702396052017</c:v>
                </c:pt>
                <c:pt idx="128">
                  <c:v>0.95265324651970351</c:v>
                </c:pt>
                <c:pt idx="129">
                  <c:v>0.95268673296739315</c:v>
                </c:pt>
                <c:pt idx="130">
                  <c:v>0.9527175407615629</c:v>
                </c:pt>
                <c:pt idx="131">
                  <c:v>0.9527457255994739</c:v>
                </c:pt>
                <c:pt idx="132">
                  <c:v>0.95277134148268527</c:v>
                </c:pt>
                <c:pt idx="133">
                  <c:v>0.95279444077919206</c:v>
                </c:pt>
                <c:pt idx="134">
                  <c:v>0.95281507428283685</c:v>
                </c:pt>
                <c:pt idx="135">
                  <c:v>0.95283329127013716</c:v>
                </c:pt>
                <c:pt idx="136">
                  <c:v>0.95284913955465311</c:v>
                </c:pt>
                <c:pt idx="137">
                  <c:v>0.9528626655390231</c:v>
                </c:pt>
                <c:pt idx="138">
                  <c:v>0.95287391426478041</c:v>
                </c:pt>
                <c:pt idx="139">
                  <c:v>0.95288292946006192</c:v>
                </c:pt>
                <c:pt idx="140">
                  <c:v>0.95288975358531069</c:v>
                </c:pt>
                <c:pt idx="141">
                  <c:v>0.95289442787707135</c:v>
                </c:pt>
                <c:pt idx="142">
                  <c:v>0.95289699238996883</c:v>
                </c:pt>
                <c:pt idx="143">
                  <c:v>0.95289748603695945</c:v>
                </c:pt>
                <c:pt idx="144">
                  <c:v>0.95289594662793398</c:v>
                </c:pt>
                <c:pt idx="145">
                  <c:v>0.95289241090675325</c:v>
                </c:pt>
                <c:pt idx="146">
                  <c:v>0.95288691458678942</c:v>
                </c:pt>
                <c:pt idx="147">
                  <c:v>0.95287949238504033</c:v>
                </c:pt>
                <c:pt idx="148">
                  <c:v>0.95287017805488616</c:v>
                </c:pt>
                <c:pt idx="149">
                  <c:v>0.95285900441754923</c:v>
                </c:pt>
                <c:pt idx="150">
                  <c:v>0.95284600339231651</c:v>
                </c:pt>
                <c:pt idx="151">
                  <c:v>0.95283120602558136</c:v>
                </c:pt>
                <c:pt idx="152">
                  <c:v>0.95281464251875725</c:v>
                </c:pt>
                <c:pt idx="153">
                  <c:v>0.95279634225511489</c:v>
                </c:pt>
                <c:pt idx="154">
                  <c:v>0.95277633382558979</c:v>
                </c:pt>
                <c:pt idx="155">
                  <c:v>0.95275464505360685</c:v>
                </c:pt>
                <c:pt idx="156">
                  <c:v>0.95273130301896447</c:v>
                </c:pt>
                <c:pt idx="157">
                  <c:v>0.95270633408081973</c:v>
                </c:pt>
                <c:pt idx="158">
                  <c:v>0.95267976389981279</c:v>
                </c:pt>
                <c:pt idx="159">
                  <c:v>0.95265161745937021</c:v>
                </c:pt>
                <c:pt idx="160">
                  <c:v>0.95262191908621829</c:v>
                </c:pt>
                <c:pt idx="161">
                  <c:v>0.9525906924701445</c:v>
                </c:pt>
                <c:pt idx="162">
                  <c:v>0.95255796068303578</c:v>
                </c:pt>
                <c:pt idx="163">
                  <c:v>0.9525237461972258</c:v>
                </c:pt>
                <c:pt idx="164">
                  <c:v>0.95248807090317911</c:v>
                </c:pt>
                <c:pt idx="165">
                  <c:v>0.95245095612654063</c:v>
                </c:pt>
                <c:pt idx="166">
                  <c:v>0.95241242264457637</c:v>
                </c:pt>
                <c:pt idx="167">
                  <c:v>0.95237249070202978</c:v>
                </c:pt>
                <c:pt idx="168">
                  <c:v>0.9523311800264197</c:v>
                </c:pt>
                <c:pt idx="169">
                  <c:v>0.95228850984279934</c:v>
                </c:pt>
                <c:pt idx="170">
                  <c:v>0.95224449888800122</c:v>
                </c:pt>
                <c:pt idx="171">
                  <c:v>0.95219916542438687</c:v>
                </c:pt>
                <c:pt idx="172">
                  <c:v>0.95215252725312227</c:v>
                </c:pt>
                <c:pt idx="173">
                  <c:v>0.95210460172699529</c:v>
                </c:pt>
                <c:pt idx="174">
                  <c:v>0.95205540576279823</c:v>
                </c:pt>
                <c:pt idx="175">
                  <c:v>0.95200495585328582</c:v>
                </c:pt>
                <c:pt idx="176">
                  <c:v>0.95195326807873215</c:v>
                </c:pt>
                <c:pt idx="177">
                  <c:v>0.95190035811809615</c:v>
                </c:pt>
                <c:pt idx="178">
                  <c:v>0.95184624125981487</c:v>
                </c:pt>
                <c:pt idx="179">
                  <c:v>0.95179093241223733</c:v>
                </c:pt>
                <c:pt idx="180">
                  <c:v>0.95173444611371116</c:v>
                </c:pt>
                <c:pt idx="181">
                  <c:v>0.95167679654233928</c:v>
                </c:pt>
                <c:pt idx="182">
                  <c:v>0.95161799752541332</c:v>
                </c:pt>
                <c:pt idx="183">
                  <c:v>0.95155806254854169</c:v>
                </c:pt>
                <c:pt idx="184">
                  <c:v>0.95149700476447996</c:v>
                </c:pt>
                <c:pt idx="185">
                  <c:v>0.95143483700167553</c:v>
                </c:pt>
                <c:pt idx="186">
                  <c:v>0.95137157177253751</c:v>
                </c:pt>
                <c:pt idx="187">
                  <c:v>0.95130722128144229</c:v>
                </c:pt>
                <c:pt idx="188">
                  <c:v>0.95124179743248272</c:v>
                </c:pt>
                <c:pt idx="189">
                  <c:v>0.95117531183697213</c:v>
                </c:pt>
                <c:pt idx="190">
                  <c:v>0.95110777582071127</c:v>
                </c:pt>
                <c:pt idx="191">
                  <c:v>0.95103920043102597</c:v>
                </c:pt>
                <c:pt idx="192">
                  <c:v>0.95096959644358503</c:v>
                </c:pt>
                <c:pt idx="193">
                  <c:v>0.95089897436900561</c:v>
                </c:pt>
                <c:pt idx="194">
                  <c:v>0.95082734445925243</c:v>
                </c:pt>
                <c:pt idx="195">
                  <c:v>0.95075471671384104</c:v>
                </c:pt>
                <c:pt idx="196">
                  <c:v>0.95068110088584779</c:v>
                </c:pt>
                <c:pt idx="197">
                  <c:v>0.95060650648773748</c:v>
                </c:pt>
                <c:pt idx="198">
                  <c:v>0.950530942797012</c:v>
                </c:pt>
                <c:pt idx="199">
                  <c:v>0.95045441886168724</c:v>
                </c:pt>
                <c:pt idx="200">
                  <c:v>0.95037694350560442</c:v>
                </c:pt>
              </c:numCache>
            </c:numRef>
          </c:yVal>
          <c:smooth val="0"/>
          <c:extLst>
            <c:ext xmlns:c16="http://schemas.microsoft.com/office/drawing/2014/chart" uri="{C3380CC4-5D6E-409C-BE32-E72D297353CC}">
              <c16:uniqueId val="{00000000-63C5-4D6A-B9BD-1C49DB4002EC}"/>
            </c:ext>
          </c:extLst>
        </c:ser>
        <c:dLbls>
          <c:showLegendKey val="0"/>
          <c:showVal val="0"/>
          <c:showCatName val="0"/>
          <c:showSerName val="0"/>
          <c:showPercent val="0"/>
          <c:showBubbleSize val="0"/>
        </c:dLbls>
        <c:axId val="177307008"/>
        <c:axId val="177313280"/>
      </c:scatterChart>
      <c:valAx>
        <c:axId val="177307008"/>
        <c:scaling>
          <c:orientation val="minMax"/>
          <c:min val="0"/>
        </c:scaling>
        <c:delete val="0"/>
        <c:axPos val="b"/>
        <c:majorGridlines/>
        <c:title>
          <c:tx>
            <c:rich>
              <a:bodyPr/>
              <a:lstStyle/>
              <a:p>
                <a:pPr>
                  <a:defRPr sz="1025" b="1" i="0" u="none" strike="noStrike" baseline="0">
                    <a:solidFill>
                      <a:srgbClr val="000000"/>
                    </a:solidFill>
                    <a:latin typeface="Arial"/>
                    <a:ea typeface="Arial"/>
                    <a:cs typeface="Arial"/>
                  </a:defRPr>
                </a:pPr>
                <a:r>
                  <a:rPr lang="en-US"/>
                  <a:t>Iout (A)</a:t>
                </a:r>
              </a:p>
            </c:rich>
          </c:tx>
          <c:layout>
            <c:manualLayout>
              <c:xMode val="edge"/>
              <c:yMode val="edge"/>
              <c:x val="0.49051561644225661"/>
              <c:y val="0.9435492337651399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77313280"/>
        <c:crosses val="autoZero"/>
        <c:crossBetween val="midCat"/>
      </c:valAx>
      <c:valAx>
        <c:axId val="177313280"/>
        <c:scaling>
          <c:orientation val="minMax"/>
          <c:min val="0.5"/>
        </c:scaling>
        <c:delete val="0"/>
        <c:axPos val="l"/>
        <c:majorGridlines>
          <c:spPr>
            <a:ln w="3175">
              <a:solidFill>
                <a:srgbClr val="000000"/>
              </a:solidFill>
              <a:prstDash val="solid"/>
            </a:ln>
          </c:spPr>
        </c:majorGridlines>
        <c:title>
          <c:tx>
            <c:rich>
              <a:bodyPr/>
              <a:lstStyle/>
              <a:p>
                <a:pPr>
                  <a:defRPr sz="1025" b="1" i="0" u="none" strike="noStrike" baseline="0">
                    <a:solidFill>
                      <a:srgbClr val="000000"/>
                    </a:solidFill>
                    <a:latin typeface="Arial"/>
                    <a:ea typeface="Arial"/>
                    <a:cs typeface="Arial"/>
                  </a:defRPr>
                </a:pPr>
                <a:r>
                  <a:rPr lang="en-US"/>
                  <a:t>Efficiency (%)</a:t>
                </a:r>
              </a:p>
            </c:rich>
          </c:tx>
          <c:layout>
            <c:manualLayout>
              <c:xMode val="edge"/>
              <c:yMode val="edge"/>
              <c:x val="6.7750677506775965E-3"/>
              <c:y val="0.42741977817289623"/>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77307008"/>
        <c:crosses val="autoZero"/>
        <c:crossBetween val="midCat"/>
      </c:valAx>
      <c:spPr>
        <a:solidFill>
          <a:srgbClr val="C0C0C0"/>
        </a:solidFill>
        <a:ln w="12700">
          <a:solidFill>
            <a:srgbClr val="808080"/>
          </a:solidFill>
          <a:prstDash val="solid"/>
        </a:ln>
      </c:spPr>
    </c:plotArea>
    <c:legend>
      <c:legendPos val="r"/>
      <c:layout>
        <c:manualLayout>
          <c:xMode val="edge"/>
          <c:yMode val="edge"/>
          <c:x val="0.85636970175475957"/>
          <c:y val="3.6290322580645677E-2"/>
          <c:w val="0.11788632112042907"/>
          <c:h val="4.2338709677419352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Drop" dropStyle="combo" dx="22" fmlaRange="$1:$1048576" noThreeD="1" sel="0" val="0"/>
</file>

<file path=xl/ctrlProps/ctrlProp4.xml><?xml version="1.0" encoding="utf-8"?>
<formControlPr xmlns="http://schemas.microsoft.com/office/spreadsheetml/2009/9/main" objectType="Spin" dx="16" fmlaLink="$E$60" inc="5" max="150" min="10" page="10" val="30"/>
</file>

<file path=xl/ctrlProps/ctrlProp5.xml><?xml version="1.0" encoding="utf-8"?>
<formControlPr xmlns="http://schemas.microsoft.com/office/spreadsheetml/2009/9/main" objectType="Spin" dx="16" fmlaLink="$E$66" max="100" min="1" page="10" val="2"/>
</file>

<file path=xl/ctrlProps/ctrlProp6.xml><?xml version="1.0" encoding="utf-8"?>
<formControlPr xmlns="http://schemas.microsoft.com/office/spreadsheetml/2009/9/main" objectType="Spin" dx="16" fmlaLink="$E$67" max="100" min="1" page="10" val="4"/>
</file>

<file path=xl/ctrlProps/ctrlProp7.xml><?xml version="1.0" encoding="utf-8"?>
<formControlPr xmlns="http://schemas.microsoft.com/office/spreadsheetml/2009/9/main" objectType="Spin" dx="16" fmlaLink="$E$68" inc="10" max="1000" min="100" page="10" val="240"/>
</file>

<file path=xl/ctrlProps/ctrlProp8.xml><?xml version="1.0" encoding="utf-8"?>
<formControlPr xmlns="http://schemas.microsoft.com/office/spreadsheetml/2009/9/main" objectType="Spin" dx="16" fmlaLink="$E$69" inc="10" max="1000" min="100" page="10" val="125"/>
</file>

<file path=xl/ctrlProps/ctrlProp9.xml><?xml version="1.0" encoding="utf-8"?>
<formControlPr xmlns="http://schemas.microsoft.com/office/spreadsheetml/2009/9/main" objectType="Drop" dropLines="2" dropStyle="combo" dx="16" fmlaLink="'Variable Management'!$M$56" fmlaRange="'Variable Management'!$L$54:$L$55" noThreeD="1" sel="1" val="0"/>
</file>

<file path=xl/ctrlProps/ctrlProp10.xml><?xml version="1.0" encoding="utf-8"?>
<formControlPr xmlns="http://schemas.microsoft.com/office/spreadsheetml/2009/9/main" objectType="Drop" dropLines="5" dropStyle="combo" dx="16" fmlaLink="'Variable Management'!$V$12" fmlaRange="'Variable Management'!$U$7:$U$11" noThreeD="1" sel="1" val="0"/>
</file>

<file path=xl/ctrlProps/ctrlProp11.xml><?xml version="1.0" encoding="utf-8"?>
<formControlPr xmlns="http://schemas.microsoft.com/office/spreadsheetml/2009/9/main" objectType="Drop" dropLines="4" dropStyle="combo" dx="16" fmlaLink="'Schematic &amp; BOM'!$Q$49" fmlaRange="'Variable Management'!$L$48:$L$51" noThreeD="1" sel="1" val="0"/>
</file>

<file path=xl/ctrlProps/ctrlProp12.xml><?xml version="1.0" encoding="utf-8"?>
<formControlPr xmlns="http://schemas.microsoft.com/office/spreadsheetml/2009/9/main" objectType="Drop" dropStyle="combo" dx="16" fmlaLink="$Q$50" fmlaRange="'Variable Management'!$L$48:$L$51" noThreeD="1" sel="1" val="0"/>
</file>

<file path=xl/ctrlProps/ctrlProp13.xml><?xml version="1.0" encoding="utf-8"?>
<formControlPr xmlns="http://schemas.microsoft.com/office/spreadsheetml/2009/9/main" objectType="Drop" dropLines="3" dropStyle="combo" dx="16" fmlaLink="$Q$38" fmlaRange="'Variable Management'!$L$69:$L$71" noThreeD="1" sel="2" val="0"/>
</file>

<file path=xl/ctrlProps/ctrlProp14.xml><?xml version="1.0" encoding="utf-8"?>
<formControlPr xmlns="http://schemas.microsoft.com/office/spreadsheetml/2009/9/main" objectType="Drop" dropLines="3" dropStyle="combo" dx="16" fmlaLink="$Q$39" fmlaRange="'Variable Management'!$L$69:$L$71" noThreeD="1" sel="1" val="0"/>
</file>

<file path=xl/ctrlProps/ctrlProp15.xml><?xml version="1.0" encoding="utf-8"?>
<formControlPr xmlns="http://schemas.microsoft.com/office/spreadsheetml/2009/9/main" objectType="Drop" dropLines="3" dropStyle="combo" dx="16" fmlaLink="$Q$40" fmlaRange="'Variable Management'!$L$69:$L$71" noThreeD="1" sel="1" val="0"/>
</file>

<file path=xl/ctrlProps/ctrlProp16.xml><?xml version="1.0" encoding="utf-8"?>
<formControlPr xmlns="http://schemas.microsoft.com/office/spreadsheetml/2009/9/main" objectType="Drop" dropLines="3" dropStyle="combo" dx="16" fmlaLink="$Q$41" fmlaRange="'Variable Management'!$L$69:$L$71" noThreeD="1" sel="1" val="0"/>
</file>

<file path=xl/ctrlProps/ctrlProp17.xml><?xml version="1.0" encoding="utf-8"?>
<formControlPr xmlns="http://schemas.microsoft.com/office/spreadsheetml/2009/9/main" objectType="Drop" dropLines="3" dropStyle="combo" dx="16" fmlaLink="$Q$42" fmlaRange="'Variable Management'!$L$69:$L$71" noThreeD="1" sel="2" val="0"/>
</file>

<file path=xl/ctrlProps/ctrlProp18.xml><?xml version="1.0" encoding="utf-8"?>
<formControlPr xmlns="http://schemas.microsoft.com/office/spreadsheetml/2009/9/main" objectType="Drop" dropLines="3" dropStyle="combo" dx="16" fmlaLink="$Q$45" fmlaRange="'Variable Management'!$L$69:$L$71" noThreeD="1" sel="2" val="0"/>
</file>

<file path=xl/ctrlProps/ctrlProp19.xml><?xml version="1.0" encoding="utf-8"?>
<formControlPr xmlns="http://schemas.microsoft.com/office/spreadsheetml/2009/9/main" objectType="Drop" dropLines="3" dropStyle="combo" dx="16" fmlaLink="$Q$46" fmlaRange="'Variable Management'!$L$69:$L$71" noThreeD="1" sel="3" val="0"/>
</file>

<file path=xl/ctrlProps/ctrlProp20.xml><?xml version="1.0" encoding="utf-8"?>
<formControlPr xmlns="http://schemas.microsoft.com/office/spreadsheetml/2009/9/main" objectType="Drop" dropLines="3" dropStyle="combo" dx="16" fmlaLink="$Q$47" fmlaRange="'Variable Management'!$L$69:$L$71" noThreeD="1" sel="2" val="0"/>
</file>

<file path=xl/ctrlProps/ctrlProp21.xml><?xml version="1.0" encoding="utf-8"?>
<formControlPr xmlns="http://schemas.microsoft.com/office/spreadsheetml/2009/9/main" objectType="Drop" dropLines="3" dropStyle="combo" dx="16" fmlaLink="$Q$52" fmlaRange="'Variable Management'!$L$69:$L$71" noThreeD="1" sel="1" val="0"/>
</file>

<file path=xl/ctrlProps/ctrlProp22.xml><?xml version="1.0" encoding="utf-8"?>
<formControlPr xmlns="http://schemas.microsoft.com/office/spreadsheetml/2009/9/main" objectType="Drop" dropLines="3" dropStyle="combo" dx="16" fmlaLink="$Q$53" fmlaRange="'Variable Management'!$L$69:$L$71" noThreeD="1" sel="1" val="0"/>
</file>

<file path=xl/ctrlProps/ctrlProp23.xml><?xml version="1.0" encoding="utf-8"?>
<formControlPr xmlns="http://schemas.microsoft.com/office/spreadsheetml/2009/9/main" objectType="Drop" dropLines="3" dropStyle="combo" dx="16" fmlaLink="$Q$54" fmlaRange="'Variable Management'!$L$69:$L$71" noThreeD="1" sel="3" val="0"/>
</file>

<file path=xl/ctrlProps/ctrlProp24.xml><?xml version="1.0" encoding="utf-8"?>
<formControlPr xmlns="http://schemas.microsoft.com/office/spreadsheetml/2009/9/main" objectType="Drop" dropLines="3" dropStyle="combo" dx="16" fmlaLink="$Q$55" fmlaRange="'Variable Management'!$L$69:$L$71" noThreeD="1" sel="1" val="0"/>
</file>

<file path=xl/ctrlProps/ctrlProp25.xml><?xml version="1.0" encoding="utf-8"?>
<formControlPr xmlns="http://schemas.microsoft.com/office/spreadsheetml/2009/9/main" objectType="Drop" dropLines="3" dropStyle="combo" dx="16" fmlaLink="$Q$56" fmlaRange="'Variable Management'!$L$69:$L$71" noThreeD="1" sel="1" val="0"/>
</file>

<file path=xl/ctrlProps/ctrlProp26.xml><?xml version="1.0" encoding="utf-8"?>
<formControlPr xmlns="http://schemas.microsoft.com/office/spreadsheetml/2009/9/main" objectType="Drop" dropLines="3" dropStyle="combo" dx="16" fmlaLink="$Q$57" fmlaRange="'Variable Management'!$L$69:$L$71" noThreeD="1" sel="1" val="0"/>
</file>

<file path=xl/ctrlProps/ctrlProp27.xml><?xml version="1.0" encoding="utf-8"?>
<formControlPr xmlns="http://schemas.microsoft.com/office/spreadsheetml/2009/9/main" objectType="Drop" dropLines="3" dropStyle="combo" dx="16" fmlaLink="$Q$58" fmlaRange="'Variable Management'!$L$69:$L$71" noThreeD="1" sel="1" val="0"/>
</file>

<file path=xl/ctrlProps/ctrlProp28.xml><?xml version="1.0" encoding="utf-8"?>
<formControlPr xmlns="http://schemas.microsoft.com/office/spreadsheetml/2009/9/main" objectType="Drop" dropLines="3" dropStyle="combo" dx="16" fmlaLink="$Q$60" fmlaRange="'Variable Management'!$L$69:$L$71" noThreeD="1" sel="2" val="0"/>
</file>

<file path=xl/ctrlProps/ctrlProp29.xml><?xml version="1.0" encoding="utf-8"?>
<formControlPr xmlns="http://schemas.microsoft.com/office/spreadsheetml/2009/9/main" objectType="Drop" dropLines="3" dropStyle="combo" dx="16" fmlaLink="$Q$61" fmlaRange="'Variable Management'!$L$69:$L$71" noThreeD="1" sel="1" val="0"/>
</file>

<file path=xl/ctrlProps/ctrlProp30.xml><?xml version="1.0" encoding="utf-8"?>
<formControlPr xmlns="http://schemas.microsoft.com/office/spreadsheetml/2009/9/main" objectType="Drop" dropLines="3" dropStyle="combo" dx="16" fmlaLink="$Q$62" fmlaRange="'Variable Management'!$L$69:$L$71" noThreeD="1" sel="1" val="0"/>
</file>

<file path=xl/ctrlProps/ctrlProp31.xml><?xml version="1.0" encoding="utf-8"?>
<formControlPr xmlns="http://schemas.microsoft.com/office/spreadsheetml/2009/9/main" objectType="Drop" dropStyle="combo" dx="16" fmlaLink="$Q$48" fmlaRange="'Variable Management'!$L$78:$L$85" noThreeD="1" sel="7" val="0"/>
</file>

<file path=xl/ctrlProps/ctrlProp32.xml><?xml version="1.0" encoding="utf-8"?>
<formControlPr xmlns="http://schemas.microsoft.com/office/spreadsheetml/2009/9/main" objectType="Drop" dropLines="5" dropStyle="combo" dx="16" fmlaLink="$Q$43" fmlaRange="'Variable Management'!$L$69:$L$73" noThreeD="1" sel="5" val="0"/>
</file>

<file path=xl/ctrlProps/ctrlProp33.xml><?xml version="1.0" encoding="utf-8"?>
<formControlPr xmlns="http://schemas.microsoft.com/office/spreadsheetml/2009/9/main" objectType="Drop" dropLines="5" dropStyle="combo" dx="16" fmlaLink="$Q$44" fmlaRange="'Variable Management'!$L$69:$L$73" noThreeD="1" sel="5" val="0"/>
</file>

<file path=xl/ctrlProps/ctrlProp34.xml><?xml version="1.0" encoding="utf-8"?>
<formControlPr xmlns="http://schemas.microsoft.com/office/spreadsheetml/2009/9/main" objectType="Drop" dropLines="2" dropStyle="combo" dx="16" fmlaLink="'Schematic &amp; BOM'!$R$49" fmlaRange="'Variable Management'!$Q$44:$Q$45" noThreeD="1" sel="1" val="0"/>
</file>

<file path=xl/ctrlProps/ctrlProp35.xml><?xml version="1.0" encoding="utf-8"?>
<formControlPr xmlns="http://schemas.microsoft.com/office/spreadsheetml/2009/9/main" objectType="Drop" dropLines="2" dropStyle="combo" dx="16" fmlaLink="$R$50" fmlaRange="'Variable Management'!$Q$44:$Q$45" noThreeD="1" sel="1" val="0"/>
</file>

<file path=xl/drawings/_rels/drawing1.xml.rels><?xml version="1.0" encoding="UTF-8" standalone="yes"?>
<Relationships xmlns="http://schemas.openxmlformats.org/package/2006/relationships"><Relationship Id="rId8" Type="http://schemas.openxmlformats.org/officeDocument/2006/relationships/image" Target="../media/image4.png" /><Relationship Id="rId3" Type="http://schemas.openxmlformats.org/officeDocument/2006/relationships/chart" Target="../charts/chart2.xml" /><Relationship Id="rId7" Type="http://schemas.openxmlformats.org/officeDocument/2006/relationships/image" Target="../media/image3.jpg" /><Relationship Id="rId2" Type="http://schemas.openxmlformats.org/officeDocument/2006/relationships/chart" Target="../charts/chart1.xml" /><Relationship Id="rId1" Type="http://schemas.openxmlformats.org/officeDocument/2006/relationships/image" Target="../media/image1.emf" /><Relationship Id="rId6" Type="http://schemas.openxmlformats.org/officeDocument/2006/relationships/hyperlink" Target="http://www.ti.com/automotive" TargetMode="External" /><Relationship Id="rId5" Type="http://schemas.openxmlformats.org/officeDocument/2006/relationships/image" Target="../media/image2.jpg" /><Relationship Id="rId4" Type="http://schemas.openxmlformats.org/officeDocument/2006/relationships/hyperlink" Target="http://www.ti.com/widevin" TargetMode="External" /><Relationship Id="rId9" Type="http://schemas.openxmlformats.org/officeDocument/2006/relationships/image" Target="../media/image5.jpg" /></Relationships>
</file>

<file path=xl/drawings/_rels/drawing3.xml.rels><?xml version="1.0" encoding="UTF-8" standalone="yes"?>
<Relationships xmlns="http://schemas.openxmlformats.org/package/2006/relationships"><Relationship Id="rId1" Type="http://schemas.openxmlformats.org/officeDocument/2006/relationships/image" Target="../media/image1.emf" /></Relationships>
</file>

<file path=xl/drawings/_rels/drawing4.xml.rels><?xml version="1.0" encoding="UTF-8" standalone="yes"?>
<Relationships xmlns="http://schemas.openxmlformats.org/package/2006/relationships"><Relationship Id="rId8" Type="http://schemas.openxmlformats.org/officeDocument/2006/relationships/image" Target="../media/image15.emf" /><Relationship Id="rId3" Type="http://schemas.openxmlformats.org/officeDocument/2006/relationships/image" Target="../media/image10.jpeg" /><Relationship Id="rId7" Type="http://schemas.openxmlformats.org/officeDocument/2006/relationships/image" Target="../media/image14.emf" /><Relationship Id="rId2" Type="http://schemas.openxmlformats.org/officeDocument/2006/relationships/image" Target="../media/image9.emf" /><Relationship Id="rId1" Type="http://schemas.openxmlformats.org/officeDocument/2006/relationships/image" Target="../media/image8.jpeg" /><Relationship Id="rId6" Type="http://schemas.openxmlformats.org/officeDocument/2006/relationships/image" Target="../media/image13.emf" /><Relationship Id="rId5" Type="http://schemas.openxmlformats.org/officeDocument/2006/relationships/image" Target="../media/image12.emf" /><Relationship Id="rId4" Type="http://schemas.openxmlformats.org/officeDocument/2006/relationships/image" Target="../media/image11.jpeg" /></Relationships>
</file>

<file path=xl/drawings/_rels/drawing6.xml.rels><?xml version="1.0" encoding="UTF-8" standalone="yes"?>
<Relationships xmlns="http://schemas.openxmlformats.org/package/2006/relationships"><Relationship Id="rId3" Type="http://schemas.openxmlformats.org/officeDocument/2006/relationships/chart" Target="../charts/chart5.xml" /><Relationship Id="rId2" Type="http://schemas.openxmlformats.org/officeDocument/2006/relationships/chart" Target="../charts/chart4.xml" /><Relationship Id="rId1" Type="http://schemas.openxmlformats.org/officeDocument/2006/relationships/chart" Target="../charts/chart3.xml" /><Relationship Id="rId4" Type="http://schemas.openxmlformats.org/officeDocument/2006/relationships/chart" Target="../charts/chart6.xml" /></Relationships>
</file>

<file path=xl/drawings/_rels/drawing7.xml.rels><?xml version="1.0" encoding="UTF-8" standalone="yes"?>
<Relationships xmlns="http://schemas.openxmlformats.org/package/2006/relationships"><Relationship Id="rId2" Type="http://schemas.openxmlformats.org/officeDocument/2006/relationships/image" Target="../media/image18.emf" /><Relationship Id="rId1" Type="http://schemas.openxmlformats.org/officeDocument/2006/relationships/image" Target="../media/image17.emf" /></Relationships>
</file>

<file path=xl/drawings/_rels/drawing8.xml.rels><?xml version="1.0" encoding="UTF-8" standalone="yes"?>
<Relationships xmlns="http://schemas.openxmlformats.org/package/2006/relationships"><Relationship Id="rId3" Type="http://schemas.openxmlformats.org/officeDocument/2006/relationships/chart" Target="../charts/chart9.xml" /><Relationship Id="rId2" Type="http://schemas.openxmlformats.org/officeDocument/2006/relationships/chart" Target="../charts/chart8.xml" /><Relationship Id="rId1" Type="http://schemas.openxmlformats.org/officeDocument/2006/relationships/chart" Target="../charts/chart7.xml" /></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 /></Relationships>
</file>

<file path=xl/drawings/_rels/vmlDrawing2.vml.rels><?xml version="1.0" encoding="UTF-8" standalone="yes"?>
<Relationships xmlns="http://schemas.openxmlformats.org/package/2006/relationships"><Relationship Id="rId1" Type="http://schemas.openxmlformats.org/officeDocument/2006/relationships/image" Target="../media/image7.jpeg" /></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 /></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emf" /></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390525</xdr:colOff>
          <xdr:row>73</xdr:row>
          <xdr:rowOff>9525</xdr:rowOff>
        </xdr:from>
        <xdr:to>
          <xdr:col>3</xdr:col>
          <xdr:colOff>9525</xdr:colOff>
          <xdr:row>76</xdr:row>
          <xdr:rowOff>19050</xdr:rowOff>
        </xdr:to>
        <xdr:sp macro="" textlink="">
          <xdr:nvSpPr>
            <xdr:cNvPr id="673566" name="Button 798" hidden="1">
              <a:extLst>
                <a:ext uri="{63B3BB69-23CF-44E3-9099-C40C66FF867C}">
                  <a14:compatExt spid="_x0000_s673566"/>
                </a:ext>
                <a:ext uri="{FF2B5EF4-FFF2-40B4-BE49-F238E27FC236}">
                  <a16:creationId xmlns:a16="http://schemas.microsoft.com/office/drawing/2014/main" id="{00000000-0008-0000-0000-00001E470A00}"/>
                </a:ext>
              </a:extLst>
            </xdr:cNvPr>
            <xdr:cNvSpPr/>
          </xdr:nvSpPr>
          <xdr:spPr bwMode="auto">
            <a:xfrm>
              <a:off x="0" y="0"/>
              <a:ext cx="0" cy="0"/>
            </a:xfrm>
            <a:prstGeom prst="rect">
              <a:avLst/>
            </a:prstGeom>
            <a:solidFill>
              <a:srgbClr val="000000" mc:Ignorable="a14" a14:legacySpreadsheetColorIndex="67"/>
            </a:solidFill>
            <a:ln w="9525">
              <a:solidFill>
                <a:srgbClr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RESET 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390525</xdr:colOff>
          <xdr:row>73</xdr:row>
          <xdr:rowOff>9525</xdr:rowOff>
        </xdr:from>
        <xdr:to>
          <xdr:col>3</xdr:col>
          <xdr:colOff>9525</xdr:colOff>
          <xdr:row>76</xdr:row>
          <xdr:rowOff>19050</xdr:rowOff>
        </xdr:to>
        <xdr:sp macro="" textlink="">
          <xdr:nvSpPr>
            <xdr:cNvPr id="673565" name="Button 797" hidden="1">
              <a:extLst>
                <a:ext uri="{63B3BB69-23CF-44E3-9099-C40C66FF867C}">
                  <a14:compatExt spid="_x0000_s673565"/>
                </a:ext>
                <a:ext uri="{FF2B5EF4-FFF2-40B4-BE49-F238E27FC236}">
                  <a16:creationId xmlns:a16="http://schemas.microsoft.com/office/drawing/2014/main" id="{00000000-0008-0000-0000-00001D470A00}"/>
                </a:ext>
              </a:extLst>
            </xdr:cNvPr>
            <xdr:cNvSpPr/>
          </xdr:nvSpPr>
          <xdr:spPr bwMode="auto">
            <a:xfrm>
              <a:off x="0" y="0"/>
              <a:ext cx="0" cy="0"/>
            </a:xfrm>
            <a:prstGeom prst="rect">
              <a:avLst/>
            </a:prstGeom>
            <a:solidFill>
              <a:srgbClr val="000000" mc:Ignorable="a14" a14:legacySpreadsheetColorIndex="67"/>
            </a:solidFill>
            <a:ln w="9525">
              <a:solidFill>
                <a:srgbClr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FIX</a:t>
              </a:r>
            </a:p>
            <a:p>
              <a:pPr algn="ctr" rtl="0">
                <a:defRPr sz="1000"/>
              </a:pPr>
              <a:r>
                <a:rPr lang="en-US" sz="900" b="1" i="0" u="none" strike="noStrike" baseline="0">
                  <a:solidFill>
                    <a:srgbClr val="000000"/>
                  </a:solidFill>
                  <a:latin typeface="Arial"/>
                  <a:cs typeface="Arial"/>
                </a:rPr>
                <a:t>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1695450</xdr:colOff>
          <xdr:row>0</xdr:row>
          <xdr:rowOff>447675</xdr:rowOff>
        </xdr:from>
        <xdr:to>
          <xdr:col>16</xdr:col>
          <xdr:colOff>2076450</xdr:colOff>
          <xdr:row>1</xdr:row>
          <xdr:rowOff>28575</xdr:rowOff>
        </xdr:to>
        <xdr:sp macro="" textlink="">
          <xdr:nvSpPr>
            <xdr:cNvPr id="683100" name="Drop Down 1116" hidden="1">
              <a:extLst>
                <a:ext uri="{63B3BB69-23CF-44E3-9099-C40C66FF867C}">
                  <a14:compatExt spid="_x0000_s683100"/>
                </a:ext>
                <a:ext uri="{FF2B5EF4-FFF2-40B4-BE49-F238E27FC236}">
                  <a16:creationId xmlns:a16="http://schemas.microsoft.com/office/drawing/2014/main" id="{6A476364-0A9E-44CB-BC1D-70A3417B72D9}"/>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166894</xdr:colOff>
          <xdr:row>8</xdr:row>
          <xdr:rowOff>72059</xdr:rowOff>
        </xdr:from>
        <xdr:to>
          <xdr:col>16</xdr:col>
          <xdr:colOff>2281444</xdr:colOff>
          <xdr:row>36</xdr:row>
          <xdr:rowOff>81584</xdr:rowOff>
        </xdr:to>
        <xdr:pic>
          <xdr:nvPicPr>
            <xdr:cNvPr id="3" name="Picture 2">
              <a:extLst>
                <a:ext uri="{FF2B5EF4-FFF2-40B4-BE49-F238E27FC236}">
                  <a16:creationId xmlns:a16="http://schemas.microsoft.com/office/drawing/2014/main" id="{00000000-0008-0000-0000-000003000000}"/>
                </a:ext>
              </a:extLst>
            </xdr:cNvPr>
            <xdr:cNvPicPr>
              <a:picLocks noChangeAspect="1"/>
              <a:extLst>
                <a:ext uri="{84589F7E-364E-4C9E-8A38-B11213B215E9}">
                  <a14:cameraTool cellRange="PICTURE10" spid="_x0000_s683108"/>
                </a:ext>
              </a:extLst>
            </xdr:cNvPicPr>
          </xdr:nvPicPr>
          <xdr:blipFill>
            <a:blip xmlns:r="http://schemas.openxmlformats.org/officeDocument/2006/relationships" r:embed="rId1"/>
            <a:stretch>
              <a:fillRect/>
            </a:stretch>
          </xdr:blipFill>
          <xdr:spPr>
            <a:xfrm>
              <a:off x="3700669" y="1977059"/>
              <a:ext cx="8896350" cy="5162550"/>
            </a:xfrm>
            <a:prstGeom prst="rect">
              <a:avLst/>
            </a:prstGeom>
          </xdr:spPr>
        </xdr:pic>
        <xdr:clientData/>
      </xdr:twoCellAnchor>
    </mc:Choice>
    <mc:Fallback/>
  </mc:AlternateContent>
  <xdr:twoCellAnchor editAs="absolute">
    <xdr:from>
      <xdr:col>6</xdr:col>
      <xdr:colOff>228601</xdr:colOff>
      <xdr:row>42</xdr:row>
      <xdr:rowOff>46265</xdr:rowOff>
    </xdr:from>
    <xdr:to>
      <xdr:col>16</xdr:col>
      <xdr:colOff>2215563</xdr:colOff>
      <xdr:row>69</xdr:row>
      <xdr:rowOff>9525</xdr:rowOff>
    </xdr:to>
    <xdr:graphicFrame macro="">
      <xdr:nvGraphicFramePr>
        <xdr:cNvPr id="65" name="Chart 12">
          <a:extLst>
            <a:ext uri="{FF2B5EF4-FFF2-40B4-BE49-F238E27FC236}">
              <a16:creationId xmlns:a16="http://schemas.microsoft.com/office/drawing/2014/main" id="{00000000-0008-0000-0000-00004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564178</xdr:colOff>
      <xdr:row>61</xdr:row>
      <xdr:rowOff>198576</xdr:rowOff>
    </xdr:from>
    <xdr:to>
      <xdr:col>10</xdr:col>
      <xdr:colOff>402630</xdr:colOff>
      <xdr:row>63</xdr:row>
      <xdr:rowOff>14727</xdr:rowOff>
    </xdr:to>
    <xdr:sp macro="" textlink="'Variable Management'!A260">
      <xdr:nvSpPr>
        <xdr:cNvPr id="2071" name="Text Box 23">
          <a:extLst>
            <a:ext uri="{FF2B5EF4-FFF2-40B4-BE49-F238E27FC236}">
              <a16:creationId xmlns:a16="http://schemas.microsoft.com/office/drawing/2014/main" id="{00000000-0008-0000-0000-000017080000}"/>
            </a:ext>
          </a:extLst>
        </xdr:cNvPr>
        <xdr:cNvSpPr txBox="1">
          <a:spLocks noChangeArrowheads="1" noTextEdit="1"/>
        </xdr:cNvSpPr>
      </xdr:nvSpPr>
      <xdr:spPr bwMode="auto">
        <a:xfrm>
          <a:off x="4802803" y="11876226"/>
          <a:ext cx="2067302" cy="216201"/>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10952A97-D9C5-44B7-89A3-65441574648A}" type="TxLink">
            <a:rPr lang="en-US" sz="1050" b="1" i="0" u="none" strike="noStrike" baseline="0">
              <a:solidFill>
                <a:srgbClr val="FF0000"/>
              </a:solidFill>
              <a:latin typeface="Arial"/>
              <a:cs typeface="Arial"/>
            </a:rPr>
            <a:pPr algn="l" rtl="0">
              <a:defRPr sz="1000"/>
            </a:pPr>
            <a:t>Crossover Frequency = 28 kHz</a:t>
          </a:fld>
          <a:endParaRPr lang="en-US" sz="1050" b="1" i="0" u="none" strike="noStrike" baseline="0">
            <a:solidFill>
              <a:srgbClr val="FF0000"/>
            </a:solidFill>
            <a:latin typeface="Arial"/>
            <a:cs typeface="Arial"/>
          </a:endParaRPr>
        </a:p>
      </xdr:txBody>
    </xdr:sp>
    <xdr:clientData/>
  </xdr:twoCellAnchor>
  <xdr:twoCellAnchor>
    <xdr:from>
      <xdr:col>7</xdr:col>
      <xdr:colOff>575180</xdr:colOff>
      <xdr:row>64</xdr:row>
      <xdr:rowOff>23362</xdr:rowOff>
    </xdr:from>
    <xdr:to>
      <xdr:col>9</xdr:col>
      <xdr:colOff>495300</xdr:colOff>
      <xdr:row>65</xdr:row>
      <xdr:rowOff>96064</xdr:rowOff>
    </xdr:to>
    <xdr:sp macro="" textlink="'Variable Management'!A261">
      <xdr:nvSpPr>
        <xdr:cNvPr id="2072" name="Text Box 24">
          <a:extLst>
            <a:ext uri="{FF2B5EF4-FFF2-40B4-BE49-F238E27FC236}">
              <a16:creationId xmlns:a16="http://schemas.microsoft.com/office/drawing/2014/main" id="{00000000-0008-0000-0000-000018080000}"/>
            </a:ext>
          </a:extLst>
        </xdr:cNvPr>
        <xdr:cNvSpPr txBox="1">
          <a:spLocks noChangeArrowheads="1" noTextEdit="1"/>
        </xdr:cNvSpPr>
      </xdr:nvSpPr>
      <xdr:spPr bwMode="auto">
        <a:xfrm>
          <a:off x="4813805" y="12301087"/>
          <a:ext cx="1320295" cy="244152"/>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95DD25AA-EC3B-4C80-B80E-8DC148525216}" type="TxLink">
            <a:rPr lang="en-US" sz="1050" b="1" i="0" u="none" strike="noStrike" baseline="0">
              <a:solidFill>
                <a:srgbClr val="002060"/>
              </a:solidFill>
              <a:latin typeface="Arial"/>
              <a:cs typeface="Arial"/>
            </a:rPr>
            <a:pPr algn="l" rtl="0">
              <a:defRPr sz="1000"/>
            </a:pPr>
            <a:t>Phase Margin = 65°</a:t>
          </a:fld>
          <a:endParaRPr lang="en-US" sz="1050" b="1" i="0" u="none" strike="noStrike" baseline="0">
            <a:solidFill>
              <a:srgbClr val="002060"/>
            </a:solidFill>
            <a:latin typeface="Arial"/>
            <a:cs typeface="Arial"/>
          </a:endParaRPr>
        </a:p>
      </xdr:txBody>
    </xdr:sp>
    <xdr:clientData/>
  </xdr:twoCellAnchor>
  <xdr:twoCellAnchor>
    <xdr:from>
      <xdr:col>6</xdr:col>
      <xdr:colOff>180974</xdr:colOff>
      <xdr:row>79</xdr:row>
      <xdr:rowOff>104775</xdr:rowOff>
    </xdr:from>
    <xdr:to>
      <xdr:col>16</xdr:col>
      <xdr:colOff>2228849</xdr:colOff>
      <xdr:row>105</xdr:row>
      <xdr:rowOff>201757</xdr:rowOff>
    </xdr:to>
    <xdr:graphicFrame macro="">
      <xdr:nvGraphicFramePr>
        <xdr:cNvPr id="22339318" name="Chart 253">
          <a:extLst>
            <a:ext uri="{FF2B5EF4-FFF2-40B4-BE49-F238E27FC236}">
              <a16:creationId xmlns:a16="http://schemas.microsoft.com/office/drawing/2014/main" id="{00000000-0008-0000-0000-0000F6DE5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393927</xdr:colOff>
      <xdr:row>16</xdr:row>
      <xdr:rowOff>170372</xdr:rowOff>
    </xdr:from>
    <xdr:to>
      <xdr:col>7</xdr:col>
      <xdr:colOff>45948</xdr:colOff>
      <xdr:row>18</xdr:row>
      <xdr:rowOff>47869</xdr:rowOff>
    </xdr:to>
    <xdr:sp macro="" textlink="">
      <xdr:nvSpPr>
        <xdr:cNvPr id="2272" name="Text Box 224">
          <a:extLst>
            <a:ext uri="{FF2B5EF4-FFF2-40B4-BE49-F238E27FC236}">
              <a16:creationId xmlns:a16="http://schemas.microsoft.com/office/drawing/2014/main" id="{00000000-0008-0000-0000-0000E0080000}"/>
            </a:ext>
          </a:extLst>
        </xdr:cNvPr>
        <xdr:cNvSpPr txBox="1">
          <a:spLocks noChangeArrowheads="1"/>
        </xdr:cNvSpPr>
      </xdr:nvSpPr>
      <xdr:spPr bwMode="auto">
        <a:xfrm>
          <a:off x="3921461" y="3540251"/>
          <a:ext cx="262935" cy="21908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7</xdr:col>
      <xdr:colOff>556717</xdr:colOff>
      <xdr:row>14</xdr:row>
      <xdr:rowOff>121736</xdr:rowOff>
    </xdr:from>
    <xdr:to>
      <xdr:col>8</xdr:col>
      <xdr:colOff>109892</xdr:colOff>
      <xdr:row>15</xdr:row>
      <xdr:rowOff>75901</xdr:rowOff>
    </xdr:to>
    <xdr:sp macro="" textlink="">
      <xdr:nvSpPr>
        <xdr:cNvPr id="2273" name="Text Box 225">
          <a:extLst>
            <a:ext uri="{FF2B5EF4-FFF2-40B4-BE49-F238E27FC236}">
              <a16:creationId xmlns:a16="http://schemas.microsoft.com/office/drawing/2014/main" id="{00000000-0008-0000-0000-0000E1080000}"/>
            </a:ext>
          </a:extLst>
        </xdr:cNvPr>
        <xdr:cNvSpPr txBox="1">
          <a:spLocks noChangeArrowheads="1"/>
        </xdr:cNvSpPr>
      </xdr:nvSpPr>
      <xdr:spPr bwMode="auto">
        <a:xfrm>
          <a:off x="4695165" y="3071202"/>
          <a:ext cx="341451" cy="203785"/>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6</xdr:col>
      <xdr:colOff>435975</xdr:colOff>
      <xdr:row>14</xdr:row>
      <xdr:rowOff>78931</xdr:rowOff>
    </xdr:from>
    <xdr:to>
      <xdr:col>7</xdr:col>
      <xdr:colOff>93868</xdr:colOff>
      <xdr:row>15</xdr:row>
      <xdr:rowOff>73210</xdr:rowOff>
    </xdr:to>
    <xdr:sp macro="" textlink="">
      <xdr:nvSpPr>
        <xdr:cNvPr id="2275" name="Text Box 227">
          <a:extLst>
            <a:ext uri="{FF2B5EF4-FFF2-40B4-BE49-F238E27FC236}">
              <a16:creationId xmlns:a16="http://schemas.microsoft.com/office/drawing/2014/main" id="{00000000-0008-0000-0000-0000E3080000}"/>
            </a:ext>
          </a:extLst>
        </xdr:cNvPr>
        <xdr:cNvSpPr txBox="1">
          <a:spLocks noChangeArrowheads="1"/>
        </xdr:cNvSpPr>
      </xdr:nvSpPr>
      <xdr:spPr bwMode="auto">
        <a:xfrm>
          <a:off x="3963509" y="3028397"/>
          <a:ext cx="268807" cy="243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16</xdr:col>
      <xdr:colOff>1651627</xdr:colOff>
      <xdr:row>23</xdr:row>
      <xdr:rowOff>19180</xdr:rowOff>
    </xdr:from>
    <xdr:to>
      <xdr:col>16</xdr:col>
      <xdr:colOff>2070727</xdr:colOff>
      <xdr:row>24</xdr:row>
      <xdr:rowOff>48748</xdr:rowOff>
    </xdr:to>
    <xdr:sp macro="" textlink="">
      <xdr:nvSpPr>
        <xdr:cNvPr id="2276" name="Text Box 228">
          <a:extLst>
            <a:ext uri="{FF2B5EF4-FFF2-40B4-BE49-F238E27FC236}">
              <a16:creationId xmlns:a16="http://schemas.microsoft.com/office/drawing/2014/main" id="{00000000-0008-0000-0000-0000E4080000}"/>
            </a:ext>
          </a:extLst>
        </xdr:cNvPr>
        <xdr:cNvSpPr txBox="1">
          <a:spLocks noChangeArrowheads="1"/>
        </xdr:cNvSpPr>
      </xdr:nvSpPr>
      <xdr:spPr bwMode="auto">
        <a:xfrm>
          <a:off x="11964903" y="4722559"/>
          <a:ext cx="419100" cy="220068"/>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13</xdr:col>
      <xdr:colOff>221621</xdr:colOff>
      <xdr:row>32</xdr:row>
      <xdr:rowOff>45100</xdr:rowOff>
    </xdr:from>
    <xdr:to>
      <xdr:col>14</xdr:col>
      <xdr:colOff>86543</xdr:colOff>
      <xdr:row>33</xdr:row>
      <xdr:rowOff>137982</xdr:rowOff>
    </xdr:to>
    <xdr:sp macro="" textlink="">
      <xdr:nvSpPr>
        <xdr:cNvPr id="2279" name="Text Box 231">
          <a:extLst>
            <a:ext uri="{FF2B5EF4-FFF2-40B4-BE49-F238E27FC236}">
              <a16:creationId xmlns:a16="http://schemas.microsoft.com/office/drawing/2014/main" id="{00000000-0008-0000-0000-0000E7080000}"/>
            </a:ext>
          </a:extLst>
        </xdr:cNvPr>
        <xdr:cNvSpPr txBox="1">
          <a:spLocks noChangeArrowheads="1"/>
        </xdr:cNvSpPr>
      </xdr:nvSpPr>
      <xdr:spPr bwMode="auto">
        <a:xfrm>
          <a:off x="8633387" y="6456616"/>
          <a:ext cx="472140" cy="26552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16</xdr:col>
      <xdr:colOff>871373</xdr:colOff>
      <xdr:row>18</xdr:row>
      <xdr:rowOff>79929</xdr:rowOff>
    </xdr:from>
    <xdr:to>
      <xdr:col>16</xdr:col>
      <xdr:colOff>1213754</xdr:colOff>
      <xdr:row>19</xdr:row>
      <xdr:rowOff>165459</xdr:rowOff>
    </xdr:to>
    <xdr:sp macro="" textlink="">
      <xdr:nvSpPr>
        <xdr:cNvPr id="2283" name="Text Box 235">
          <a:extLst>
            <a:ext uri="{FF2B5EF4-FFF2-40B4-BE49-F238E27FC236}">
              <a16:creationId xmlns:a16="http://schemas.microsoft.com/office/drawing/2014/main" id="{00000000-0008-0000-0000-0000EB080000}"/>
            </a:ext>
          </a:extLst>
        </xdr:cNvPr>
        <xdr:cNvSpPr txBox="1">
          <a:spLocks noChangeArrowheads="1"/>
        </xdr:cNvSpPr>
      </xdr:nvSpPr>
      <xdr:spPr bwMode="auto">
        <a:xfrm>
          <a:off x="11282198" y="3842304"/>
          <a:ext cx="342381" cy="276030"/>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F</a:t>
          </a:r>
        </a:p>
      </xdr:txBody>
    </xdr:sp>
    <xdr:clientData/>
  </xdr:twoCellAnchor>
  <xdr:twoCellAnchor>
    <xdr:from>
      <xdr:col>16</xdr:col>
      <xdr:colOff>602037</xdr:colOff>
      <xdr:row>23</xdr:row>
      <xdr:rowOff>47833</xdr:rowOff>
    </xdr:from>
    <xdr:to>
      <xdr:col>16</xdr:col>
      <xdr:colOff>927803</xdr:colOff>
      <xdr:row>24</xdr:row>
      <xdr:rowOff>80635</xdr:rowOff>
    </xdr:to>
    <xdr:sp macro="" textlink="">
      <xdr:nvSpPr>
        <xdr:cNvPr id="2292" name="Text Box 244">
          <a:extLst>
            <a:ext uri="{FF2B5EF4-FFF2-40B4-BE49-F238E27FC236}">
              <a16:creationId xmlns:a16="http://schemas.microsoft.com/office/drawing/2014/main" id="{00000000-0008-0000-0000-0000F4080000}"/>
            </a:ext>
          </a:extLst>
        </xdr:cNvPr>
        <xdr:cNvSpPr txBox="1">
          <a:spLocks noChangeArrowheads="1"/>
        </xdr:cNvSpPr>
      </xdr:nvSpPr>
      <xdr:spPr bwMode="auto">
        <a:xfrm>
          <a:off x="10915313" y="4751212"/>
          <a:ext cx="325766" cy="22330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15</xdr:col>
      <xdr:colOff>155625</xdr:colOff>
      <xdr:row>28</xdr:row>
      <xdr:rowOff>234682</xdr:rowOff>
    </xdr:from>
    <xdr:to>
      <xdr:col>15</xdr:col>
      <xdr:colOff>527937</xdr:colOff>
      <xdr:row>30</xdr:row>
      <xdr:rowOff>43726</xdr:rowOff>
    </xdr:to>
    <xdr:sp macro="" textlink="">
      <xdr:nvSpPr>
        <xdr:cNvPr id="2297" name="Text Box 249">
          <a:extLst>
            <a:ext uri="{FF2B5EF4-FFF2-40B4-BE49-F238E27FC236}">
              <a16:creationId xmlns:a16="http://schemas.microsoft.com/office/drawing/2014/main" id="{00000000-0008-0000-0000-0000F9080000}"/>
            </a:ext>
          </a:extLst>
        </xdr:cNvPr>
        <xdr:cNvSpPr txBox="1">
          <a:spLocks noChangeArrowheads="1"/>
        </xdr:cNvSpPr>
      </xdr:nvSpPr>
      <xdr:spPr bwMode="auto">
        <a:xfrm>
          <a:off x="9877078" y="5890151"/>
          <a:ext cx="372312" cy="231716"/>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9</xdr:col>
      <xdr:colOff>225678</xdr:colOff>
      <xdr:row>16</xdr:row>
      <xdr:rowOff>116195</xdr:rowOff>
    </xdr:from>
    <xdr:to>
      <xdr:col>9</xdr:col>
      <xdr:colOff>550452</xdr:colOff>
      <xdr:row>18</xdr:row>
      <xdr:rowOff>41571</xdr:rowOff>
    </xdr:to>
    <xdr:sp macro="" textlink="">
      <xdr:nvSpPr>
        <xdr:cNvPr id="2299" name="Text Box 251">
          <a:extLst>
            <a:ext uri="{FF2B5EF4-FFF2-40B4-BE49-F238E27FC236}">
              <a16:creationId xmlns:a16="http://schemas.microsoft.com/office/drawing/2014/main" id="{00000000-0008-0000-0000-0000FB080000}"/>
            </a:ext>
          </a:extLst>
        </xdr:cNvPr>
        <xdr:cNvSpPr txBox="1">
          <a:spLocks noChangeArrowheads="1"/>
        </xdr:cNvSpPr>
      </xdr:nvSpPr>
      <xdr:spPr bwMode="auto">
        <a:xfrm>
          <a:off x="5763316" y="3486074"/>
          <a:ext cx="324774" cy="26696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8</xdr:col>
      <xdr:colOff>409575</xdr:colOff>
      <xdr:row>29</xdr:row>
      <xdr:rowOff>29720</xdr:rowOff>
    </xdr:from>
    <xdr:to>
      <xdr:col>9</xdr:col>
      <xdr:colOff>161925</xdr:colOff>
      <xdr:row>29</xdr:row>
      <xdr:rowOff>29720</xdr:rowOff>
    </xdr:to>
    <xdr:sp macro="" textlink="">
      <xdr:nvSpPr>
        <xdr:cNvPr id="2300" name="Text Box 252">
          <a:extLst>
            <a:ext uri="{FF2B5EF4-FFF2-40B4-BE49-F238E27FC236}">
              <a16:creationId xmlns:a16="http://schemas.microsoft.com/office/drawing/2014/main" id="{00000000-0008-0000-0000-0000FC080000}"/>
            </a:ext>
          </a:extLst>
        </xdr:cNvPr>
        <xdr:cNvSpPr txBox="1">
          <a:spLocks noChangeArrowheads="1"/>
        </xdr:cNvSpPr>
      </xdr:nvSpPr>
      <xdr:spPr bwMode="auto">
        <a:xfrm>
          <a:off x="5257800" y="5506595"/>
          <a:ext cx="361950"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7</xdr:col>
      <xdr:colOff>88663</xdr:colOff>
      <xdr:row>22</xdr:row>
      <xdr:rowOff>27538</xdr:rowOff>
    </xdr:from>
    <xdr:to>
      <xdr:col>7</xdr:col>
      <xdr:colOff>481859</xdr:colOff>
      <xdr:row>23</xdr:row>
      <xdr:rowOff>57937</xdr:rowOff>
    </xdr:to>
    <xdr:sp macro="" textlink="">
      <xdr:nvSpPr>
        <xdr:cNvPr id="2303" name="Text Box 255">
          <a:extLst>
            <a:ext uri="{FF2B5EF4-FFF2-40B4-BE49-F238E27FC236}">
              <a16:creationId xmlns:a16="http://schemas.microsoft.com/office/drawing/2014/main" id="{00000000-0008-0000-0000-0000FF080000}"/>
            </a:ext>
          </a:extLst>
        </xdr:cNvPr>
        <xdr:cNvSpPr txBox="1">
          <a:spLocks noChangeArrowheads="1"/>
        </xdr:cNvSpPr>
      </xdr:nvSpPr>
      <xdr:spPr bwMode="auto">
        <a:xfrm>
          <a:off x="4227111" y="4540417"/>
          <a:ext cx="393196" cy="220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7</xdr:col>
      <xdr:colOff>720772</xdr:colOff>
      <xdr:row>21</xdr:row>
      <xdr:rowOff>9732</xdr:rowOff>
    </xdr:from>
    <xdr:to>
      <xdr:col>8</xdr:col>
      <xdr:colOff>173588</xdr:colOff>
      <xdr:row>21</xdr:row>
      <xdr:rowOff>227638</xdr:rowOff>
    </xdr:to>
    <xdr:sp macro="" textlink="">
      <xdr:nvSpPr>
        <xdr:cNvPr id="2304" name="Text Box 256">
          <a:extLst>
            <a:ext uri="{FF2B5EF4-FFF2-40B4-BE49-F238E27FC236}">
              <a16:creationId xmlns:a16="http://schemas.microsoft.com/office/drawing/2014/main" id="{00000000-0008-0000-0000-000000090000}"/>
            </a:ext>
          </a:extLst>
        </xdr:cNvPr>
        <xdr:cNvSpPr txBox="1">
          <a:spLocks noChangeArrowheads="1"/>
        </xdr:cNvSpPr>
      </xdr:nvSpPr>
      <xdr:spPr bwMode="auto">
        <a:xfrm>
          <a:off x="4873672" y="4331361"/>
          <a:ext cx="242030" cy="217906"/>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279544</xdr:colOff>
      <xdr:row>16</xdr:row>
      <xdr:rowOff>141533</xdr:rowOff>
    </xdr:from>
    <xdr:to>
      <xdr:col>8</xdr:col>
      <xdr:colOff>594593</xdr:colOff>
      <xdr:row>18</xdr:row>
      <xdr:rowOff>30350</xdr:rowOff>
    </xdr:to>
    <xdr:sp macro="" textlink="">
      <xdr:nvSpPr>
        <xdr:cNvPr id="2305" name="Text Box 257">
          <a:extLst>
            <a:ext uri="{FF2B5EF4-FFF2-40B4-BE49-F238E27FC236}">
              <a16:creationId xmlns:a16="http://schemas.microsoft.com/office/drawing/2014/main" id="{00000000-0008-0000-0000-000001090000}"/>
            </a:ext>
          </a:extLst>
        </xdr:cNvPr>
        <xdr:cNvSpPr txBox="1">
          <a:spLocks noChangeArrowheads="1"/>
        </xdr:cNvSpPr>
      </xdr:nvSpPr>
      <xdr:spPr bwMode="auto">
        <a:xfrm>
          <a:off x="5221658" y="3559647"/>
          <a:ext cx="315049" cy="23716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7</xdr:col>
      <xdr:colOff>667710</xdr:colOff>
      <xdr:row>16</xdr:row>
      <xdr:rowOff>149096</xdr:rowOff>
    </xdr:from>
    <xdr:to>
      <xdr:col>8</xdr:col>
      <xdr:colOff>187351</xdr:colOff>
      <xdr:row>18</xdr:row>
      <xdr:rowOff>44049</xdr:rowOff>
    </xdr:to>
    <xdr:sp macro="" textlink="">
      <xdr:nvSpPr>
        <xdr:cNvPr id="9616412" name="Text Box 258">
          <a:extLst>
            <a:ext uri="{FF2B5EF4-FFF2-40B4-BE49-F238E27FC236}">
              <a16:creationId xmlns:a16="http://schemas.microsoft.com/office/drawing/2014/main" id="{00000000-0008-0000-0000-00001CBC9200}"/>
            </a:ext>
          </a:extLst>
        </xdr:cNvPr>
        <xdr:cNvSpPr txBox="1">
          <a:spLocks noChangeArrowheads="1"/>
        </xdr:cNvSpPr>
      </xdr:nvSpPr>
      <xdr:spPr bwMode="auto">
        <a:xfrm>
          <a:off x="4820610" y="3567210"/>
          <a:ext cx="308855" cy="24329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15</xdr:col>
      <xdr:colOff>145462</xdr:colOff>
      <xdr:row>30</xdr:row>
      <xdr:rowOff>46351</xdr:rowOff>
    </xdr:from>
    <xdr:to>
      <xdr:col>15</xdr:col>
      <xdr:colOff>559114</xdr:colOff>
      <xdr:row>31</xdr:row>
      <xdr:rowOff>133725</xdr:rowOff>
    </xdr:to>
    <xdr:sp macro="" textlink="">
      <xdr:nvSpPr>
        <xdr:cNvPr id="2308" name="Text Box 260">
          <a:extLst>
            <a:ext uri="{FF2B5EF4-FFF2-40B4-BE49-F238E27FC236}">
              <a16:creationId xmlns:a16="http://schemas.microsoft.com/office/drawing/2014/main" id="{00000000-0008-0000-0000-000004090000}"/>
            </a:ext>
          </a:extLst>
        </xdr:cNvPr>
        <xdr:cNvSpPr txBox="1">
          <a:spLocks noChangeArrowheads="1"/>
        </xdr:cNvSpPr>
      </xdr:nvSpPr>
      <xdr:spPr bwMode="auto">
        <a:xfrm>
          <a:off x="9866915" y="6124492"/>
          <a:ext cx="413652" cy="260014"/>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8</xdr:col>
      <xdr:colOff>125891</xdr:colOff>
      <xdr:row>17</xdr:row>
      <xdr:rowOff>141880</xdr:rowOff>
    </xdr:from>
    <xdr:to>
      <xdr:col>9</xdr:col>
      <xdr:colOff>16880</xdr:colOff>
      <xdr:row>19</xdr:row>
      <xdr:rowOff>14801</xdr:rowOff>
    </xdr:to>
    <xdr:sp macro="" textlink="'Variable Management'!B254">
      <xdr:nvSpPr>
        <xdr:cNvPr id="2309" name="Text Box 261">
          <a:extLst>
            <a:ext uri="{FF2B5EF4-FFF2-40B4-BE49-F238E27FC236}">
              <a16:creationId xmlns:a16="http://schemas.microsoft.com/office/drawing/2014/main" id="{00000000-0008-0000-0000-000005090000}"/>
            </a:ext>
          </a:extLst>
        </xdr:cNvPr>
        <xdr:cNvSpPr txBox="1">
          <a:spLocks noChangeArrowheads="1" noTextEdit="1"/>
        </xdr:cNvSpPr>
      </xdr:nvSpPr>
      <xdr:spPr bwMode="auto">
        <a:xfrm>
          <a:off x="5068005" y="3734166"/>
          <a:ext cx="500589" cy="237592"/>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8.2nF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366559</xdr:colOff>
      <xdr:row>21</xdr:row>
      <xdr:rowOff>10304</xdr:rowOff>
    </xdr:from>
    <xdr:to>
      <xdr:col>9</xdr:col>
      <xdr:colOff>211505</xdr:colOff>
      <xdr:row>21</xdr:row>
      <xdr:rowOff>230165</xdr:rowOff>
    </xdr:to>
    <xdr:sp macro="" textlink="'Variable Management'!B255">
      <xdr:nvSpPr>
        <xdr:cNvPr id="2310" name="Text Box 262">
          <a:extLst>
            <a:ext uri="{FF2B5EF4-FFF2-40B4-BE49-F238E27FC236}">
              <a16:creationId xmlns:a16="http://schemas.microsoft.com/office/drawing/2014/main" id="{00000000-0008-0000-0000-000006090000}"/>
            </a:ext>
          </a:extLst>
        </xdr:cNvPr>
        <xdr:cNvSpPr txBox="1">
          <a:spLocks noChangeArrowheads="1" noTextEdit="1"/>
        </xdr:cNvSpPr>
      </xdr:nvSpPr>
      <xdr:spPr bwMode="auto">
        <a:xfrm>
          <a:off x="5395759" y="4325129"/>
          <a:ext cx="454546" cy="219861"/>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150pF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526804</xdr:colOff>
      <xdr:row>18</xdr:row>
      <xdr:rowOff>15228</xdr:rowOff>
    </xdr:from>
    <xdr:to>
      <xdr:col>8</xdr:col>
      <xdr:colOff>247141</xdr:colOff>
      <xdr:row>19</xdr:row>
      <xdr:rowOff>49638</xdr:rowOff>
    </xdr:to>
    <xdr:sp macro="" textlink="'Variable Management'!B253">
      <xdr:nvSpPr>
        <xdr:cNvPr id="2311" name="Text Box 263">
          <a:extLst>
            <a:ext uri="{FF2B5EF4-FFF2-40B4-BE49-F238E27FC236}">
              <a16:creationId xmlns:a16="http://schemas.microsoft.com/office/drawing/2014/main" id="{00000000-0008-0000-0000-000007090000}"/>
            </a:ext>
          </a:extLst>
        </xdr:cNvPr>
        <xdr:cNvSpPr txBox="1">
          <a:spLocks noChangeArrowheads="1" noTextEdit="1"/>
        </xdr:cNvSpPr>
      </xdr:nvSpPr>
      <xdr:spPr bwMode="auto">
        <a:xfrm>
          <a:off x="4679704" y="3781685"/>
          <a:ext cx="509551" cy="224910"/>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8.25kΩ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399597</xdr:colOff>
      <xdr:row>23</xdr:row>
      <xdr:rowOff>72760</xdr:rowOff>
    </xdr:from>
    <xdr:to>
      <xdr:col>7</xdr:col>
      <xdr:colOff>388347</xdr:colOff>
      <xdr:row>24</xdr:row>
      <xdr:rowOff>116340</xdr:rowOff>
    </xdr:to>
    <xdr:sp macro="" textlink="'Variable Management'!B259">
      <xdr:nvSpPr>
        <xdr:cNvPr id="2312" name="Text Box 264">
          <a:extLst>
            <a:ext uri="{FF2B5EF4-FFF2-40B4-BE49-F238E27FC236}">
              <a16:creationId xmlns:a16="http://schemas.microsoft.com/office/drawing/2014/main" id="{00000000-0008-0000-0000-000008090000}"/>
            </a:ext>
          </a:extLst>
        </xdr:cNvPr>
        <xdr:cNvSpPr txBox="1">
          <a:spLocks noChangeArrowheads="1" noTextEdit="1"/>
        </xdr:cNvSpPr>
      </xdr:nvSpPr>
      <xdr:spPr bwMode="auto">
        <a:xfrm>
          <a:off x="3927131" y="4776139"/>
          <a:ext cx="599664" cy="234080"/>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3.83kΩ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288034</xdr:colOff>
      <xdr:row>15</xdr:row>
      <xdr:rowOff>42522</xdr:rowOff>
    </xdr:from>
    <xdr:to>
      <xdr:col>7</xdr:col>
      <xdr:colOff>79277</xdr:colOff>
      <xdr:row>16</xdr:row>
      <xdr:rowOff>131702</xdr:rowOff>
    </xdr:to>
    <xdr:sp macro="" textlink="'Variable Management'!B256">
      <xdr:nvSpPr>
        <xdr:cNvPr id="2313" name="Text Box 265">
          <a:extLst>
            <a:ext uri="{FF2B5EF4-FFF2-40B4-BE49-F238E27FC236}">
              <a16:creationId xmlns:a16="http://schemas.microsoft.com/office/drawing/2014/main" id="{00000000-0008-0000-0000-000009090000}"/>
            </a:ext>
          </a:extLst>
        </xdr:cNvPr>
        <xdr:cNvSpPr txBox="1">
          <a:spLocks noChangeArrowheads="1" noTextEdit="1"/>
        </xdr:cNvSpPr>
      </xdr:nvSpPr>
      <xdr:spPr bwMode="auto">
        <a:xfrm>
          <a:off x="3815568" y="3241608"/>
          <a:ext cx="402157" cy="259973"/>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412Ω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247947</xdr:colOff>
      <xdr:row>18</xdr:row>
      <xdr:rowOff>25968</xdr:rowOff>
    </xdr:from>
    <xdr:to>
      <xdr:col>7</xdr:col>
      <xdr:colOff>123604</xdr:colOff>
      <xdr:row>19</xdr:row>
      <xdr:rowOff>19941</xdr:rowOff>
    </xdr:to>
    <xdr:sp macro="" textlink="'Variable Management'!B257">
      <xdr:nvSpPr>
        <xdr:cNvPr id="2314" name="Text Box 266">
          <a:extLst>
            <a:ext uri="{FF2B5EF4-FFF2-40B4-BE49-F238E27FC236}">
              <a16:creationId xmlns:a16="http://schemas.microsoft.com/office/drawing/2014/main" id="{00000000-0008-0000-0000-00000A090000}"/>
            </a:ext>
          </a:extLst>
        </xdr:cNvPr>
        <xdr:cNvSpPr txBox="1">
          <a:spLocks noChangeArrowheads="1" noTextEdit="1"/>
        </xdr:cNvSpPr>
      </xdr:nvSpPr>
      <xdr:spPr bwMode="auto">
        <a:xfrm>
          <a:off x="3775481" y="3737434"/>
          <a:ext cx="486571" cy="184473"/>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1500pF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1627263</xdr:colOff>
      <xdr:row>24</xdr:row>
      <xdr:rowOff>61886</xdr:rowOff>
    </xdr:from>
    <xdr:to>
      <xdr:col>16</xdr:col>
      <xdr:colOff>2314575</xdr:colOff>
      <xdr:row>25</xdr:row>
      <xdr:rowOff>114299</xdr:rowOff>
    </xdr:to>
    <xdr:sp macro="" textlink="'Variable Management'!E243">
      <xdr:nvSpPr>
        <xdr:cNvPr id="2315" name="Text Box 267">
          <a:extLst>
            <a:ext uri="{FF2B5EF4-FFF2-40B4-BE49-F238E27FC236}">
              <a16:creationId xmlns:a16="http://schemas.microsoft.com/office/drawing/2014/main" id="{00000000-0008-0000-0000-00000B090000}"/>
            </a:ext>
          </a:extLst>
        </xdr:cNvPr>
        <xdr:cNvSpPr txBox="1">
          <a:spLocks noChangeArrowheads="1" noTextEdit="1"/>
        </xdr:cNvSpPr>
      </xdr:nvSpPr>
      <xdr:spPr bwMode="auto">
        <a:xfrm>
          <a:off x="11942838" y="4967261"/>
          <a:ext cx="687312" cy="242913"/>
        </a:xfrm>
        <a:prstGeom prst="rect">
          <a:avLst/>
        </a:prstGeom>
        <a:noFill/>
        <a:ln w="9525">
          <a:noFill/>
          <a:miter lim="800000"/>
          <a:headEnd/>
          <a:tailEnd/>
        </a:ln>
      </xdr:spPr>
      <xdr:txBody>
        <a:bodyPr vertOverflow="clip" wrap="square" lIns="27432" tIns="22860" rIns="0" bIns="0" anchor="ctr" upright="1"/>
        <a:lstStyle/>
        <a:p>
          <a:pPr algn="l" rtl="0">
            <a:defRPr sz="1000"/>
          </a:pPr>
          <a:fld id="{B1C96643-9062-44BD-9D18-137667D0E8FF}" type="TxLink">
            <a:rPr lang="en-US" sz="1000" b="0" i="0" u="none" strike="noStrike" baseline="0">
              <a:solidFill>
                <a:srgbClr val="000000"/>
              </a:solidFill>
              <a:latin typeface="Arial"/>
              <a:cs typeface="Arial"/>
            </a:rPr>
            <a:pPr algn="l" rtl="0">
              <a:defRPr sz="1000"/>
            </a:pPr>
            <a:t>8 x 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577438</xdr:colOff>
      <xdr:row>15</xdr:row>
      <xdr:rowOff>29427</xdr:rowOff>
    </xdr:from>
    <xdr:to>
      <xdr:col>8</xdr:col>
      <xdr:colOff>311657</xdr:colOff>
      <xdr:row>16</xdr:row>
      <xdr:rowOff>155643</xdr:rowOff>
    </xdr:to>
    <xdr:sp macro="" textlink="'Variable Management'!B258">
      <xdr:nvSpPr>
        <xdr:cNvPr id="2316" name="Text Box 268">
          <a:extLst>
            <a:ext uri="{FF2B5EF4-FFF2-40B4-BE49-F238E27FC236}">
              <a16:creationId xmlns:a16="http://schemas.microsoft.com/office/drawing/2014/main" id="{00000000-0008-0000-0000-00000C090000}"/>
            </a:ext>
          </a:extLst>
        </xdr:cNvPr>
        <xdr:cNvSpPr txBox="1">
          <a:spLocks noChangeArrowheads="1" noTextEdit="1"/>
        </xdr:cNvSpPr>
      </xdr:nvSpPr>
      <xdr:spPr bwMode="auto">
        <a:xfrm>
          <a:off x="4715886" y="3228513"/>
          <a:ext cx="522495" cy="297009"/>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20kΩ</a:t>
          </a:fld>
          <a:endParaRPr lang="el-GR" sz="1000" b="0" i="0" strike="noStrike">
            <a:solidFill>
              <a:srgbClr val="000000"/>
            </a:solidFill>
            <a:latin typeface="Arial" pitchFamily="34" charset="0"/>
            <a:cs typeface="Arial" pitchFamily="34" charset="0"/>
          </a:endParaRPr>
        </a:p>
      </xdr:txBody>
    </xdr:sp>
    <xdr:clientData/>
  </xdr:twoCellAnchor>
  <xdr:twoCellAnchor>
    <xdr:from>
      <xdr:col>13</xdr:col>
      <xdr:colOff>214228</xdr:colOff>
      <xdr:row>33</xdr:row>
      <xdr:rowOff>83622</xdr:rowOff>
    </xdr:from>
    <xdr:to>
      <xdr:col>14</xdr:col>
      <xdr:colOff>175297</xdr:colOff>
      <xdr:row>34</xdr:row>
      <xdr:rowOff>129793</xdr:rowOff>
    </xdr:to>
    <xdr:sp macro="" textlink="'Variable Management'!B268">
      <xdr:nvSpPr>
        <xdr:cNvPr id="2318" name="Text Box 270">
          <a:extLst>
            <a:ext uri="{FF2B5EF4-FFF2-40B4-BE49-F238E27FC236}">
              <a16:creationId xmlns:a16="http://schemas.microsoft.com/office/drawing/2014/main" id="{00000000-0008-0000-0000-00000E090000}"/>
            </a:ext>
          </a:extLst>
        </xdr:cNvPr>
        <xdr:cNvSpPr txBox="1">
          <a:spLocks noChangeArrowheads="1" noTextEdit="1"/>
        </xdr:cNvSpPr>
      </xdr:nvSpPr>
      <xdr:spPr bwMode="auto">
        <a:xfrm>
          <a:off x="8625994" y="6667778"/>
          <a:ext cx="568287" cy="218812"/>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324Ω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729980</xdr:colOff>
      <xdr:row>21</xdr:row>
      <xdr:rowOff>3086</xdr:rowOff>
    </xdr:from>
    <xdr:to>
      <xdr:col>16</xdr:col>
      <xdr:colOff>1181450</xdr:colOff>
      <xdr:row>22</xdr:row>
      <xdr:rowOff>25469</xdr:rowOff>
    </xdr:to>
    <xdr:sp macro="" textlink="'Variable Management'!B238">
      <xdr:nvSpPr>
        <xdr:cNvPr id="2323" name="Text Box 275">
          <a:extLst>
            <a:ext uri="{FF2B5EF4-FFF2-40B4-BE49-F238E27FC236}">
              <a16:creationId xmlns:a16="http://schemas.microsoft.com/office/drawing/2014/main" id="{00000000-0008-0000-0000-000013090000}"/>
            </a:ext>
          </a:extLst>
        </xdr:cNvPr>
        <xdr:cNvSpPr txBox="1">
          <a:spLocks noChangeArrowheads="1" noTextEdit="1"/>
        </xdr:cNvSpPr>
      </xdr:nvSpPr>
      <xdr:spPr bwMode="auto">
        <a:xfrm>
          <a:off x="11140805" y="4317911"/>
          <a:ext cx="451470" cy="270033"/>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3.3µH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602914</xdr:colOff>
      <xdr:row>24</xdr:row>
      <xdr:rowOff>42066</xdr:rowOff>
    </xdr:from>
    <xdr:to>
      <xdr:col>16</xdr:col>
      <xdr:colOff>1238250</xdr:colOff>
      <xdr:row>25</xdr:row>
      <xdr:rowOff>85725</xdr:rowOff>
    </xdr:to>
    <xdr:sp macro="" textlink="'Variable Management'!E250">
      <xdr:nvSpPr>
        <xdr:cNvPr id="2324" name="Text Box 276">
          <a:extLst>
            <a:ext uri="{FF2B5EF4-FFF2-40B4-BE49-F238E27FC236}">
              <a16:creationId xmlns:a16="http://schemas.microsoft.com/office/drawing/2014/main" id="{00000000-0008-0000-0000-000014090000}"/>
            </a:ext>
          </a:extLst>
        </xdr:cNvPr>
        <xdr:cNvSpPr txBox="1">
          <a:spLocks noChangeArrowheads="1" noTextEdit="1"/>
        </xdr:cNvSpPr>
      </xdr:nvSpPr>
      <xdr:spPr bwMode="auto">
        <a:xfrm>
          <a:off x="10918489" y="4947441"/>
          <a:ext cx="635336" cy="234159"/>
        </a:xfrm>
        <a:prstGeom prst="rect">
          <a:avLst/>
        </a:prstGeom>
        <a:noFill/>
        <a:ln w="9525">
          <a:noFill/>
          <a:miter lim="800000"/>
          <a:headEnd/>
          <a:tailEnd/>
        </a:ln>
      </xdr:spPr>
      <xdr:txBody>
        <a:bodyPr vertOverflow="clip" wrap="square" lIns="27432" tIns="22860" rIns="0" bIns="0" anchor="ctr" upright="1"/>
        <a:lstStyle/>
        <a:p>
          <a:pPr algn="l" rtl="0">
            <a:defRPr sz="1000"/>
          </a:pPr>
          <a:fld id="{1B4FF237-4FCE-4391-A30E-D8A66113D8BC}" type="TxLink">
            <a:rPr lang="en-US" sz="1000" b="0" i="0" u="none" strike="noStrike" baseline="0">
              <a:solidFill>
                <a:srgbClr val="000000"/>
              </a:solidFill>
              <a:latin typeface="Arial"/>
              <a:cs typeface="Arial"/>
            </a:rPr>
            <a:pPr algn="l" rtl="0">
              <a:defRPr sz="1000"/>
            </a:pPr>
            <a:t>6 x 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14</xdr:col>
      <xdr:colOff>500452</xdr:colOff>
      <xdr:row>14</xdr:row>
      <xdr:rowOff>12438</xdr:rowOff>
    </xdr:from>
    <xdr:to>
      <xdr:col>15</xdr:col>
      <xdr:colOff>259017</xdr:colOff>
      <xdr:row>14</xdr:row>
      <xdr:rowOff>247449</xdr:rowOff>
    </xdr:to>
    <xdr:sp macro="" textlink="">
      <xdr:nvSpPr>
        <xdr:cNvPr id="2327" name="Text Box 279">
          <a:extLst>
            <a:ext uri="{FF2B5EF4-FFF2-40B4-BE49-F238E27FC236}">
              <a16:creationId xmlns:a16="http://schemas.microsoft.com/office/drawing/2014/main" id="{00000000-0008-0000-0000-000017090000}"/>
            </a:ext>
          </a:extLst>
        </xdr:cNvPr>
        <xdr:cNvSpPr txBox="1">
          <a:spLocks noChangeArrowheads="1"/>
        </xdr:cNvSpPr>
      </xdr:nvSpPr>
      <xdr:spPr bwMode="auto">
        <a:xfrm>
          <a:off x="9526211" y="2961904"/>
          <a:ext cx="369478" cy="235011"/>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9</xdr:col>
      <xdr:colOff>201234</xdr:colOff>
      <xdr:row>18</xdr:row>
      <xdr:rowOff>27383</xdr:rowOff>
    </xdr:from>
    <xdr:to>
      <xdr:col>9</xdr:col>
      <xdr:colOff>554858</xdr:colOff>
      <xdr:row>19</xdr:row>
      <xdr:rowOff>71705</xdr:rowOff>
    </xdr:to>
    <xdr:sp macro="" textlink="'Variable Management'!B276">
      <xdr:nvSpPr>
        <xdr:cNvPr id="2329" name="Text Box 281">
          <a:extLst>
            <a:ext uri="{FF2B5EF4-FFF2-40B4-BE49-F238E27FC236}">
              <a16:creationId xmlns:a16="http://schemas.microsoft.com/office/drawing/2014/main" id="{00000000-0008-0000-0000-000019090000}"/>
            </a:ext>
          </a:extLst>
        </xdr:cNvPr>
        <xdr:cNvSpPr txBox="1">
          <a:spLocks noChangeArrowheads="1" noTextEdit="1"/>
        </xdr:cNvSpPr>
      </xdr:nvSpPr>
      <xdr:spPr bwMode="auto">
        <a:xfrm>
          <a:off x="5738872" y="3738849"/>
          <a:ext cx="353624" cy="234822"/>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56nF</a:t>
          </a:fld>
          <a:endParaRPr lang="en-US" sz="1000" b="0" i="0" strike="noStrike">
            <a:solidFill>
              <a:srgbClr val="000000"/>
            </a:solidFill>
            <a:latin typeface="Arial" pitchFamily="34" charset="0"/>
            <a:cs typeface="Arial" pitchFamily="34" charset="0"/>
          </a:endParaRPr>
        </a:p>
      </xdr:txBody>
    </xdr:sp>
    <xdr:clientData/>
  </xdr:twoCellAnchor>
  <xdr:twoCellAnchor>
    <xdr:from>
      <xdr:col>16</xdr:col>
      <xdr:colOff>577372</xdr:colOff>
      <xdr:row>12</xdr:row>
      <xdr:rowOff>165360</xdr:rowOff>
    </xdr:from>
    <xdr:to>
      <xdr:col>16</xdr:col>
      <xdr:colOff>945712</xdr:colOff>
      <xdr:row>14</xdr:row>
      <xdr:rowOff>41476</xdr:rowOff>
    </xdr:to>
    <xdr:sp macro="" textlink="'Variable Management'!B280">
      <xdr:nvSpPr>
        <xdr:cNvPr id="2331" name="Text Box 283">
          <a:extLst>
            <a:ext uri="{FF2B5EF4-FFF2-40B4-BE49-F238E27FC236}">
              <a16:creationId xmlns:a16="http://schemas.microsoft.com/office/drawing/2014/main" id="{00000000-0008-0000-0000-00001B090000}"/>
            </a:ext>
          </a:extLst>
        </xdr:cNvPr>
        <xdr:cNvSpPr txBox="1">
          <a:spLocks noChangeArrowheads="1" noTextEdit="1"/>
        </xdr:cNvSpPr>
      </xdr:nvSpPr>
      <xdr:spPr bwMode="auto">
        <a:xfrm>
          <a:off x="10890648" y="2746963"/>
          <a:ext cx="368340" cy="243979"/>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12V</a:t>
          </a:fld>
          <a:endParaRPr lang="en-US" sz="1200" b="1" i="0" strike="noStrike">
            <a:solidFill>
              <a:srgbClr val="FF0000"/>
            </a:solidFill>
            <a:latin typeface="Arial" pitchFamily="34" charset="0"/>
            <a:cs typeface="Arial" pitchFamily="34" charset="0"/>
          </a:endParaRPr>
        </a:p>
      </xdr:txBody>
    </xdr:sp>
    <xdr:clientData/>
  </xdr:twoCellAnchor>
  <xdr:twoCellAnchor>
    <xdr:from>
      <xdr:col>16</xdr:col>
      <xdr:colOff>1890482</xdr:colOff>
      <xdr:row>21</xdr:row>
      <xdr:rowOff>133618</xdr:rowOff>
    </xdr:from>
    <xdr:to>
      <xdr:col>17</xdr:col>
      <xdr:colOff>43731</xdr:colOff>
      <xdr:row>22</xdr:row>
      <xdr:rowOff>114410</xdr:rowOff>
    </xdr:to>
    <xdr:sp macro="" textlink="'Variable Management'!B241">
      <xdr:nvSpPr>
        <xdr:cNvPr id="2333" name="Text Box 285">
          <a:extLst>
            <a:ext uri="{FF2B5EF4-FFF2-40B4-BE49-F238E27FC236}">
              <a16:creationId xmlns:a16="http://schemas.microsoft.com/office/drawing/2014/main" id="{00000000-0008-0000-0000-00001D090000}"/>
            </a:ext>
          </a:extLst>
        </xdr:cNvPr>
        <xdr:cNvSpPr txBox="1">
          <a:spLocks noChangeArrowheads="1" noTextEdit="1"/>
        </xdr:cNvSpPr>
      </xdr:nvSpPr>
      <xdr:spPr bwMode="auto">
        <a:xfrm>
          <a:off x="12203758" y="4396877"/>
          <a:ext cx="478663" cy="230412"/>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5V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16</xdr:col>
      <xdr:colOff>1890482</xdr:colOff>
      <xdr:row>22</xdr:row>
      <xdr:rowOff>89494</xdr:rowOff>
    </xdr:from>
    <xdr:to>
      <xdr:col>17</xdr:col>
      <xdr:colOff>55395</xdr:colOff>
      <xdr:row>23</xdr:row>
      <xdr:rowOff>139234</xdr:rowOff>
    </xdr:to>
    <xdr:sp macro="" textlink="'Variable Management'!B279">
      <xdr:nvSpPr>
        <xdr:cNvPr id="2334" name="Text Box 286">
          <a:extLst>
            <a:ext uri="{FF2B5EF4-FFF2-40B4-BE49-F238E27FC236}">
              <a16:creationId xmlns:a16="http://schemas.microsoft.com/office/drawing/2014/main" id="{00000000-0008-0000-0000-00001E090000}"/>
            </a:ext>
          </a:extLst>
        </xdr:cNvPr>
        <xdr:cNvSpPr txBox="1">
          <a:spLocks noChangeArrowheads="1" noTextEdit="1"/>
        </xdr:cNvSpPr>
      </xdr:nvSpPr>
      <xdr:spPr bwMode="auto">
        <a:xfrm>
          <a:off x="12203758" y="4602373"/>
          <a:ext cx="490327" cy="240240"/>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12A</a:t>
          </a:fld>
          <a:endParaRPr lang="en-US" sz="1200" b="1" i="0" strike="noStrike">
            <a:solidFill>
              <a:srgbClr val="FF0000"/>
            </a:solidFill>
            <a:latin typeface="Arial" pitchFamily="34" charset="0"/>
            <a:cs typeface="Arial" pitchFamily="34" charset="0"/>
          </a:endParaRPr>
        </a:p>
      </xdr:txBody>
    </xdr:sp>
    <xdr:clientData/>
  </xdr:twoCellAnchor>
  <xdr:twoCellAnchor>
    <xdr:from>
      <xdr:col>10</xdr:col>
      <xdr:colOff>0</xdr:colOff>
      <xdr:row>29</xdr:row>
      <xdr:rowOff>29720</xdr:rowOff>
    </xdr:from>
    <xdr:to>
      <xdr:col>10</xdr:col>
      <xdr:colOff>219075</xdr:colOff>
      <xdr:row>29</xdr:row>
      <xdr:rowOff>29720</xdr:rowOff>
    </xdr:to>
    <xdr:sp macro="" textlink="'Variable Management'!B292">
      <xdr:nvSpPr>
        <xdr:cNvPr id="2347" name="Text Box 299">
          <a:extLst>
            <a:ext uri="{FF2B5EF4-FFF2-40B4-BE49-F238E27FC236}">
              <a16:creationId xmlns:a16="http://schemas.microsoft.com/office/drawing/2014/main" id="{00000000-0008-0000-0000-00002B090000}"/>
            </a:ext>
          </a:extLst>
        </xdr:cNvPr>
        <xdr:cNvSpPr txBox="1">
          <a:spLocks noChangeArrowheads="1" noTextEdit="1"/>
        </xdr:cNvSpPr>
      </xdr:nvSpPr>
      <xdr:spPr bwMode="auto">
        <a:xfrm>
          <a:off x="6286500" y="5506595"/>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9</xdr:col>
      <xdr:colOff>407866</xdr:colOff>
      <xdr:row>13</xdr:row>
      <xdr:rowOff>120224</xdr:rowOff>
    </xdr:from>
    <xdr:to>
      <xdr:col>9</xdr:col>
      <xdr:colOff>789193</xdr:colOff>
      <xdr:row>14</xdr:row>
      <xdr:rowOff>201462</xdr:rowOff>
    </xdr:to>
    <xdr:sp macro="" textlink="">
      <xdr:nvSpPr>
        <xdr:cNvPr id="90" name="Text Box 251">
          <a:extLst>
            <a:ext uri="{FF2B5EF4-FFF2-40B4-BE49-F238E27FC236}">
              <a16:creationId xmlns:a16="http://schemas.microsoft.com/office/drawing/2014/main" id="{00000000-0008-0000-0000-00005A000000}"/>
            </a:ext>
          </a:extLst>
        </xdr:cNvPr>
        <xdr:cNvSpPr txBox="1">
          <a:spLocks noChangeArrowheads="1"/>
        </xdr:cNvSpPr>
      </xdr:nvSpPr>
      <xdr:spPr bwMode="auto">
        <a:xfrm>
          <a:off x="5945504" y="2898896"/>
          <a:ext cx="381327" cy="25203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9</xdr:col>
      <xdr:colOff>273147</xdr:colOff>
      <xdr:row>14</xdr:row>
      <xdr:rowOff>165329</xdr:rowOff>
    </xdr:from>
    <xdr:to>
      <xdr:col>9</xdr:col>
      <xdr:colOff>803820</xdr:colOff>
      <xdr:row>15</xdr:row>
      <xdr:rowOff>152554</xdr:rowOff>
    </xdr:to>
    <xdr:sp macro="" textlink="'Variable Management'!B275">
      <xdr:nvSpPr>
        <xdr:cNvPr id="91" name="Text Box 281">
          <a:extLst>
            <a:ext uri="{FF2B5EF4-FFF2-40B4-BE49-F238E27FC236}">
              <a16:creationId xmlns:a16="http://schemas.microsoft.com/office/drawing/2014/main" id="{00000000-0008-0000-0000-00005B000000}"/>
            </a:ext>
          </a:extLst>
        </xdr:cNvPr>
        <xdr:cNvSpPr txBox="1">
          <a:spLocks noChangeArrowheads="1" noTextEdit="1"/>
        </xdr:cNvSpPr>
      </xdr:nvSpPr>
      <xdr:spPr bwMode="auto">
        <a:xfrm>
          <a:off x="5816697" y="3127604"/>
          <a:ext cx="530673" cy="234875"/>
        </a:xfrm>
        <a:prstGeom prst="rect">
          <a:avLst/>
        </a:prstGeom>
        <a:noFill/>
        <a:ln w="9525">
          <a:noFill/>
          <a:miter lim="800000"/>
          <a:headEnd/>
          <a:tailEnd/>
        </a:ln>
      </xdr:spPr>
      <xdr:txBody>
        <a:bodyPr vertOverflow="clip" wrap="square" lIns="27432" tIns="22860" rIns="0" bIns="0" anchor="t" upright="1"/>
        <a:lstStyle/>
        <a:p>
          <a:pPr algn="ctr" rtl="0">
            <a:defRPr sz="1000"/>
          </a:pPr>
          <a:fld id="{84EB9262-B954-486D-9975-AAB24967BDAC}" type="TxLink">
            <a:rPr lang="en-US" sz="1000" b="0" i="0" u="none" strike="noStrike">
              <a:solidFill>
                <a:srgbClr val="000000"/>
              </a:solidFill>
              <a:latin typeface="Arial" pitchFamily="34" charset="0"/>
              <a:cs typeface="Arial" pitchFamily="34" charset="0"/>
            </a:rPr>
            <a:pPr algn="ctr" rtl="0">
              <a:defRPr sz="1000"/>
            </a:pPr>
            <a:t>40.2kΩ</a:t>
          </a:fld>
          <a:endParaRPr lang="en-US" sz="1000" b="0" i="0" strike="noStrike">
            <a:solidFill>
              <a:srgbClr val="000000"/>
            </a:solidFill>
            <a:latin typeface="Arial" pitchFamily="34" charset="0"/>
            <a:cs typeface="Arial" pitchFamily="34" charset="0"/>
          </a:endParaRPr>
        </a:p>
      </xdr:txBody>
    </xdr:sp>
    <xdr:clientData/>
  </xdr:twoCellAnchor>
  <xdr:twoCellAnchor>
    <xdr:from>
      <xdr:col>14</xdr:col>
      <xdr:colOff>475253</xdr:colOff>
      <xdr:row>13</xdr:row>
      <xdr:rowOff>2286</xdr:rowOff>
    </xdr:from>
    <xdr:to>
      <xdr:col>15</xdr:col>
      <xdr:colOff>254356</xdr:colOff>
      <xdr:row>14</xdr:row>
      <xdr:rowOff>51914</xdr:rowOff>
    </xdr:to>
    <xdr:sp macro="" textlink="">
      <xdr:nvSpPr>
        <xdr:cNvPr id="2295" name="Text Box 247">
          <a:extLst>
            <a:ext uri="{FF2B5EF4-FFF2-40B4-BE49-F238E27FC236}">
              <a16:creationId xmlns:a16="http://schemas.microsoft.com/office/drawing/2014/main" id="{00000000-0008-0000-0000-0000F7080000}"/>
            </a:ext>
          </a:extLst>
        </xdr:cNvPr>
        <xdr:cNvSpPr txBox="1">
          <a:spLocks noChangeArrowheads="1"/>
        </xdr:cNvSpPr>
      </xdr:nvSpPr>
      <xdr:spPr bwMode="auto">
        <a:xfrm>
          <a:off x="9501012" y="2780958"/>
          <a:ext cx="390016" cy="220422"/>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16</xdr:col>
      <xdr:colOff>38393</xdr:colOff>
      <xdr:row>21</xdr:row>
      <xdr:rowOff>74537</xdr:rowOff>
    </xdr:from>
    <xdr:to>
      <xdr:col>16</xdr:col>
      <xdr:colOff>363557</xdr:colOff>
      <xdr:row>22</xdr:row>
      <xdr:rowOff>114604</xdr:rowOff>
    </xdr:to>
    <xdr:sp macro="" textlink="">
      <xdr:nvSpPr>
        <xdr:cNvPr id="97" name="Text Box 244">
          <a:extLst>
            <a:ext uri="{FF2B5EF4-FFF2-40B4-BE49-F238E27FC236}">
              <a16:creationId xmlns:a16="http://schemas.microsoft.com/office/drawing/2014/main" id="{00000000-0008-0000-0000-000061000000}"/>
            </a:ext>
          </a:extLst>
        </xdr:cNvPr>
        <xdr:cNvSpPr txBox="1">
          <a:spLocks noChangeArrowheads="1"/>
        </xdr:cNvSpPr>
      </xdr:nvSpPr>
      <xdr:spPr bwMode="auto">
        <a:xfrm>
          <a:off x="10351669" y="4337796"/>
          <a:ext cx="325164" cy="28968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16</xdr:col>
      <xdr:colOff>41770</xdr:colOff>
      <xdr:row>16</xdr:row>
      <xdr:rowOff>73510</xdr:rowOff>
    </xdr:from>
    <xdr:to>
      <xdr:col>16</xdr:col>
      <xdr:colOff>366934</xdr:colOff>
      <xdr:row>17</xdr:row>
      <xdr:rowOff>165321</xdr:rowOff>
    </xdr:to>
    <xdr:sp macro="" textlink="">
      <xdr:nvSpPr>
        <xdr:cNvPr id="102" name="Text Box 244">
          <a:extLst>
            <a:ext uri="{FF2B5EF4-FFF2-40B4-BE49-F238E27FC236}">
              <a16:creationId xmlns:a16="http://schemas.microsoft.com/office/drawing/2014/main" id="{00000000-0008-0000-0000-000066000000}"/>
            </a:ext>
          </a:extLst>
        </xdr:cNvPr>
        <xdr:cNvSpPr txBox="1">
          <a:spLocks noChangeArrowheads="1"/>
        </xdr:cNvSpPr>
      </xdr:nvSpPr>
      <xdr:spPr bwMode="auto">
        <a:xfrm>
          <a:off x="10355046" y="3443389"/>
          <a:ext cx="325164" cy="26260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10</xdr:col>
      <xdr:colOff>423154</xdr:colOff>
      <xdr:row>9</xdr:row>
      <xdr:rowOff>130957</xdr:rowOff>
    </xdr:from>
    <xdr:to>
      <xdr:col>11</xdr:col>
      <xdr:colOff>369164</xdr:colOff>
      <xdr:row>11</xdr:row>
      <xdr:rowOff>3087</xdr:rowOff>
    </xdr:to>
    <xdr:sp macro="" textlink="'Variable Management'!G98">
      <xdr:nvSpPr>
        <xdr:cNvPr id="66" name="Text Box 264">
          <a:extLst>
            <a:ext uri="{FF2B5EF4-FFF2-40B4-BE49-F238E27FC236}">
              <a16:creationId xmlns:a16="http://schemas.microsoft.com/office/drawing/2014/main" id="{00000000-0008-0000-0000-000042000000}"/>
            </a:ext>
          </a:extLst>
        </xdr:cNvPr>
        <xdr:cNvSpPr txBox="1">
          <a:spLocks noChangeArrowheads="1" noTextEdit="1"/>
        </xdr:cNvSpPr>
      </xdr:nvSpPr>
      <xdr:spPr bwMode="auto">
        <a:xfrm>
          <a:off x="6788482" y="2200181"/>
          <a:ext cx="556923" cy="213716"/>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11.3kΩ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10</xdr:col>
      <xdr:colOff>600213</xdr:colOff>
      <xdr:row>8</xdr:row>
      <xdr:rowOff>99942</xdr:rowOff>
    </xdr:from>
    <xdr:to>
      <xdr:col>11</xdr:col>
      <xdr:colOff>393752</xdr:colOff>
      <xdr:row>9</xdr:row>
      <xdr:rowOff>130340</xdr:rowOff>
    </xdr:to>
    <xdr:sp macro="" textlink="">
      <xdr:nvSpPr>
        <xdr:cNvPr id="68" name="Text Box 255">
          <a:extLst>
            <a:ext uri="{FF2B5EF4-FFF2-40B4-BE49-F238E27FC236}">
              <a16:creationId xmlns:a16="http://schemas.microsoft.com/office/drawing/2014/main" id="{00000000-0008-0000-0000-000044000000}"/>
            </a:ext>
          </a:extLst>
        </xdr:cNvPr>
        <xdr:cNvSpPr txBox="1">
          <a:spLocks noChangeArrowheads="1"/>
        </xdr:cNvSpPr>
      </xdr:nvSpPr>
      <xdr:spPr bwMode="auto">
        <a:xfrm>
          <a:off x="6965541" y="1998373"/>
          <a:ext cx="404452" cy="20119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11</xdr:col>
      <xdr:colOff>549732</xdr:colOff>
      <xdr:row>9</xdr:row>
      <xdr:rowOff>120704</xdr:rowOff>
    </xdr:from>
    <xdr:to>
      <xdr:col>12</xdr:col>
      <xdr:colOff>278965</xdr:colOff>
      <xdr:row>10</xdr:row>
      <xdr:rowOff>157401</xdr:rowOff>
    </xdr:to>
    <xdr:sp macro="" textlink="'Variable Management'!G97">
      <xdr:nvSpPr>
        <xdr:cNvPr id="69" name="Text Box 264">
          <a:extLst>
            <a:ext uri="{FF2B5EF4-FFF2-40B4-BE49-F238E27FC236}">
              <a16:creationId xmlns:a16="http://schemas.microsoft.com/office/drawing/2014/main" id="{00000000-0008-0000-0000-000045000000}"/>
            </a:ext>
          </a:extLst>
        </xdr:cNvPr>
        <xdr:cNvSpPr txBox="1">
          <a:spLocks noChangeArrowheads="1" noTextEdit="1"/>
        </xdr:cNvSpPr>
      </xdr:nvSpPr>
      <xdr:spPr bwMode="auto">
        <a:xfrm>
          <a:off x="7525973" y="2189928"/>
          <a:ext cx="556923" cy="207490"/>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49.9kΩ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11</xdr:col>
      <xdr:colOff>680884</xdr:colOff>
      <xdr:row>8</xdr:row>
      <xdr:rowOff>82786</xdr:rowOff>
    </xdr:from>
    <xdr:to>
      <xdr:col>12</xdr:col>
      <xdr:colOff>258631</xdr:colOff>
      <xdr:row>9</xdr:row>
      <xdr:rowOff>120574</xdr:rowOff>
    </xdr:to>
    <xdr:sp macro="" textlink="">
      <xdr:nvSpPr>
        <xdr:cNvPr id="70" name="Text Box 255">
          <a:extLst>
            <a:ext uri="{FF2B5EF4-FFF2-40B4-BE49-F238E27FC236}">
              <a16:creationId xmlns:a16="http://schemas.microsoft.com/office/drawing/2014/main" id="{00000000-0008-0000-0000-000046000000}"/>
            </a:ext>
          </a:extLst>
        </xdr:cNvPr>
        <xdr:cNvSpPr txBox="1">
          <a:spLocks noChangeArrowheads="1"/>
        </xdr:cNvSpPr>
      </xdr:nvSpPr>
      <xdr:spPr bwMode="auto">
        <a:xfrm>
          <a:off x="7657125" y="1981217"/>
          <a:ext cx="405437" cy="208581"/>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16</xdr:col>
      <xdr:colOff>708841</xdr:colOff>
      <xdr:row>21</xdr:row>
      <xdr:rowOff>196334</xdr:rowOff>
    </xdr:from>
    <xdr:to>
      <xdr:col>16</xdr:col>
      <xdr:colOff>1222264</xdr:colOff>
      <xdr:row>23</xdr:row>
      <xdr:rowOff>20050</xdr:rowOff>
    </xdr:to>
    <xdr:sp macro="" textlink="'Variable Management'!B239">
      <xdr:nvSpPr>
        <xdr:cNvPr id="142" name="Text Box 275">
          <a:extLst>
            <a:ext uri="{FF2B5EF4-FFF2-40B4-BE49-F238E27FC236}">
              <a16:creationId xmlns:a16="http://schemas.microsoft.com/office/drawing/2014/main" id="{00000000-0008-0000-0000-00008E000000}"/>
            </a:ext>
          </a:extLst>
        </xdr:cNvPr>
        <xdr:cNvSpPr txBox="1">
          <a:spLocks noChangeArrowheads="1" noTextEdit="1"/>
        </xdr:cNvSpPr>
      </xdr:nvSpPr>
      <xdr:spPr bwMode="auto">
        <a:xfrm>
          <a:off x="11119666" y="4511159"/>
          <a:ext cx="513423" cy="261866"/>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6.8mΩ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11</xdr:col>
      <xdr:colOff>551713</xdr:colOff>
      <xdr:row>31</xdr:row>
      <xdr:rowOff>37033</xdr:rowOff>
    </xdr:from>
    <xdr:to>
      <xdr:col>12</xdr:col>
      <xdr:colOff>206105</xdr:colOff>
      <xdr:row>32</xdr:row>
      <xdr:rowOff>94210</xdr:rowOff>
    </xdr:to>
    <xdr:sp macro="" textlink="">
      <xdr:nvSpPr>
        <xdr:cNvPr id="145" name="Text Box 245">
          <a:extLst>
            <a:ext uri="{FF2B5EF4-FFF2-40B4-BE49-F238E27FC236}">
              <a16:creationId xmlns:a16="http://schemas.microsoft.com/office/drawing/2014/main" id="{00000000-0008-0000-0000-000091000000}"/>
            </a:ext>
          </a:extLst>
        </xdr:cNvPr>
        <xdr:cNvSpPr txBox="1">
          <a:spLocks noChangeArrowheads="1"/>
        </xdr:cNvSpPr>
      </xdr:nvSpPr>
      <xdr:spPr bwMode="auto">
        <a:xfrm>
          <a:off x="7528776" y="6275908"/>
          <a:ext cx="481876" cy="229818"/>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11</xdr:col>
      <xdr:colOff>569061</xdr:colOff>
      <xdr:row>32</xdr:row>
      <xdr:rowOff>45596</xdr:rowOff>
    </xdr:from>
    <xdr:to>
      <xdr:col>12</xdr:col>
      <xdr:colOff>344206</xdr:colOff>
      <xdr:row>33</xdr:row>
      <xdr:rowOff>115697</xdr:rowOff>
    </xdr:to>
    <xdr:sp macro="" textlink="'Variable Management'!B274">
      <xdr:nvSpPr>
        <xdr:cNvPr id="146" name="Text Box 281">
          <a:extLst>
            <a:ext uri="{FF2B5EF4-FFF2-40B4-BE49-F238E27FC236}">
              <a16:creationId xmlns:a16="http://schemas.microsoft.com/office/drawing/2014/main" id="{00000000-0008-0000-0000-000092000000}"/>
            </a:ext>
          </a:extLst>
        </xdr:cNvPr>
        <xdr:cNvSpPr txBox="1">
          <a:spLocks noChangeArrowheads="1" noTextEdit="1"/>
        </xdr:cNvSpPr>
      </xdr:nvSpPr>
      <xdr:spPr bwMode="auto">
        <a:xfrm>
          <a:off x="7546124" y="6457112"/>
          <a:ext cx="602629" cy="242741"/>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xdr:from>
          <xdr:col>5</xdr:col>
          <xdr:colOff>0</xdr:colOff>
          <xdr:row>58</xdr:row>
          <xdr:rowOff>161925</xdr:rowOff>
        </xdr:from>
        <xdr:to>
          <xdr:col>5</xdr:col>
          <xdr:colOff>180975</xdr:colOff>
          <xdr:row>60</xdr:row>
          <xdr:rowOff>9525</xdr:rowOff>
        </xdr:to>
        <xdr:sp macro="" textlink="">
          <xdr:nvSpPr>
            <xdr:cNvPr id="672829" name="Spinner 61" hidden="1">
              <a:extLst>
                <a:ext uri="{63B3BB69-23CF-44E3-9099-C40C66FF867C}">
                  <a14:compatExt spid="_x0000_s672829"/>
                </a:ext>
                <a:ext uri="{FF2B5EF4-FFF2-40B4-BE49-F238E27FC236}">
                  <a16:creationId xmlns:a16="http://schemas.microsoft.com/office/drawing/2014/main" id="{00000000-0008-0000-0000-00003D440A00}"/>
                </a:ext>
              </a:extLst>
            </xdr:cNvPr>
            <xdr:cNvSpPr/>
          </xdr:nvSpPr>
          <xdr:spPr bwMode="auto">
            <a:xfrm>
              <a:off x="0" y="0"/>
              <a:ext cx="0" cy="0"/>
            </a:xfrm>
            <a:prstGeom prst="rect">
              <a:avLst/>
            </a:prstGeom>
            <a:solidFill>
              <a:srgbClr val="FFFFFF"/>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65</xdr:row>
          <xdr:rowOff>0</xdr:rowOff>
        </xdr:from>
        <xdr:to>
          <xdr:col>5</xdr:col>
          <xdr:colOff>180975</xdr:colOff>
          <xdr:row>66</xdr:row>
          <xdr:rowOff>0</xdr:rowOff>
        </xdr:to>
        <xdr:sp macro="" textlink="">
          <xdr:nvSpPr>
            <xdr:cNvPr id="672830" name="Spinner 62" hidden="1">
              <a:extLst>
                <a:ext uri="{63B3BB69-23CF-44E3-9099-C40C66FF867C}">
                  <a14:compatExt spid="_x0000_s672830"/>
                </a:ext>
                <a:ext uri="{FF2B5EF4-FFF2-40B4-BE49-F238E27FC236}">
                  <a16:creationId xmlns:a16="http://schemas.microsoft.com/office/drawing/2014/main" id="{00000000-0008-0000-0000-00003E440A00}"/>
                </a:ext>
              </a:extLst>
            </xdr:cNvPr>
            <xdr:cNvSpPr/>
          </xdr:nvSpPr>
          <xdr:spPr bwMode="auto">
            <a:xfrm>
              <a:off x="0" y="0"/>
              <a:ext cx="0" cy="0"/>
            </a:xfrm>
            <a:prstGeom prst="rect">
              <a:avLst/>
            </a:prstGeom>
            <a:solidFill>
              <a:srgbClr val="FFFFFF"/>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66</xdr:row>
          <xdr:rowOff>0</xdr:rowOff>
        </xdr:from>
        <xdr:to>
          <xdr:col>5</xdr:col>
          <xdr:colOff>180975</xdr:colOff>
          <xdr:row>66</xdr:row>
          <xdr:rowOff>190500</xdr:rowOff>
        </xdr:to>
        <xdr:sp macro="" textlink="">
          <xdr:nvSpPr>
            <xdr:cNvPr id="672831" name="Spinner 63" hidden="1">
              <a:extLst>
                <a:ext uri="{63B3BB69-23CF-44E3-9099-C40C66FF867C}">
                  <a14:compatExt spid="_x0000_s672831"/>
                </a:ext>
                <a:ext uri="{FF2B5EF4-FFF2-40B4-BE49-F238E27FC236}">
                  <a16:creationId xmlns:a16="http://schemas.microsoft.com/office/drawing/2014/main" id="{00000000-0008-0000-0000-00003F440A00}"/>
                </a:ext>
              </a:extLst>
            </xdr:cNvPr>
            <xdr:cNvSpPr/>
          </xdr:nvSpPr>
          <xdr:spPr bwMode="auto">
            <a:xfrm>
              <a:off x="0" y="0"/>
              <a:ext cx="0" cy="0"/>
            </a:xfrm>
            <a:prstGeom prst="rect">
              <a:avLst/>
            </a:prstGeom>
            <a:solidFill>
              <a:srgbClr val="FFFFFF"/>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67</xdr:row>
          <xdr:rowOff>0</xdr:rowOff>
        </xdr:from>
        <xdr:to>
          <xdr:col>5</xdr:col>
          <xdr:colOff>180975</xdr:colOff>
          <xdr:row>67</xdr:row>
          <xdr:rowOff>190500</xdr:rowOff>
        </xdr:to>
        <xdr:sp macro="" textlink="">
          <xdr:nvSpPr>
            <xdr:cNvPr id="672832" name="Spinner 64" hidden="1">
              <a:extLst>
                <a:ext uri="{63B3BB69-23CF-44E3-9099-C40C66FF867C}">
                  <a14:compatExt spid="_x0000_s672832"/>
                </a:ext>
                <a:ext uri="{FF2B5EF4-FFF2-40B4-BE49-F238E27FC236}">
                  <a16:creationId xmlns:a16="http://schemas.microsoft.com/office/drawing/2014/main" id="{00000000-0008-0000-0000-000040440A00}"/>
                </a:ext>
              </a:extLst>
            </xdr:cNvPr>
            <xdr:cNvSpPr/>
          </xdr:nvSpPr>
          <xdr:spPr bwMode="auto">
            <a:xfrm>
              <a:off x="0" y="0"/>
              <a:ext cx="0" cy="0"/>
            </a:xfrm>
            <a:prstGeom prst="rect">
              <a:avLst/>
            </a:prstGeom>
            <a:solidFill>
              <a:srgbClr val="FFFFFF"/>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68</xdr:row>
          <xdr:rowOff>0</xdr:rowOff>
        </xdr:from>
        <xdr:to>
          <xdr:col>5</xdr:col>
          <xdr:colOff>180975</xdr:colOff>
          <xdr:row>68</xdr:row>
          <xdr:rowOff>190500</xdr:rowOff>
        </xdr:to>
        <xdr:sp macro="" textlink="">
          <xdr:nvSpPr>
            <xdr:cNvPr id="672833" name="Spinner 65" hidden="1">
              <a:extLst>
                <a:ext uri="{63B3BB69-23CF-44E3-9099-C40C66FF867C}">
                  <a14:compatExt spid="_x0000_s672833"/>
                </a:ext>
                <a:ext uri="{FF2B5EF4-FFF2-40B4-BE49-F238E27FC236}">
                  <a16:creationId xmlns:a16="http://schemas.microsoft.com/office/drawing/2014/main" id="{00000000-0008-0000-0000-000041440A00}"/>
                </a:ext>
              </a:extLst>
            </xdr:cNvPr>
            <xdr:cNvSpPr/>
          </xdr:nvSpPr>
          <xdr:spPr bwMode="auto">
            <a:xfrm>
              <a:off x="0" y="0"/>
              <a:ext cx="0" cy="0"/>
            </a:xfrm>
            <a:prstGeom prst="rect">
              <a:avLst/>
            </a:prstGeom>
            <a:solidFill>
              <a:srgbClr val="FFFFFF"/>
            </a:solidFill>
            <a:ln w="9525">
              <a:solidFill>
                <a:srgbClr val="000000" mc:Ignorable="a14" a14:legacySpreadsheetColorIndex="64"/>
              </a:solidFill>
              <a:miter lim="800000"/>
              <a:headEnd/>
              <a:tailEnd/>
            </a:ln>
          </xdr:spPr>
        </xdr:sp>
        <xdr:clientData/>
      </xdr:twoCellAnchor>
    </mc:Choice>
    <mc:Fallback/>
  </mc:AlternateContent>
  <xdr:twoCellAnchor editAs="oneCell">
    <xdr:from>
      <xdr:col>0</xdr:col>
      <xdr:colOff>85725</xdr:colOff>
      <xdr:row>0</xdr:row>
      <xdr:rowOff>47625</xdr:rowOff>
    </xdr:from>
    <xdr:to>
      <xdr:col>3</xdr:col>
      <xdr:colOff>292346</xdr:colOff>
      <xdr:row>0</xdr:row>
      <xdr:rowOff>586281</xdr:rowOff>
    </xdr:to>
    <xdr:pic macro="[0]!OpenLM27403ProductFolder">
      <xdr:nvPicPr>
        <xdr:cNvPr id="80" name="Picture 79">
          <a:hlinkClick xmlns:r="http://schemas.openxmlformats.org/officeDocument/2006/relationships" r:id="rId4"/>
          <a:extLst>
            <a:ext uri="{FF2B5EF4-FFF2-40B4-BE49-F238E27FC236}">
              <a16:creationId xmlns:a16="http://schemas.microsoft.com/office/drawing/2014/main" id="{00000000-0008-0000-0000-000050000000}"/>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4896" b="8304"/>
        <a:stretch/>
      </xdr:blipFill>
      <xdr:spPr>
        <a:xfrm>
          <a:off x="85725" y="47625"/>
          <a:ext cx="2283071" cy="53865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9525</xdr:colOff>
          <xdr:row>22</xdr:row>
          <xdr:rowOff>0</xdr:rowOff>
        </xdr:from>
        <xdr:to>
          <xdr:col>1</xdr:col>
          <xdr:colOff>523875</xdr:colOff>
          <xdr:row>23</xdr:row>
          <xdr:rowOff>0</xdr:rowOff>
        </xdr:to>
        <xdr:sp macro="" textlink="">
          <xdr:nvSpPr>
            <xdr:cNvPr id="672871" name="Drop Down 103" hidden="1">
              <a:extLst>
                <a:ext uri="{63B3BB69-23CF-44E3-9099-C40C66FF867C}">
                  <a14:compatExt spid="_x0000_s672871"/>
                </a:ext>
                <a:ext uri="{FF2B5EF4-FFF2-40B4-BE49-F238E27FC236}">
                  <a16:creationId xmlns:a16="http://schemas.microsoft.com/office/drawing/2014/main" id="{00000000-0008-0000-0000-00006744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xdr:twoCellAnchor>
    <xdr:from>
      <xdr:col>16</xdr:col>
      <xdr:colOff>50235</xdr:colOff>
      <xdr:row>26</xdr:row>
      <xdr:rowOff>49559</xdr:rowOff>
    </xdr:from>
    <xdr:to>
      <xdr:col>16</xdr:col>
      <xdr:colOff>621233</xdr:colOff>
      <xdr:row>28</xdr:row>
      <xdr:rowOff>0</xdr:rowOff>
    </xdr:to>
    <xdr:sp macro="" textlink="'Variable Management'!B269">
      <xdr:nvSpPr>
        <xdr:cNvPr id="88" name="Text Box 270">
          <a:extLst>
            <a:ext uri="{FF2B5EF4-FFF2-40B4-BE49-F238E27FC236}">
              <a16:creationId xmlns:a16="http://schemas.microsoft.com/office/drawing/2014/main" id="{00000000-0008-0000-0000-000058000000}"/>
            </a:ext>
          </a:extLst>
        </xdr:cNvPr>
        <xdr:cNvSpPr txBox="1">
          <a:spLocks noChangeArrowheads="1" noTextEdit="1"/>
        </xdr:cNvSpPr>
      </xdr:nvSpPr>
      <xdr:spPr bwMode="auto">
        <a:xfrm>
          <a:off x="10365810" y="5316884"/>
          <a:ext cx="570998" cy="293341"/>
        </a:xfrm>
        <a:prstGeom prst="rect">
          <a:avLst/>
        </a:prstGeom>
        <a:noFill/>
        <a:ln w="9525">
          <a:noFill/>
          <a:miter lim="800000"/>
          <a:headEnd/>
          <a:tailEnd/>
        </a:ln>
      </xdr:spPr>
      <xdr:txBody>
        <a:bodyPr vertOverflow="clip" wrap="square" lIns="27432" tIns="22860" rIns="0" bIns="0" anchor="t" upright="1"/>
        <a:lstStyle/>
        <a:p>
          <a:pPr algn="l" rtl="0">
            <a:defRPr sz="1000"/>
          </a:pPr>
          <a:fld id="{B99E8AFA-CC9D-495E-8F5C-E82A30AF7894}"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116910</xdr:colOff>
      <xdr:row>25</xdr:row>
      <xdr:rowOff>11459</xdr:rowOff>
    </xdr:from>
    <xdr:to>
      <xdr:col>16</xdr:col>
      <xdr:colOff>687908</xdr:colOff>
      <xdr:row>26</xdr:row>
      <xdr:rowOff>56439</xdr:rowOff>
    </xdr:to>
    <xdr:sp macro="" textlink="'Variable Management'!A269">
      <xdr:nvSpPr>
        <xdr:cNvPr id="92" name="Text Box 270">
          <a:extLst>
            <a:ext uri="{FF2B5EF4-FFF2-40B4-BE49-F238E27FC236}">
              <a16:creationId xmlns:a16="http://schemas.microsoft.com/office/drawing/2014/main" id="{00000000-0008-0000-0000-00005C000000}"/>
            </a:ext>
          </a:extLst>
        </xdr:cNvPr>
        <xdr:cNvSpPr txBox="1">
          <a:spLocks noChangeArrowheads="1" noTextEdit="1"/>
        </xdr:cNvSpPr>
      </xdr:nvSpPr>
      <xdr:spPr bwMode="auto">
        <a:xfrm>
          <a:off x="10432485" y="5107334"/>
          <a:ext cx="570998" cy="216430"/>
        </a:xfrm>
        <a:prstGeom prst="rect">
          <a:avLst/>
        </a:prstGeom>
        <a:noFill/>
        <a:ln w="9525">
          <a:noFill/>
          <a:miter lim="800000"/>
          <a:headEnd/>
          <a:tailEnd/>
        </a:ln>
      </xdr:spPr>
      <xdr:txBody>
        <a:bodyPr vertOverflow="clip" wrap="square" lIns="27432" tIns="22860" rIns="0" bIns="0" anchor="t" upright="1"/>
        <a:lstStyle/>
        <a:p>
          <a:pPr algn="l" rtl="0">
            <a:defRPr sz="1000"/>
          </a:pPr>
          <a:fld id="{70DB96BF-E1DF-48E4-A6D6-40F1646A7E3C}"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790575</xdr:colOff>
      <xdr:row>83</xdr:row>
      <xdr:rowOff>0</xdr:rowOff>
    </xdr:from>
    <xdr:to>
      <xdr:col>16</xdr:col>
      <xdr:colOff>1212518</xdr:colOff>
      <xdr:row>84</xdr:row>
      <xdr:rowOff>47625</xdr:rowOff>
    </xdr:to>
    <xdr:sp macro="" textlink="'Variable Management'!B308">
      <xdr:nvSpPr>
        <xdr:cNvPr id="62" name="Text Box 24">
          <a:extLst>
            <a:ext uri="{FF2B5EF4-FFF2-40B4-BE49-F238E27FC236}">
              <a16:creationId xmlns:a16="http://schemas.microsoft.com/office/drawing/2014/main" id="{00000000-0008-0000-0000-00003E000000}"/>
            </a:ext>
          </a:extLst>
        </xdr:cNvPr>
        <xdr:cNvSpPr txBox="1">
          <a:spLocks noChangeArrowheads="1" noTextEdit="1"/>
        </xdr:cNvSpPr>
      </xdr:nvSpPr>
      <xdr:spPr bwMode="auto">
        <a:xfrm>
          <a:off x="11106150" y="15935325"/>
          <a:ext cx="421943" cy="228600"/>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E2734BE-9F4E-46E2-95E4-7A6A07C9A939}" type="TxLink">
            <a:rPr lang="en-US" sz="1000" b="0" i="0" u="none" strike="noStrike" baseline="0">
              <a:solidFill>
                <a:srgbClr val="000000"/>
              </a:solidFill>
              <a:latin typeface="Arial"/>
              <a:cs typeface="Arial"/>
            </a:rPr>
            <a:pPr algn="l" rtl="0">
              <a:defRPr sz="1000"/>
            </a:pPr>
            <a:t>95%</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266700</xdr:colOff>
      <xdr:row>82</xdr:row>
      <xdr:rowOff>219075</xdr:rowOff>
    </xdr:from>
    <xdr:to>
      <xdr:col>13</xdr:col>
      <xdr:colOff>79043</xdr:colOff>
      <xdr:row>84</xdr:row>
      <xdr:rowOff>38100</xdr:rowOff>
    </xdr:to>
    <xdr:sp macro="" textlink="'Variable Management'!B309">
      <xdr:nvSpPr>
        <xdr:cNvPr id="63" name="Text Box 24">
          <a:extLst>
            <a:ext uri="{FF2B5EF4-FFF2-40B4-BE49-F238E27FC236}">
              <a16:creationId xmlns:a16="http://schemas.microsoft.com/office/drawing/2014/main" id="{00000000-0008-0000-0000-00003F000000}"/>
            </a:ext>
          </a:extLst>
        </xdr:cNvPr>
        <xdr:cNvSpPr txBox="1">
          <a:spLocks noChangeArrowheads="1" noTextEdit="1"/>
        </xdr:cNvSpPr>
      </xdr:nvSpPr>
      <xdr:spPr bwMode="auto">
        <a:xfrm>
          <a:off x="8077200" y="15925800"/>
          <a:ext cx="421943" cy="228600"/>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4471BB4-2258-4940-9924-F43A04D031AE}" type="TxLink">
            <a:rPr lang="en-US" sz="1000" b="0" i="0" u="none" strike="noStrike" baseline="0">
              <a:solidFill>
                <a:srgbClr val="000000"/>
              </a:solidFill>
              <a:latin typeface="Arial"/>
              <a:cs typeface="Arial"/>
            </a:rPr>
            <a:pPr algn="l" rtl="0">
              <a:defRPr sz="1000"/>
            </a:pPr>
            <a:t>95%</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158999</xdr:colOff>
      <xdr:row>32</xdr:row>
      <xdr:rowOff>170260</xdr:rowOff>
    </xdr:from>
    <xdr:to>
      <xdr:col>13</xdr:col>
      <xdr:colOff>19555</xdr:colOff>
      <xdr:row>34</xdr:row>
      <xdr:rowOff>91691</xdr:rowOff>
    </xdr:to>
    <xdr:sp macro="" textlink="'Variable Management'!A270">
      <xdr:nvSpPr>
        <xdr:cNvPr id="64" name="Text Box 231">
          <a:extLst>
            <a:ext uri="{FF2B5EF4-FFF2-40B4-BE49-F238E27FC236}">
              <a16:creationId xmlns:a16="http://schemas.microsoft.com/office/drawing/2014/main" id="{00000000-0008-0000-0000-000040000000}"/>
            </a:ext>
          </a:extLst>
        </xdr:cNvPr>
        <xdr:cNvSpPr txBox="1">
          <a:spLocks noChangeArrowheads="1"/>
        </xdr:cNvSpPr>
      </xdr:nvSpPr>
      <xdr:spPr bwMode="auto">
        <a:xfrm>
          <a:off x="7969499" y="6542485"/>
          <a:ext cx="470156" cy="264331"/>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Cs</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12</xdr:col>
      <xdr:colOff>84931</xdr:colOff>
      <xdr:row>34</xdr:row>
      <xdr:rowOff>27807</xdr:rowOff>
    </xdr:from>
    <xdr:to>
      <xdr:col>13</xdr:col>
      <xdr:colOff>44015</xdr:colOff>
      <xdr:row>35</xdr:row>
      <xdr:rowOff>73977</xdr:rowOff>
    </xdr:to>
    <xdr:sp macro="" textlink="'Variable Management'!B270">
      <xdr:nvSpPr>
        <xdr:cNvPr id="67" name="Text Box 270">
          <a:extLst>
            <a:ext uri="{FF2B5EF4-FFF2-40B4-BE49-F238E27FC236}">
              <a16:creationId xmlns:a16="http://schemas.microsoft.com/office/drawing/2014/main" id="{00000000-0008-0000-0000-000043000000}"/>
            </a:ext>
          </a:extLst>
        </xdr:cNvPr>
        <xdr:cNvSpPr txBox="1">
          <a:spLocks noChangeArrowheads="1" noTextEdit="1"/>
        </xdr:cNvSpPr>
      </xdr:nvSpPr>
      <xdr:spPr bwMode="auto">
        <a:xfrm>
          <a:off x="7895431" y="6742932"/>
          <a:ext cx="568684" cy="217620"/>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18pF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571499</xdr:colOff>
      <xdr:row>14</xdr:row>
      <xdr:rowOff>22991</xdr:rowOff>
    </xdr:from>
    <xdr:to>
      <xdr:col>16</xdr:col>
      <xdr:colOff>1714500</xdr:colOff>
      <xdr:row>15</xdr:row>
      <xdr:rowOff>15579</xdr:rowOff>
    </xdr:to>
    <xdr:sp macro="" textlink="'Variable Management'!B281">
      <xdr:nvSpPr>
        <xdr:cNvPr id="71" name="Text Box 283">
          <a:extLst>
            <a:ext uri="{FF2B5EF4-FFF2-40B4-BE49-F238E27FC236}">
              <a16:creationId xmlns:a16="http://schemas.microsoft.com/office/drawing/2014/main" id="{00000000-0008-0000-0000-000047000000}"/>
            </a:ext>
          </a:extLst>
        </xdr:cNvPr>
        <xdr:cNvSpPr txBox="1">
          <a:spLocks noChangeArrowheads="1" noTextEdit="1"/>
        </xdr:cNvSpPr>
      </xdr:nvSpPr>
      <xdr:spPr bwMode="auto">
        <a:xfrm>
          <a:off x="10884775" y="2972457"/>
          <a:ext cx="1143001" cy="242208"/>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6V to 40V</a:t>
          </a:fld>
          <a:endParaRPr lang="en-US" sz="2400" b="1" i="0" strike="noStrike">
            <a:solidFill>
              <a:srgbClr val="0000FF"/>
            </a:solidFill>
            <a:latin typeface="Arial" pitchFamily="34" charset="0"/>
            <a:cs typeface="Arial" pitchFamily="34" charset="0"/>
          </a:endParaRPr>
        </a:p>
      </xdr:txBody>
    </xdr:sp>
    <xdr:clientData/>
  </xdr:twoCellAnchor>
  <xdr:twoCellAnchor editAs="oneCell">
    <xdr:from>
      <xdr:col>16</xdr:col>
      <xdr:colOff>1085850</xdr:colOff>
      <xdr:row>0</xdr:row>
      <xdr:rowOff>0</xdr:rowOff>
    </xdr:from>
    <xdr:to>
      <xdr:col>17</xdr:col>
      <xdr:colOff>1822</xdr:colOff>
      <xdr:row>3</xdr:row>
      <xdr:rowOff>61728</xdr:rowOff>
    </xdr:to>
    <xdr:pic>
      <xdr:nvPicPr>
        <xdr:cNvPr id="72" name="Picture 71">
          <a:hlinkClick xmlns:r="http://schemas.openxmlformats.org/officeDocument/2006/relationships" r:id="rId6"/>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1496675" y="0"/>
          <a:ext cx="1706797" cy="1052328"/>
        </a:xfrm>
        <a:prstGeom prst="rect">
          <a:avLst/>
        </a:prstGeom>
      </xdr:spPr>
    </xdr:pic>
    <xdr:clientData/>
  </xdr:twoCellAnchor>
  <xdr:twoCellAnchor editAs="oneCell">
    <xdr:from>
      <xdr:col>16</xdr:col>
      <xdr:colOff>993530</xdr:colOff>
      <xdr:row>70</xdr:row>
      <xdr:rowOff>227465</xdr:rowOff>
    </xdr:from>
    <xdr:to>
      <xdr:col>16</xdr:col>
      <xdr:colOff>2784229</xdr:colOff>
      <xdr:row>77</xdr:row>
      <xdr:rowOff>44736</xdr:rowOff>
    </xdr:to>
    <xdr:pic>
      <xdr:nvPicPr>
        <xdr:cNvPr id="73" name="Picture 72">
          <a:hlinkClick xmlns:r="http://schemas.openxmlformats.org/officeDocument/2006/relationships" r:id="rId4"/>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404355" y="13657715"/>
          <a:ext cx="1790699" cy="1131721"/>
        </a:xfrm>
        <a:prstGeom prst="rect">
          <a:avLst/>
        </a:prstGeom>
      </xdr:spPr>
    </xdr:pic>
    <xdr:clientData/>
  </xdr:twoCellAnchor>
  <xdr:twoCellAnchor editAs="oneCell">
    <xdr:from>
      <xdr:col>16</xdr:col>
      <xdr:colOff>111673</xdr:colOff>
      <xdr:row>0</xdr:row>
      <xdr:rowOff>0</xdr:rowOff>
    </xdr:from>
    <xdr:to>
      <xdr:col>16</xdr:col>
      <xdr:colOff>971551</xdr:colOff>
      <xdr:row>0</xdr:row>
      <xdr:rowOff>631297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0523483" y="0"/>
          <a:ext cx="859878" cy="63129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38100</xdr:colOff>
          <xdr:row>3</xdr:row>
          <xdr:rowOff>171450</xdr:rowOff>
        </xdr:from>
        <xdr:to>
          <xdr:col>6</xdr:col>
          <xdr:colOff>0</xdr:colOff>
          <xdr:row>4</xdr:row>
          <xdr:rowOff>238125</xdr:rowOff>
        </xdr:to>
        <xdr:sp macro="" textlink="">
          <xdr:nvSpPr>
            <xdr:cNvPr id="683041" name="Drop Down 1057" hidden="1">
              <a:extLst>
                <a:ext uri="{63B3BB69-23CF-44E3-9099-C40C66FF867C}">
                  <a14:compatExt spid="_x0000_s683041"/>
                </a:ext>
                <a:ext uri="{FF2B5EF4-FFF2-40B4-BE49-F238E27FC236}">
                  <a16:creationId xmlns:a16="http://schemas.microsoft.com/office/drawing/2014/main" id="{00000000-0008-0000-0000-0000216C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11</xdr:col>
      <xdr:colOff>408214</xdr:colOff>
      <xdr:row>20</xdr:row>
      <xdr:rowOff>168729</xdr:rowOff>
    </xdr:from>
    <xdr:to>
      <xdr:col>12</xdr:col>
      <xdr:colOff>605330</xdr:colOff>
      <xdr:row>22</xdr:row>
      <xdr:rowOff>94640</xdr:rowOff>
    </xdr:to>
    <xdr:sp macro="" textlink="'Variable Management'!U12">
      <xdr:nvSpPr>
        <xdr:cNvPr id="74" name="Text Box 24">
          <a:extLst>
            <a:ext uri="{FF2B5EF4-FFF2-40B4-BE49-F238E27FC236}">
              <a16:creationId xmlns:a16="http://schemas.microsoft.com/office/drawing/2014/main" id="{00000000-0008-0000-0000-00004A000000}"/>
            </a:ext>
          </a:extLst>
        </xdr:cNvPr>
        <xdr:cNvSpPr txBox="1">
          <a:spLocks noChangeArrowheads="1" noTextEdit="1"/>
        </xdr:cNvSpPr>
      </xdr:nvSpPr>
      <xdr:spPr bwMode="auto">
        <a:xfrm>
          <a:off x="7494814" y="4332515"/>
          <a:ext cx="1024430" cy="350454"/>
        </a:xfrm>
        <a:prstGeom prst="rect">
          <a:avLst/>
        </a:prstGeom>
        <a:solidFill>
          <a:srgbClr val="7DC4D6"/>
        </a:solidFill>
        <a:ln w="9525">
          <a:noFill/>
          <a:miter lim="800000"/>
          <a:headEnd/>
          <a:tailEnd/>
        </a:ln>
      </xdr:spPr>
      <xdr:txBody>
        <a:bodyPr wrap="square" lIns="27432" tIns="22860" rIns="0" bIns="22860"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fld id="{FE4215C9-6CF6-4ED6-BE24-17A843393DAB}" type="TxLink">
            <a:rPr lang="en-US" sz="1400" b="1" i="0" u="none" strike="noStrike" baseline="0">
              <a:solidFill>
                <a:srgbClr val="FF0000"/>
              </a:solidFill>
              <a:latin typeface="Arial"/>
              <a:cs typeface="Arial"/>
            </a:rPr>
            <a:pPr algn="ctr" rtl="0">
              <a:defRPr sz="1000"/>
            </a:pPr>
            <a:t>LM5145</a:t>
          </a:fld>
          <a:endParaRPr lang="en-US" sz="2000" b="1" i="0" u="none" strike="noStrike" baseline="0">
            <a:solidFill>
              <a:srgbClr val="FF0000"/>
            </a:solidFill>
            <a:latin typeface="Arial" pitchFamily="34" charset="0"/>
            <a:cs typeface="Arial" pitchFamily="34" charset="0"/>
          </a:endParaRPr>
        </a:p>
      </xdr:txBody>
    </xdr:sp>
    <xdr:clientData/>
  </xdr:twoCellAnchor>
</xdr:wsDr>
</file>

<file path=xl/drawings/drawing2.xml><?xml version="1.0" encoding="utf-8"?>
<c:userShapes xmlns:c="http://schemas.openxmlformats.org/drawingml/2006/chart">
  <cdr:relSizeAnchor xmlns:cdr="http://schemas.openxmlformats.org/drawingml/2006/chartDrawing">
    <cdr:from>
      <cdr:x>0.08796</cdr:x>
      <cdr:y>0.49238</cdr:y>
    </cdr:from>
    <cdr:to>
      <cdr:x>0.92197</cdr:x>
      <cdr:y>0.49409</cdr:y>
    </cdr:to>
    <cdr:sp macro="" textlink="">
      <cdr:nvSpPr>
        <cdr:cNvPr id="8195" name="Line 3"/>
        <cdr:cNvSpPr>
          <a:spLocks xmlns:a="http://schemas.openxmlformats.org/drawingml/2006/main" noChangeShapeType="1"/>
        </cdr:cNvSpPr>
      </cdr:nvSpPr>
      <cdr:spPr bwMode="auto">
        <a:xfrm xmlns:a="http://schemas.openxmlformats.org/drawingml/2006/main">
          <a:off x="753099" y="2185131"/>
          <a:ext cx="7141085" cy="7622"/>
        </a:xfrm>
        <a:prstGeom xmlns:a="http://schemas.openxmlformats.org/drawingml/2006/main" prst="line">
          <a:avLst/>
        </a:prstGeom>
        <a:noFill xmlns:a="http://schemas.openxmlformats.org/drawingml/2006/main"/>
        <a:ln xmlns:a="http://schemas.openxmlformats.org/drawingml/2006/main" w="19050">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0.92062</cdr:x>
      <cdr:y>0.58763</cdr:y>
    </cdr:from>
    <cdr:to>
      <cdr:x>0.95653</cdr:x>
      <cdr:y>0.64353</cdr:y>
    </cdr:to>
    <cdr:sp macro="" textlink="'Variable Management'!$B$261">
      <cdr:nvSpPr>
        <cdr:cNvPr id="3" name="Text Box 24"/>
        <cdr:cNvSpPr txBox="1">
          <a:spLocks xmlns:a="http://schemas.openxmlformats.org/drawingml/2006/main" noChangeArrowheads="1" noTextEdit="1"/>
        </cdr:cNvSpPr>
      </cdr:nvSpPr>
      <cdr:spPr bwMode="auto">
        <a:xfrm xmlns:a="http://schemas.openxmlformats.org/drawingml/2006/main">
          <a:off x="7976234" y="2610019"/>
          <a:ext cx="311124" cy="2482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27432" tIns="22860" rIns="0" bIns="22860"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0">
            <a:defRPr sz="1000"/>
          </a:pPr>
          <a:fld id="{BB1BCF51-C5DA-4454-8307-018A0FF9C118}" type="TxLink">
            <a:rPr lang="en-US" sz="900" b="0" i="0" u="none" strike="noStrike" baseline="0">
              <a:solidFill>
                <a:srgbClr val="000000"/>
              </a:solidFill>
              <a:latin typeface="Arial" pitchFamily="34" charset="0"/>
              <a:cs typeface="Arial" pitchFamily="34" charset="0"/>
            </a:rPr>
            <a:pPr algn="l" rtl="0">
              <a:defRPr sz="1000"/>
            </a:pPr>
            <a:t>65°</a:t>
          </a:fld>
          <a:endParaRPr lang="en-US" sz="900" b="1" i="0" u="none" strike="noStrike" baseline="0">
            <a:solidFill>
              <a:srgbClr val="000000"/>
            </a:solidFill>
            <a:latin typeface="Arial" pitchFamily="34" charset="0"/>
            <a:cs typeface="Arial" pitchFamily="34" charset="0"/>
          </a:endParaRPr>
        </a:p>
      </cdr:txBody>
    </cdr:sp>
  </cdr:relSizeAnchor>
</c:userShapes>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0</xdr:row>
          <xdr:rowOff>142875</xdr:rowOff>
        </xdr:from>
        <xdr:to>
          <xdr:col>8</xdr:col>
          <xdr:colOff>799272</xdr:colOff>
          <xdr:row>33</xdr:row>
          <xdr:rowOff>10353</xdr:rowOff>
        </xdr:to>
        <xdr:pic>
          <xdr:nvPicPr>
            <xdr:cNvPr id="49" name="Picture 48">
              <a:extLst>
                <a:ext uri="{FF2B5EF4-FFF2-40B4-BE49-F238E27FC236}">
                  <a16:creationId xmlns:a16="http://schemas.microsoft.com/office/drawing/2014/main" id="{00000000-0008-0000-0100-000031000000}"/>
                </a:ext>
              </a:extLst>
            </xdr:cNvPr>
            <xdr:cNvPicPr>
              <a:picLocks noChangeAspect="1"/>
              <a:extLst>
                <a:ext uri="{84589F7E-364E-4C9E-8A38-B11213B215E9}">
                  <a14:cameraTool cellRange="PICTURE10" spid="_x0000_s674631"/>
                </a:ext>
              </a:extLst>
            </xdr:cNvPicPr>
          </xdr:nvPicPr>
          <xdr:blipFill>
            <a:blip xmlns:r="http://schemas.openxmlformats.org/officeDocument/2006/relationships" r:embed="rId1"/>
            <a:stretch>
              <a:fillRect/>
            </a:stretch>
          </xdr:blipFill>
          <xdr:spPr>
            <a:xfrm>
              <a:off x="123825" y="142875"/>
              <a:ext cx="8914572" cy="5211003"/>
            </a:xfrm>
            <a:prstGeom prst="rect">
              <a:avLst/>
            </a:prstGeom>
          </xdr:spPr>
        </xdr:pic>
        <xdr:clientData/>
      </xdr:twoCellAnchor>
    </mc:Choice>
    <mc:Fallback/>
  </mc:AlternateContent>
  <xdr:twoCellAnchor>
    <xdr:from>
      <xdr:col>0</xdr:col>
      <xdr:colOff>350858</xdr:colOff>
      <xdr:row>10</xdr:row>
      <xdr:rowOff>112807</xdr:rowOff>
    </xdr:from>
    <xdr:to>
      <xdr:col>1</xdr:col>
      <xdr:colOff>34767</xdr:colOff>
      <xdr:row>12</xdr:row>
      <xdr:rowOff>14324</xdr:rowOff>
    </xdr:to>
    <xdr:sp macro="" textlink="">
      <xdr:nvSpPr>
        <xdr:cNvPr id="50" name="Text Box 224">
          <a:extLst>
            <a:ext uri="{FF2B5EF4-FFF2-40B4-BE49-F238E27FC236}">
              <a16:creationId xmlns:a16="http://schemas.microsoft.com/office/drawing/2014/main" id="{00000000-0008-0000-0100-000032000000}"/>
            </a:ext>
          </a:extLst>
        </xdr:cNvPr>
        <xdr:cNvSpPr txBox="1">
          <a:spLocks noChangeArrowheads="1"/>
        </xdr:cNvSpPr>
      </xdr:nvSpPr>
      <xdr:spPr bwMode="auto">
        <a:xfrm>
          <a:off x="350858" y="1732057"/>
          <a:ext cx="264934" cy="22536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1</xdr:col>
      <xdr:colOff>545536</xdr:colOff>
      <xdr:row>7</xdr:row>
      <xdr:rowOff>127533</xdr:rowOff>
    </xdr:from>
    <xdr:to>
      <xdr:col>1</xdr:col>
      <xdr:colOff>885559</xdr:colOff>
      <xdr:row>9</xdr:row>
      <xdr:rowOff>6326</xdr:rowOff>
    </xdr:to>
    <xdr:sp macro="" textlink="">
      <xdr:nvSpPr>
        <xdr:cNvPr id="51" name="Text Box 225">
          <a:extLst>
            <a:ext uri="{FF2B5EF4-FFF2-40B4-BE49-F238E27FC236}">
              <a16:creationId xmlns:a16="http://schemas.microsoft.com/office/drawing/2014/main" id="{00000000-0008-0000-0100-000033000000}"/>
            </a:ext>
          </a:extLst>
        </xdr:cNvPr>
        <xdr:cNvSpPr txBox="1">
          <a:spLocks noChangeArrowheads="1"/>
        </xdr:cNvSpPr>
      </xdr:nvSpPr>
      <xdr:spPr bwMode="auto">
        <a:xfrm>
          <a:off x="1126561" y="1261008"/>
          <a:ext cx="340023" cy="202643"/>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0</xdr:col>
      <xdr:colOff>392906</xdr:colOff>
      <xdr:row>7</xdr:row>
      <xdr:rowOff>84728</xdr:rowOff>
    </xdr:from>
    <xdr:to>
      <xdr:col>1</xdr:col>
      <xdr:colOff>82687</xdr:colOff>
      <xdr:row>9</xdr:row>
      <xdr:rowOff>3635</xdr:rowOff>
    </xdr:to>
    <xdr:sp macro="" textlink="">
      <xdr:nvSpPr>
        <xdr:cNvPr id="52" name="Text Box 227">
          <a:extLst>
            <a:ext uri="{FF2B5EF4-FFF2-40B4-BE49-F238E27FC236}">
              <a16:creationId xmlns:a16="http://schemas.microsoft.com/office/drawing/2014/main" id="{00000000-0008-0000-0100-000034000000}"/>
            </a:ext>
          </a:extLst>
        </xdr:cNvPr>
        <xdr:cNvSpPr txBox="1">
          <a:spLocks noChangeArrowheads="1"/>
        </xdr:cNvSpPr>
      </xdr:nvSpPr>
      <xdr:spPr bwMode="auto">
        <a:xfrm>
          <a:off x="392906" y="1218203"/>
          <a:ext cx="270806" cy="24275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182593</xdr:colOff>
      <xdr:row>17</xdr:row>
      <xdr:rowOff>150216</xdr:rowOff>
    </xdr:from>
    <xdr:to>
      <xdr:col>8</xdr:col>
      <xdr:colOff>601693</xdr:colOff>
      <xdr:row>19</xdr:row>
      <xdr:rowOff>46434</xdr:rowOff>
    </xdr:to>
    <xdr:sp macro="" textlink="">
      <xdr:nvSpPr>
        <xdr:cNvPr id="53" name="Text Box 228">
          <a:extLst>
            <a:ext uri="{FF2B5EF4-FFF2-40B4-BE49-F238E27FC236}">
              <a16:creationId xmlns:a16="http://schemas.microsoft.com/office/drawing/2014/main" id="{00000000-0008-0000-0100-000035000000}"/>
            </a:ext>
          </a:extLst>
        </xdr:cNvPr>
        <xdr:cNvSpPr txBox="1">
          <a:spLocks noChangeArrowheads="1"/>
        </xdr:cNvSpPr>
      </xdr:nvSpPr>
      <xdr:spPr bwMode="auto">
        <a:xfrm>
          <a:off x="8421718" y="2902941"/>
          <a:ext cx="419100" cy="220068"/>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4</xdr:col>
      <xdr:colOff>1068707</xdr:colOff>
      <xdr:row>28</xdr:row>
      <xdr:rowOff>83095</xdr:rowOff>
    </xdr:from>
    <xdr:to>
      <xdr:col>5</xdr:col>
      <xdr:colOff>394017</xdr:colOff>
      <xdr:row>30</xdr:row>
      <xdr:rowOff>24870</xdr:rowOff>
    </xdr:to>
    <xdr:sp macro="" textlink="">
      <xdr:nvSpPr>
        <xdr:cNvPr id="54" name="Text Box 231">
          <a:extLst>
            <a:ext uri="{FF2B5EF4-FFF2-40B4-BE49-F238E27FC236}">
              <a16:creationId xmlns:a16="http://schemas.microsoft.com/office/drawing/2014/main" id="{00000000-0008-0000-0100-000036000000}"/>
            </a:ext>
          </a:extLst>
        </xdr:cNvPr>
        <xdr:cNvSpPr txBox="1">
          <a:spLocks noChangeArrowheads="1"/>
        </xdr:cNvSpPr>
      </xdr:nvSpPr>
      <xdr:spPr bwMode="auto">
        <a:xfrm>
          <a:off x="5059682" y="4616995"/>
          <a:ext cx="477835" cy="265625"/>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7</xdr:col>
      <xdr:colOff>503626</xdr:colOff>
      <xdr:row>12</xdr:row>
      <xdr:rowOff>55909</xdr:rowOff>
    </xdr:from>
    <xdr:to>
      <xdr:col>7</xdr:col>
      <xdr:colOff>846007</xdr:colOff>
      <xdr:row>14</xdr:row>
      <xdr:rowOff>8089</xdr:rowOff>
    </xdr:to>
    <xdr:sp macro="" textlink="">
      <xdr:nvSpPr>
        <xdr:cNvPr id="55" name="Text Box 235">
          <a:extLst>
            <a:ext uri="{FF2B5EF4-FFF2-40B4-BE49-F238E27FC236}">
              <a16:creationId xmlns:a16="http://schemas.microsoft.com/office/drawing/2014/main" id="{00000000-0008-0000-0100-000037000000}"/>
            </a:ext>
          </a:extLst>
        </xdr:cNvPr>
        <xdr:cNvSpPr txBox="1">
          <a:spLocks noChangeArrowheads="1"/>
        </xdr:cNvSpPr>
      </xdr:nvSpPr>
      <xdr:spPr bwMode="auto">
        <a:xfrm>
          <a:off x="7666426" y="1999009"/>
          <a:ext cx="342381" cy="276030"/>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F</a:t>
          </a:r>
        </a:p>
      </xdr:txBody>
    </xdr:sp>
    <xdr:clientData/>
  </xdr:twoCellAnchor>
  <xdr:twoCellAnchor>
    <xdr:from>
      <xdr:col>7</xdr:col>
      <xdr:colOff>196190</xdr:colOff>
      <xdr:row>18</xdr:row>
      <xdr:rowOff>69496</xdr:rowOff>
    </xdr:from>
    <xdr:to>
      <xdr:col>7</xdr:col>
      <xdr:colOff>521956</xdr:colOff>
      <xdr:row>19</xdr:row>
      <xdr:rowOff>130873</xdr:rowOff>
    </xdr:to>
    <xdr:sp macro="" textlink="">
      <xdr:nvSpPr>
        <xdr:cNvPr id="56" name="Text Box 244">
          <a:extLst>
            <a:ext uri="{FF2B5EF4-FFF2-40B4-BE49-F238E27FC236}">
              <a16:creationId xmlns:a16="http://schemas.microsoft.com/office/drawing/2014/main" id="{00000000-0008-0000-0100-000038000000}"/>
            </a:ext>
          </a:extLst>
        </xdr:cNvPr>
        <xdr:cNvSpPr txBox="1">
          <a:spLocks noChangeArrowheads="1"/>
        </xdr:cNvSpPr>
      </xdr:nvSpPr>
      <xdr:spPr bwMode="auto">
        <a:xfrm>
          <a:off x="7358990" y="2984146"/>
          <a:ext cx="325766" cy="22330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5</xdr:col>
      <xdr:colOff>1148244</xdr:colOff>
      <xdr:row>24</xdr:row>
      <xdr:rowOff>154754</xdr:rowOff>
    </xdr:from>
    <xdr:to>
      <xdr:col>6</xdr:col>
      <xdr:colOff>148956</xdr:colOff>
      <xdr:row>26</xdr:row>
      <xdr:rowOff>62361</xdr:rowOff>
    </xdr:to>
    <xdr:sp macro="" textlink="">
      <xdr:nvSpPr>
        <xdr:cNvPr id="57" name="Text Box 249">
          <a:extLst>
            <a:ext uri="{FF2B5EF4-FFF2-40B4-BE49-F238E27FC236}">
              <a16:creationId xmlns:a16="http://schemas.microsoft.com/office/drawing/2014/main" id="{00000000-0008-0000-0100-000039000000}"/>
            </a:ext>
          </a:extLst>
        </xdr:cNvPr>
        <xdr:cNvSpPr txBox="1">
          <a:spLocks noChangeArrowheads="1"/>
        </xdr:cNvSpPr>
      </xdr:nvSpPr>
      <xdr:spPr bwMode="auto">
        <a:xfrm>
          <a:off x="6291744" y="4040954"/>
          <a:ext cx="372312" cy="231457"/>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2</xdr:col>
      <xdr:colOff>623658</xdr:colOff>
      <xdr:row>10</xdr:row>
      <xdr:rowOff>58630</xdr:rowOff>
    </xdr:from>
    <xdr:to>
      <xdr:col>2</xdr:col>
      <xdr:colOff>948432</xdr:colOff>
      <xdr:row>12</xdr:row>
      <xdr:rowOff>8026</xdr:rowOff>
    </xdr:to>
    <xdr:sp macro="" textlink="">
      <xdr:nvSpPr>
        <xdr:cNvPr id="58" name="Text Box 251">
          <a:extLst>
            <a:ext uri="{FF2B5EF4-FFF2-40B4-BE49-F238E27FC236}">
              <a16:creationId xmlns:a16="http://schemas.microsoft.com/office/drawing/2014/main" id="{00000000-0008-0000-0100-00003A000000}"/>
            </a:ext>
          </a:extLst>
        </xdr:cNvPr>
        <xdr:cNvSpPr txBox="1">
          <a:spLocks noChangeArrowheads="1"/>
        </xdr:cNvSpPr>
      </xdr:nvSpPr>
      <xdr:spPr bwMode="auto">
        <a:xfrm>
          <a:off x="2195283" y="1677880"/>
          <a:ext cx="324774" cy="27324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2</xdr:col>
      <xdr:colOff>194642</xdr:colOff>
      <xdr:row>25</xdr:row>
      <xdr:rowOff>36345</xdr:rowOff>
    </xdr:from>
    <xdr:to>
      <xdr:col>2</xdr:col>
      <xdr:colOff>559905</xdr:colOff>
      <xdr:row>25</xdr:row>
      <xdr:rowOff>36345</xdr:rowOff>
    </xdr:to>
    <xdr:sp macro="" textlink="">
      <xdr:nvSpPr>
        <xdr:cNvPr id="59" name="Text Box 252">
          <a:extLst>
            <a:ext uri="{FF2B5EF4-FFF2-40B4-BE49-F238E27FC236}">
              <a16:creationId xmlns:a16="http://schemas.microsoft.com/office/drawing/2014/main" id="{00000000-0008-0000-0100-00003B000000}"/>
            </a:ext>
          </a:extLst>
        </xdr:cNvPr>
        <xdr:cNvSpPr txBox="1">
          <a:spLocks noChangeArrowheads="1"/>
        </xdr:cNvSpPr>
      </xdr:nvSpPr>
      <xdr:spPr bwMode="auto">
        <a:xfrm>
          <a:off x="1766267" y="4084470"/>
          <a:ext cx="365263"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1</xdr:col>
      <xdr:colOff>77482</xdr:colOff>
      <xdr:row>16</xdr:row>
      <xdr:rowOff>149706</xdr:rowOff>
    </xdr:from>
    <xdr:to>
      <xdr:col>1</xdr:col>
      <xdr:colOff>470678</xdr:colOff>
      <xdr:row>18</xdr:row>
      <xdr:rowOff>46755</xdr:rowOff>
    </xdr:to>
    <xdr:sp macro="" textlink="">
      <xdr:nvSpPr>
        <xdr:cNvPr id="60" name="Text Box 255">
          <a:extLst>
            <a:ext uri="{FF2B5EF4-FFF2-40B4-BE49-F238E27FC236}">
              <a16:creationId xmlns:a16="http://schemas.microsoft.com/office/drawing/2014/main" id="{00000000-0008-0000-0100-00003C000000}"/>
            </a:ext>
          </a:extLst>
        </xdr:cNvPr>
        <xdr:cNvSpPr txBox="1">
          <a:spLocks noChangeArrowheads="1"/>
        </xdr:cNvSpPr>
      </xdr:nvSpPr>
      <xdr:spPr bwMode="auto">
        <a:xfrm>
          <a:off x="658507" y="2740506"/>
          <a:ext cx="393196" cy="22089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1</xdr:col>
      <xdr:colOff>709591</xdr:colOff>
      <xdr:row>15</xdr:row>
      <xdr:rowOff>45347</xdr:rowOff>
    </xdr:from>
    <xdr:to>
      <xdr:col>1</xdr:col>
      <xdr:colOff>949255</xdr:colOff>
      <xdr:row>16</xdr:row>
      <xdr:rowOff>101328</xdr:rowOff>
    </xdr:to>
    <xdr:sp macro="" textlink="">
      <xdr:nvSpPr>
        <xdr:cNvPr id="61" name="Text Box 256">
          <a:extLst>
            <a:ext uri="{FF2B5EF4-FFF2-40B4-BE49-F238E27FC236}">
              <a16:creationId xmlns:a16="http://schemas.microsoft.com/office/drawing/2014/main" id="{00000000-0008-0000-0100-00003D000000}"/>
            </a:ext>
          </a:extLst>
        </xdr:cNvPr>
        <xdr:cNvSpPr txBox="1">
          <a:spLocks noChangeArrowheads="1"/>
        </xdr:cNvSpPr>
      </xdr:nvSpPr>
      <xdr:spPr bwMode="auto">
        <a:xfrm>
          <a:off x="1290616" y="2474222"/>
          <a:ext cx="239664" cy="217906"/>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2</xdr:col>
      <xdr:colOff>64611</xdr:colOff>
      <xdr:row>10</xdr:row>
      <xdr:rowOff>83968</xdr:rowOff>
    </xdr:from>
    <xdr:to>
      <xdr:col>2</xdr:col>
      <xdr:colOff>379660</xdr:colOff>
      <xdr:row>11</xdr:row>
      <xdr:rowOff>158730</xdr:rowOff>
    </xdr:to>
    <xdr:sp macro="" textlink="">
      <xdr:nvSpPr>
        <xdr:cNvPr id="62" name="Text Box 257">
          <a:extLst>
            <a:ext uri="{FF2B5EF4-FFF2-40B4-BE49-F238E27FC236}">
              <a16:creationId xmlns:a16="http://schemas.microsoft.com/office/drawing/2014/main" id="{00000000-0008-0000-0100-00003E000000}"/>
            </a:ext>
          </a:extLst>
        </xdr:cNvPr>
        <xdr:cNvSpPr txBox="1">
          <a:spLocks noChangeArrowheads="1"/>
        </xdr:cNvSpPr>
      </xdr:nvSpPr>
      <xdr:spPr bwMode="auto">
        <a:xfrm>
          <a:off x="1636236" y="1703218"/>
          <a:ext cx="315049" cy="23668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1</xdr:col>
      <xdr:colOff>656529</xdr:colOff>
      <xdr:row>10</xdr:row>
      <xdr:rowOff>91531</xdr:rowOff>
    </xdr:from>
    <xdr:to>
      <xdr:col>1</xdr:col>
      <xdr:colOff>963018</xdr:colOff>
      <xdr:row>12</xdr:row>
      <xdr:rowOff>10504</xdr:rowOff>
    </xdr:to>
    <xdr:sp macro="" textlink="">
      <xdr:nvSpPr>
        <xdr:cNvPr id="63" name="Text Box 258">
          <a:extLst>
            <a:ext uri="{FF2B5EF4-FFF2-40B4-BE49-F238E27FC236}">
              <a16:creationId xmlns:a16="http://schemas.microsoft.com/office/drawing/2014/main" id="{00000000-0008-0000-0100-00003F000000}"/>
            </a:ext>
          </a:extLst>
        </xdr:cNvPr>
        <xdr:cNvSpPr txBox="1">
          <a:spLocks noChangeArrowheads="1"/>
        </xdr:cNvSpPr>
      </xdr:nvSpPr>
      <xdr:spPr bwMode="auto">
        <a:xfrm>
          <a:off x="1237554" y="1710781"/>
          <a:ext cx="306489" cy="24282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5</xdr:col>
      <xdr:colOff>1130403</xdr:colOff>
      <xdr:row>26</xdr:row>
      <xdr:rowOff>35221</xdr:rowOff>
    </xdr:from>
    <xdr:to>
      <xdr:col>6</xdr:col>
      <xdr:colOff>172455</xdr:colOff>
      <xdr:row>27</xdr:row>
      <xdr:rowOff>134605</xdr:rowOff>
    </xdr:to>
    <xdr:sp macro="" textlink="">
      <xdr:nvSpPr>
        <xdr:cNvPr id="64" name="Text Box 260">
          <a:extLst>
            <a:ext uri="{FF2B5EF4-FFF2-40B4-BE49-F238E27FC236}">
              <a16:creationId xmlns:a16="http://schemas.microsoft.com/office/drawing/2014/main" id="{00000000-0008-0000-0100-000040000000}"/>
            </a:ext>
          </a:extLst>
        </xdr:cNvPr>
        <xdr:cNvSpPr txBox="1">
          <a:spLocks noChangeArrowheads="1"/>
        </xdr:cNvSpPr>
      </xdr:nvSpPr>
      <xdr:spPr bwMode="auto">
        <a:xfrm>
          <a:off x="6273903" y="4245271"/>
          <a:ext cx="413652" cy="261309"/>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1</xdr:col>
      <xdr:colOff>901558</xdr:colOff>
      <xdr:row>11</xdr:row>
      <xdr:rowOff>96325</xdr:rowOff>
    </xdr:from>
    <xdr:to>
      <xdr:col>2</xdr:col>
      <xdr:colOff>414860</xdr:colOff>
      <xdr:row>13</xdr:row>
      <xdr:rowOff>9831</xdr:rowOff>
    </xdr:to>
    <xdr:sp macro="" textlink="'Variable Management'!B254">
      <xdr:nvSpPr>
        <xdr:cNvPr id="65" name="Text Box 261">
          <a:extLst>
            <a:ext uri="{FF2B5EF4-FFF2-40B4-BE49-F238E27FC236}">
              <a16:creationId xmlns:a16="http://schemas.microsoft.com/office/drawing/2014/main" id="{00000000-0008-0000-0100-000041000000}"/>
            </a:ext>
          </a:extLst>
        </xdr:cNvPr>
        <xdr:cNvSpPr txBox="1">
          <a:spLocks noChangeArrowheads="1" noTextEdit="1"/>
        </xdr:cNvSpPr>
      </xdr:nvSpPr>
      <xdr:spPr bwMode="auto">
        <a:xfrm>
          <a:off x="1482583" y="1877500"/>
          <a:ext cx="503902" cy="237356"/>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8.2nF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2</xdr:col>
      <xdr:colOff>142101</xdr:colOff>
      <xdr:row>15</xdr:row>
      <xdr:rowOff>64969</xdr:rowOff>
    </xdr:from>
    <xdr:to>
      <xdr:col>2</xdr:col>
      <xdr:colOff>599960</xdr:colOff>
      <xdr:row>16</xdr:row>
      <xdr:rowOff>123733</xdr:rowOff>
    </xdr:to>
    <xdr:sp macro="" textlink="'Variable Management'!B255">
      <xdr:nvSpPr>
        <xdr:cNvPr id="66" name="Text Box 262">
          <a:extLst>
            <a:ext uri="{FF2B5EF4-FFF2-40B4-BE49-F238E27FC236}">
              <a16:creationId xmlns:a16="http://schemas.microsoft.com/office/drawing/2014/main" id="{00000000-0008-0000-0100-000042000000}"/>
            </a:ext>
          </a:extLst>
        </xdr:cNvPr>
        <xdr:cNvSpPr txBox="1">
          <a:spLocks noChangeArrowheads="1" noTextEdit="1"/>
        </xdr:cNvSpPr>
      </xdr:nvSpPr>
      <xdr:spPr bwMode="auto">
        <a:xfrm>
          <a:off x="1713726" y="2493844"/>
          <a:ext cx="457859" cy="220689"/>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150pF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515623</xdr:colOff>
      <xdr:row>11</xdr:row>
      <xdr:rowOff>143608</xdr:rowOff>
    </xdr:from>
    <xdr:to>
      <xdr:col>2</xdr:col>
      <xdr:colOff>32208</xdr:colOff>
      <xdr:row>13</xdr:row>
      <xdr:rowOff>44668</xdr:rowOff>
    </xdr:to>
    <xdr:sp macro="" textlink="'Variable Management'!B253">
      <xdr:nvSpPr>
        <xdr:cNvPr id="67" name="Text Box 263">
          <a:extLst>
            <a:ext uri="{FF2B5EF4-FFF2-40B4-BE49-F238E27FC236}">
              <a16:creationId xmlns:a16="http://schemas.microsoft.com/office/drawing/2014/main" id="{00000000-0008-0000-0100-000043000000}"/>
            </a:ext>
          </a:extLst>
        </xdr:cNvPr>
        <xdr:cNvSpPr txBox="1">
          <a:spLocks noChangeArrowheads="1" noTextEdit="1"/>
        </xdr:cNvSpPr>
      </xdr:nvSpPr>
      <xdr:spPr bwMode="auto">
        <a:xfrm>
          <a:off x="1096648" y="1924783"/>
          <a:ext cx="507185" cy="224910"/>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8.25kΩ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356528</xdr:colOff>
      <xdr:row>18</xdr:row>
      <xdr:rowOff>61578</xdr:rowOff>
    </xdr:from>
    <xdr:to>
      <xdr:col>1</xdr:col>
      <xdr:colOff>377166</xdr:colOff>
      <xdr:row>19</xdr:row>
      <xdr:rowOff>133733</xdr:rowOff>
    </xdr:to>
    <xdr:sp macro="" textlink="'Variable Management'!B259">
      <xdr:nvSpPr>
        <xdr:cNvPr id="68" name="Text Box 264">
          <a:extLst>
            <a:ext uri="{FF2B5EF4-FFF2-40B4-BE49-F238E27FC236}">
              <a16:creationId xmlns:a16="http://schemas.microsoft.com/office/drawing/2014/main" id="{00000000-0008-0000-0100-000044000000}"/>
            </a:ext>
          </a:extLst>
        </xdr:cNvPr>
        <xdr:cNvSpPr txBox="1">
          <a:spLocks noChangeArrowheads="1" noTextEdit="1"/>
        </xdr:cNvSpPr>
      </xdr:nvSpPr>
      <xdr:spPr bwMode="auto">
        <a:xfrm>
          <a:off x="356528" y="2976228"/>
          <a:ext cx="601663" cy="234080"/>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3.83kΩ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244965</xdr:colOff>
      <xdr:row>8</xdr:row>
      <xdr:rowOff>134872</xdr:rowOff>
    </xdr:from>
    <xdr:to>
      <xdr:col>1</xdr:col>
      <xdr:colOff>68096</xdr:colOff>
      <xdr:row>10</xdr:row>
      <xdr:rowOff>74137</xdr:rowOff>
    </xdr:to>
    <xdr:sp macro="" textlink="'Variable Management'!B256">
      <xdr:nvSpPr>
        <xdr:cNvPr id="69" name="Text Box 265">
          <a:extLst>
            <a:ext uri="{FF2B5EF4-FFF2-40B4-BE49-F238E27FC236}">
              <a16:creationId xmlns:a16="http://schemas.microsoft.com/office/drawing/2014/main" id="{00000000-0008-0000-0100-000045000000}"/>
            </a:ext>
          </a:extLst>
        </xdr:cNvPr>
        <xdr:cNvSpPr txBox="1">
          <a:spLocks noChangeArrowheads="1" noTextEdit="1"/>
        </xdr:cNvSpPr>
      </xdr:nvSpPr>
      <xdr:spPr bwMode="auto">
        <a:xfrm>
          <a:off x="244965" y="1430272"/>
          <a:ext cx="404156" cy="263115"/>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412Ω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204878</xdr:colOff>
      <xdr:row>11</xdr:row>
      <xdr:rowOff>154348</xdr:rowOff>
    </xdr:from>
    <xdr:to>
      <xdr:col>1</xdr:col>
      <xdr:colOff>112423</xdr:colOff>
      <xdr:row>13</xdr:row>
      <xdr:rowOff>14971</xdr:rowOff>
    </xdr:to>
    <xdr:sp macro="" textlink="'Variable Management'!B257">
      <xdr:nvSpPr>
        <xdr:cNvPr id="70" name="Text Box 266">
          <a:extLst>
            <a:ext uri="{FF2B5EF4-FFF2-40B4-BE49-F238E27FC236}">
              <a16:creationId xmlns:a16="http://schemas.microsoft.com/office/drawing/2014/main" id="{00000000-0008-0000-0100-000046000000}"/>
            </a:ext>
          </a:extLst>
        </xdr:cNvPr>
        <xdr:cNvSpPr txBox="1">
          <a:spLocks noChangeArrowheads="1" noTextEdit="1"/>
        </xdr:cNvSpPr>
      </xdr:nvSpPr>
      <xdr:spPr bwMode="auto">
        <a:xfrm>
          <a:off x="204878" y="1935523"/>
          <a:ext cx="488570" cy="184473"/>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1500pF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177936</xdr:colOff>
      <xdr:row>19</xdr:row>
      <xdr:rowOff>59573</xdr:rowOff>
    </xdr:from>
    <xdr:to>
      <xdr:col>8</xdr:col>
      <xdr:colOff>678835</xdr:colOff>
      <xdr:row>20</xdr:row>
      <xdr:rowOff>104600</xdr:rowOff>
    </xdr:to>
    <xdr:sp macro="" textlink="'Variable Management'!B243">
      <xdr:nvSpPr>
        <xdr:cNvPr id="71" name="Text Box 267">
          <a:extLst>
            <a:ext uri="{FF2B5EF4-FFF2-40B4-BE49-F238E27FC236}">
              <a16:creationId xmlns:a16="http://schemas.microsoft.com/office/drawing/2014/main" id="{00000000-0008-0000-0100-000047000000}"/>
            </a:ext>
          </a:extLst>
        </xdr:cNvPr>
        <xdr:cNvSpPr txBox="1">
          <a:spLocks noChangeArrowheads="1" noTextEdit="1"/>
        </xdr:cNvSpPr>
      </xdr:nvSpPr>
      <xdr:spPr bwMode="auto">
        <a:xfrm>
          <a:off x="8417061" y="3136148"/>
          <a:ext cx="500899" cy="206952"/>
        </a:xfrm>
        <a:prstGeom prst="rect">
          <a:avLst/>
        </a:prstGeom>
        <a:noFill/>
        <a:ln w="9525">
          <a:noFill/>
          <a:miter lim="800000"/>
          <a:headEnd/>
          <a:tailEnd/>
        </a:ln>
      </xdr:spPr>
      <xdr:txBody>
        <a:bodyPr vertOverflow="clip" wrap="square" lIns="27432" tIns="22860" rIns="0" bIns="0" anchor="ctr" upright="1"/>
        <a:lstStyle/>
        <a:p>
          <a:pPr algn="l" rtl="0">
            <a:defRPr sz="1000"/>
          </a:pPr>
          <a:fld id="{DEF62FD0-959B-4627-B7E8-61CA1688D174}" type="TxLink">
            <a:rPr lang="en-US" sz="1000" b="0" i="0" u="none" strike="noStrike" baseline="0">
              <a:solidFill>
                <a:srgbClr val="000000"/>
              </a:solidFill>
              <a:latin typeface="Arial" pitchFamily="34" charset="0"/>
              <a:cs typeface="Arial" pitchFamily="34" charset="0"/>
            </a:rPr>
            <a:pPr algn="l" rtl="0">
              <a:defRPr sz="1000"/>
            </a:pPr>
            <a:t>330µF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566257</xdr:colOff>
      <xdr:row>8</xdr:row>
      <xdr:rowOff>121777</xdr:rowOff>
    </xdr:from>
    <xdr:to>
      <xdr:col>2</xdr:col>
      <xdr:colOff>96724</xdr:colOff>
      <xdr:row>10</xdr:row>
      <xdr:rowOff>98078</xdr:rowOff>
    </xdr:to>
    <xdr:sp macro="" textlink="'Variable Management'!B258">
      <xdr:nvSpPr>
        <xdr:cNvPr id="72" name="Text Box 268">
          <a:extLst>
            <a:ext uri="{FF2B5EF4-FFF2-40B4-BE49-F238E27FC236}">
              <a16:creationId xmlns:a16="http://schemas.microsoft.com/office/drawing/2014/main" id="{00000000-0008-0000-0100-000048000000}"/>
            </a:ext>
          </a:extLst>
        </xdr:cNvPr>
        <xdr:cNvSpPr txBox="1">
          <a:spLocks noChangeArrowheads="1" noTextEdit="1"/>
        </xdr:cNvSpPr>
      </xdr:nvSpPr>
      <xdr:spPr bwMode="auto">
        <a:xfrm>
          <a:off x="1147282" y="1417177"/>
          <a:ext cx="521067" cy="300151"/>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20kΩ</a:t>
          </a:fld>
          <a:endParaRPr lang="el-GR" sz="1000" b="0" i="0" strike="noStrike">
            <a:solidFill>
              <a:srgbClr val="000000"/>
            </a:solidFill>
            <a:latin typeface="Arial" pitchFamily="34" charset="0"/>
            <a:cs typeface="Arial" pitchFamily="34" charset="0"/>
          </a:endParaRPr>
        </a:p>
      </xdr:txBody>
    </xdr:sp>
    <xdr:clientData/>
  </xdr:twoCellAnchor>
  <xdr:twoCellAnchor>
    <xdr:from>
      <xdr:col>4</xdr:col>
      <xdr:colOff>1061314</xdr:colOff>
      <xdr:row>29</xdr:row>
      <xdr:rowOff>133626</xdr:rowOff>
    </xdr:from>
    <xdr:to>
      <xdr:col>5</xdr:col>
      <xdr:colOff>482771</xdr:colOff>
      <xdr:row>31</xdr:row>
      <xdr:rowOff>28691</xdr:rowOff>
    </xdr:to>
    <xdr:sp macro="" textlink="'Variable Management'!B268">
      <xdr:nvSpPr>
        <xdr:cNvPr id="73" name="Text Box 270">
          <a:extLst>
            <a:ext uri="{FF2B5EF4-FFF2-40B4-BE49-F238E27FC236}">
              <a16:creationId xmlns:a16="http://schemas.microsoft.com/office/drawing/2014/main" id="{00000000-0008-0000-0100-000049000000}"/>
            </a:ext>
          </a:extLst>
        </xdr:cNvPr>
        <xdr:cNvSpPr txBox="1">
          <a:spLocks noChangeArrowheads="1" noTextEdit="1"/>
        </xdr:cNvSpPr>
      </xdr:nvSpPr>
      <xdr:spPr bwMode="auto">
        <a:xfrm>
          <a:off x="5052289" y="4829451"/>
          <a:ext cx="573982" cy="218915"/>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324Ω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343183</xdr:colOff>
      <xdr:row>15</xdr:row>
      <xdr:rowOff>57751</xdr:rowOff>
    </xdr:from>
    <xdr:to>
      <xdr:col>7</xdr:col>
      <xdr:colOff>794653</xdr:colOff>
      <xdr:row>17</xdr:row>
      <xdr:rowOff>4762</xdr:rowOff>
    </xdr:to>
    <xdr:sp macro="" textlink="'Variable Management'!B238">
      <xdr:nvSpPr>
        <xdr:cNvPr id="74" name="Text Box 275">
          <a:extLst>
            <a:ext uri="{FF2B5EF4-FFF2-40B4-BE49-F238E27FC236}">
              <a16:creationId xmlns:a16="http://schemas.microsoft.com/office/drawing/2014/main" id="{00000000-0008-0000-0100-00004A000000}"/>
            </a:ext>
          </a:extLst>
        </xdr:cNvPr>
        <xdr:cNvSpPr txBox="1">
          <a:spLocks noChangeArrowheads="1" noTextEdit="1"/>
        </xdr:cNvSpPr>
      </xdr:nvSpPr>
      <xdr:spPr bwMode="auto">
        <a:xfrm>
          <a:off x="7505983" y="2486626"/>
          <a:ext cx="451470" cy="270861"/>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3.3µH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177360</xdr:colOff>
      <xdr:row>19</xdr:row>
      <xdr:rowOff>98873</xdr:rowOff>
    </xdr:from>
    <xdr:to>
      <xdr:col>7</xdr:col>
      <xdr:colOff>650035</xdr:colOff>
      <xdr:row>20</xdr:row>
      <xdr:rowOff>158477</xdr:rowOff>
    </xdr:to>
    <xdr:sp macro="" textlink="'Variable Management'!B248">
      <xdr:nvSpPr>
        <xdr:cNvPr id="75" name="Text Box 276">
          <a:extLst>
            <a:ext uri="{FF2B5EF4-FFF2-40B4-BE49-F238E27FC236}">
              <a16:creationId xmlns:a16="http://schemas.microsoft.com/office/drawing/2014/main" id="{00000000-0008-0000-0100-00004B000000}"/>
            </a:ext>
          </a:extLst>
        </xdr:cNvPr>
        <xdr:cNvSpPr txBox="1">
          <a:spLocks noChangeArrowheads="1" noTextEdit="1"/>
        </xdr:cNvSpPr>
      </xdr:nvSpPr>
      <xdr:spPr bwMode="auto">
        <a:xfrm>
          <a:off x="7340160" y="3175448"/>
          <a:ext cx="472675" cy="221529"/>
        </a:xfrm>
        <a:prstGeom prst="rect">
          <a:avLst/>
        </a:prstGeom>
        <a:noFill/>
        <a:ln w="9525">
          <a:noFill/>
          <a:miter lim="800000"/>
          <a:headEnd/>
          <a:tailEnd/>
        </a:ln>
      </xdr:spPr>
      <xdr:txBody>
        <a:bodyPr vertOverflow="clip" wrap="square" lIns="27432" tIns="22860" rIns="0" bIns="0" anchor="ctr" upright="1"/>
        <a:lstStyle/>
        <a:p>
          <a:pPr algn="l" rtl="0">
            <a:defRPr sz="1000"/>
          </a:pPr>
          <a:fld id="{7E8F3901-1453-4951-8E28-510E65401D4C}" type="TxLink">
            <a:rPr lang="en-US" sz="1000" b="0" i="0" u="none" strike="noStrike" baseline="0">
              <a:solidFill>
                <a:srgbClr val="000000"/>
              </a:solidFill>
              <a:latin typeface="Arial" pitchFamily="34" charset="0"/>
              <a:cs typeface="Arial" pitchFamily="34" charset="0"/>
            </a:rPr>
            <a:pPr algn="l" rtl="0">
              <a:defRPr sz="1000"/>
            </a:pPr>
            <a:t>24µF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5</xdr:col>
      <xdr:colOff>821818</xdr:colOff>
      <xdr:row>7</xdr:row>
      <xdr:rowOff>18235</xdr:rowOff>
    </xdr:from>
    <xdr:to>
      <xdr:col>5</xdr:col>
      <xdr:colOff>1193296</xdr:colOff>
      <xdr:row>8</xdr:row>
      <xdr:rowOff>91321</xdr:rowOff>
    </xdr:to>
    <xdr:sp macro="" textlink="">
      <xdr:nvSpPr>
        <xdr:cNvPr id="76" name="Text Box 279">
          <a:extLst>
            <a:ext uri="{FF2B5EF4-FFF2-40B4-BE49-F238E27FC236}">
              <a16:creationId xmlns:a16="http://schemas.microsoft.com/office/drawing/2014/main" id="{00000000-0008-0000-0100-00004C000000}"/>
            </a:ext>
          </a:extLst>
        </xdr:cNvPr>
        <xdr:cNvSpPr txBox="1">
          <a:spLocks noChangeArrowheads="1"/>
        </xdr:cNvSpPr>
      </xdr:nvSpPr>
      <xdr:spPr bwMode="auto">
        <a:xfrm>
          <a:off x="5965318" y="1151710"/>
          <a:ext cx="371478" cy="235011"/>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2</xdr:col>
      <xdr:colOff>605783</xdr:colOff>
      <xdr:row>11</xdr:row>
      <xdr:rowOff>155763</xdr:rowOff>
    </xdr:from>
    <xdr:to>
      <xdr:col>2</xdr:col>
      <xdr:colOff>959407</xdr:colOff>
      <xdr:row>13</xdr:row>
      <xdr:rowOff>66735</xdr:rowOff>
    </xdr:to>
    <xdr:sp macro="" textlink="'Variable Management'!B276">
      <xdr:nvSpPr>
        <xdr:cNvPr id="77" name="Text Box 281">
          <a:extLst>
            <a:ext uri="{FF2B5EF4-FFF2-40B4-BE49-F238E27FC236}">
              <a16:creationId xmlns:a16="http://schemas.microsoft.com/office/drawing/2014/main" id="{00000000-0008-0000-0100-00004D000000}"/>
            </a:ext>
          </a:extLst>
        </xdr:cNvPr>
        <xdr:cNvSpPr txBox="1">
          <a:spLocks noChangeArrowheads="1" noTextEdit="1"/>
        </xdr:cNvSpPr>
      </xdr:nvSpPr>
      <xdr:spPr bwMode="auto">
        <a:xfrm>
          <a:off x="2177408" y="1936938"/>
          <a:ext cx="353624" cy="234822"/>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56nF</a:t>
          </a:fld>
          <a:endParaRPr lang="en-US" sz="1000" b="0" i="0" strike="noStrike">
            <a:solidFill>
              <a:srgbClr val="000000"/>
            </a:solidFill>
            <a:latin typeface="Arial" pitchFamily="34" charset="0"/>
            <a:cs typeface="Arial" pitchFamily="34" charset="0"/>
          </a:endParaRPr>
        </a:p>
      </xdr:txBody>
    </xdr:sp>
    <xdr:clientData/>
  </xdr:twoCellAnchor>
  <xdr:twoCellAnchor>
    <xdr:from>
      <xdr:col>7</xdr:col>
      <xdr:colOff>150027</xdr:colOff>
      <xdr:row>5</xdr:row>
      <xdr:rowOff>138246</xdr:rowOff>
    </xdr:from>
    <xdr:to>
      <xdr:col>7</xdr:col>
      <xdr:colOff>518367</xdr:colOff>
      <xdr:row>7</xdr:row>
      <xdr:rowOff>58919</xdr:rowOff>
    </xdr:to>
    <xdr:sp macro="" textlink="'Variable Management'!B280">
      <xdr:nvSpPr>
        <xdr:cNvPr id="78" name="Text Box 283">
          <a:extLst>
            <a:ext uri="{FF2B5EF4-FFF2-40B4-BE49-F238E27FC236}">
              <a16:creationId xmlns:a16="http://schemas.microsoft.com/office/drawing/2014/main" id="{00000000-0008-0000-0100-00004E000000}"/>
            </a:ext>
          </a:extLst>
        </xdr:cNvPr>
        <xdr:cNvSpPr txBox="1">
          <a:spLocks noChangeArrowheads="1" noTextEdit="1"/>
        </xdr:cNvSpPr>
      </xdr:nvSpPr>
      <xdr:spPr bwMode="auto">
        <a:xfrm>
          <a:off x="7302436" y="960860"/>
          <a:ext cx="368340" cy="249718"/>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12V</a:t>
          </a:fld>
          <a:endParaRPr lang="en-US" sz="1200" b="1" i="0" strike="noStrike">
            <a:solidFill>
              <a:srgbClr val="FF0000"/>
            </a:solidFill>
            <a:latin typeface="Arial" pitchFamily="34" charset="0"/>
            <a:cs typeface="Arial" pitchFamily="34" charset="0"/>
          </a:endParaRPr>
        </a:p>
      </xdr:txBody>
    </xdr:sp>
    <xdr:clientData/>
  </xdr:twoCellAnchor>
  <xdr:twoCellAnchor>
    <xdr:from>
      <xdr:col>8</xdr:col>
      <xdr:colOff>393381</xdr:colOff>
      <xdr:row>16</xdr:row>
      <xdr:rowOff>7308</xdr:rowOff>
    </xdr:from>
    <xdr:to>
      <xdr:col>8</xdr:col>
      <xdr:colOff>874043</xdr:colOff>
      <xdr:row>17</xdr:row>
      <xdr:rowOff>74653</xdr:rowOff>
    </xdr:to>
    <xdr:sp macro="" textlink="'Variable Management'!B241">
      <xdr:nvSpPr>
        <xdr:cNvPr id="79" name="Text Box 285">
          <a:extLst>
            <a:ext uri="{FF2B5EF4-FFF2-40B4-BE49-F238E27FC236}">
              <a16:creationId xmlns:a16="http://schemas.microsoft.com/office/drawing/2014/main" id="{00000000-0008-0000-0100-00004F000000}"/>
            </a:ext>
          </a:extLst>
        </xdr:cNvPr>
        <xdr:cNvSpPr txBox="1">
          <a:spLocks noChangeArrowheads="1" noTextEdit="1"/>
        </xdr:cNvSpPr>
      </xdr:nvSpPr>
      <xdr:spPr bwMode="auto">
        <a:xfrm>
          <a:off x="8619517" y="2639672"/>
          <a:ext cx="480662" cy="231867"/>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5V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8</xdr:col>
      <xdr:colOff>393381</xdr:colOff>
      <xdr:row>17</xdr:row>
      <xdr:rowOff>49737</xdr:rowOff>
    </xdr:from>
    <xdr:to>
      <xdr:col>8</xdr:col>
      <xdr:colOff>885707</xdr:colOff>
      <xdr:row>18</xdr:row>
      <xdr:rowOff>128052</xdr:rowOff>
    </xdr:to>
    <xdr:sp macro="" textlink="'Variable Management'!B279">
      <xdr:nvSpPr>
        <xdr:cNvPr id="80" name="Text Box 286">
          <a:extLst>
            <a:ext uri="{FF2B5EF4-FFF2-40B4-BE49-F238E27FC236}">
              <a16:creationId xmlns:a16="http://schemas.microsoft.com/office/drawing/2014/main" id="{00000000-0008-0000-0100-000050000000}"/>
            </a:ext>
          </a:extLst>
        </xdr:cNvPr>
        <xdr:cNvSpPr txBox="1">
          <a:spLocks noChangeArrowheads="1" noTextEdit="1"/>
        </xdr:cNvSpPr>
      </xdr:nvSpPr>
      <xdr:spPr bwMode="auto">
        <a:xfrm>
          <a:off x="8619517" y="2846623"/>
          <a:ext cx="492326" cy="242838"/>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12A</a:t>
          </a:fld>
          <a:endParaRPr lang="en-US" sz="1200" b="1" i="0" strike="noStrike">
            <a:solidFill>
              <a:srgbClr val="FF0000"/>
            </a:solidFill>
            <a:latin typeface="Arial" pitchFamily="34" charset="0"/>
            <a:cs typeface="Arial" pitchFamily="34" charset="0"/>
          </a:endParaRPr>
        </a:p>
      </xdr:txBody>
    </xdr:sp>
    <xdr:clientData/>
  </xdr:twoCellAnchor>
  <xdr:twoCellAnchor>
    <xdr:from>
      <xdr:col>3</xdr:col>
      <xdr:colOff>149916</xdr:colOff>
      <xdr:row>25</xdr:row>
      <xdr:rowOff>36345</xdr:rowOff>
    </xdr:from>
    <xdr:to>
      <xdr:col>3</xdr:col>
      <xdr:colOff>368991</xdr:colOff>
      <xdr:row>25</xdr:row>
      <xdr:rowOff>36345</xdr:rowOff>
    </xdr:to>
    <xdr:sp macro="" textlink="'Variable Management'!B292">
      <xdr:nvSpPr>
        <xdr:cNvPr id="81" name="Text Box 299">
          <a:extLst>
            <a:ext uri="{FF2B5EF4-FFF2-40B4-BE49-F238E27FC236}">
              <a16:creationId xmlns:a16="http://schemas.microsoft.com/office/drawing/2014/main" id="{00000000-0008-0000-0100-000051000000}"/>
            </a:ext>
          </a:extLst>
        </xdr:cNvPr>
        <xdr:cNvSpPr txBox="1">
          <a:spLocks noChangeArrowheads="1" noTextEdit="1"/>
        </xdr:cNvSpPr>
      </xdr:nvSpPr>
      <xdr:spPr bwMode="auto">
        <a:xfrm>
          <a:off x="2797866" y="4084470"/>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2</xdr:col>
      <xdr:colOff>805846</xdr:colOff>
      <xdr:row>6</xdr:row>
      <xdr:rowOff>114011</xdr:rowOff>
    </xdr:from>
    <xdr:to>
      <xdr:col>3</xdr:col>
      <xdr:colOff>110848</xdr:colOff>
      <xdr:row>8</xdr:row>
      <xdr:rowOff>45334</xdr:rowOff>
    </xdr:to>
    <xdr:sp macro="" textlink="">
      <xdr:nvSpPr>
        <xdr:cNvPr id="82" name="Text Box 251">
          <a:extLst>
            <a:ext uri="{FF2B5EF4-FFF2-40B4-BE49-F238E27FC236}">
              <a16:creationId xmlns:a16="http://schemas.microsoft.com/office/drawing/2014/main" id="{00000000-0008-0000-0100-000052000000}"/>
            </a:ext>
          </a:extLst>
        </xdr:cNvPr>
        <xdr:cNvSpPr txBox="1">
          <a:spLocks noChangeArrowheads="1"/>
        </xdr:cNvSpPr>
      </xdr:nvSpPr>
      <xdr:spPr bwMode="auto">
        <a:xfrm>
          <a:off x="2377471" y="1085561"/>
          <a:ext cx="381327" cy="25517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2</xdr:col>
      <xdr:colOff>633027</xdr:colOff>
      <xdr:row>8</xdr:row>
      <xdr:rowOff>9201</xdr:rowOff>
    </xdr:from>
    <xdr:to>
      <xdr:col>3</xdr:col>
      <xdr:colOff>87375</xdr:colOff>
      <xdr:row>9</xdr:row>
      <xdr:rowOff>82979</xdr:rowOff>
    </xdr:to>
    <xdr:sp macro="" textlink="'Variable Management'!B275">
      <xdr:nvSpPr>
        <xdr:cNvPr id="83" name="Text Box 281">
          <a:extLst>
            <a:ext uri="{FF2B5EF4-FFF2-40B4-BE49-F238E27FC236}">
              <a16:creationId xmlns:a16="http://schemas.microsoft.com/office/drawing/2014/main" id="{00000000-0008-0000-0100-000053000000}"/>
            </a:ext>
          </a:extLst>
        </xdr:cNvPr>
        <xdr:cNvSpPr txBox="1">
          <a:spLocks noChangeArrowheads="1" noTextEdit="1"/>
        </xdr:cNvSpPr>
      </xdr:nvSpPr>
      <xdr:spPr bwMode="auto">
        <a:xfrm>
          <a:off x="2204652" y="1304601"/>
          <a:ext cx="530673" cy="235703"/>
        </a:xfrm>
        <a:prstGeom prst="rect">
          <a:avLst/>
        </a:prstGeom>
        <a:noFill/>
        <a:ln w="9525">
          <a:noFill/>
          <a:miter lim="800000"/>
          <a:headEnd/>
          <a:tailEnd/>
        </a:ln>
      </xdr:spPr>
      <xdr:txBody>
        <a:bodyPr vertOverflow="clip" wrap="square" lIns="27432" tIns="22860" rIns="0" bIns="0" anchor="t" upright="1"/>
        <a:lstStyle/>
        <a:p>
          <a:pPr algn="r" rtl="0">
            <a:defRPr sz="1000"/>
          </a:pPr>
          <a:fld id="{84EB9262-B954-486D-9975-AAB24967BDAC}" type="TxLink">
            <a:rPr lang="en-US" sz="1000" b="0" i="0" u="none" strike="noStrike">
              <a:solidFill>
                <a:srgbClr val="000000"/>
              </a:solidFill>
              <a:latin typeface="Arial" pitchFamily="34" charset="0"/>
              <a:cs typeface="Arial" pitchFamily="34" charset="0"/>
            </a:rPr>
            <a:pPr algn="r" rtl="0">
              <a:defRPr sz="1000"/>
            </a:pPr>
            <a:t>40.2kΩ</a:t>
          </a:fld>
          <a:endParaRPr lang="en-US" sz="1000" b="0" i="0" strike="noStrike">
            <a:solidFill>
              <a:srgbClr val="000000"/>
            </a:solidFill>
            <a:latin typeface="Arial" pitchFamily="34" charset="0"/>
            <a:cs typeface="Arial" pitchFamily="34" charset="0"/>
          </a:endParaRPr>
        </a:p>
      </xdr:txBody>
    </xdr:sp>
    <xdr:clientData/>
  </xdr:twoCellAnchor>
  <xdr:twoCellAnchor>
    <xdr:from>
      <xdr:col>5</xdr:col>
      <xdr:colOff>796619</xdr:colOff>
      <xdr:row>5</xdr:row>
      <xdr:rowOff>157998</xdr:rowOff>
    </xdr:from>
    <xdr:to>
      <xdr:col>5</xdr:col>
      <xdr:colOff>1188635</xdr:colOff>
      <xdr:row>7</xdr:row>
      <xdr:rowOff>57711</xdr:rowOff>
    </xdr:to>
    <xdr:sp macro="" textlink="">
      <xdr:nvSpPr>
        <xdr:cNvPr id="84" name="Text Box 247">
          <a:extLst>
            <a:ext uri="{FF2B5EF4-FFF2-40B4-BE49-F238E27FC236}">
              <a16:creationId xmlns:a16="http://schemas.microsoft.com/office/drawing/2014/main" id="{00000000-0008-0000-0100-000054000000}"/>
            </a:ext>
          </a:extLst>
        </xdr:cNvPr>
        <xdr:cNvSpPr txBox="1">
          <a:spLocks noChangeArrowheads="1"/>
        </xdr:cNvSpPr>
      </xdr:nvSpPr>
      <xdr:spPr bwMode="auto">
        <a:xfrm>
          <a:off x="5940119" y="967623"/>
          <a:ext cx="392016" cy="223563"/>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6</xdr:col>
      <xdr:colOff>273061</xdr:colOff>
      <xdr:row>15</xdr:row>
      <xdr:rowOff>99032</xdr:rowOff>
    </xdr:from>
    <xdr:to>
      <xdr:col>6</xdr:col>
      <xdr:colOff>599416</xdr:colOff>
      <xdr:row>17</xdr:row>
      <xdr:rowOff>66061</xdr:rowOff>
    </xdr:to>
    <xdr:sp macro="" textlink="">
      <xdr:nvSpPr>
        <xdr:cNvPr id="85" name="Text Box 244">
          <a:extLst>
            <a:ext uri="{FF2B5EF4-FFF2-40B4-BE49-F238E27FC236}">
              <a16:creationId xmlns:a16="http://schemas.microsoft.com/office/drawing/2014/main" id="{00000000-0008-0000-0100-000055000000}"/>
            </a:ext>
          </a:extLst>
        </xdr:cNvPr>
        <xdr:cNvSpPr txBox="1">
          <a:spLocks noChangeArrowheads="1"/>
        </xdr:cNvSpPr>
      </xdr:nvSpPr>
      <xdr:spPr bwMode="auto">
        <a:xfrm>
          <a:off x="6791733" y="2510048"/>
          <a:ext cx="326355" cy="28849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6</xdr:col>
      <xdr:colOff>268269</xdr:colOff>
      <xdr:row>10</xdr:row>
      <xdr:rowOff>4039</xdr:rowOff>
    </xdr:from>
    <xdr:to>
      <xdr:col>6</xdr:col>
      <xdr:colOff>593433</xdr:colOff>
      <xdr:row>11</xdr:row>
      <xdr:rowOff>107860</xdr:rowOff>
    </xdr:to>
    <xdr:sp macro="" textlink="">
      <xdr:nvSpPr>
        <xdr:cNvPr id="86" name="Text Box 244">
          <a:extLst>
            <a:ext uri="{FF2B5EF4-FFF2-40B4-BE49-F238E27FC236}">
              <a16:creationId xmlns:a16="http://schemas.microsoft.com/office/drawing/2014/main" id="{00000000-0008-0000-0100-000056000000}"/>
            </a:ext>
          </a:extLst>
        </xdr:cNvPr>
        <xdr:cNvSpPr txBox="1">
          <a:spLocks noChangeArrowheads="1"/>
        </xdr:cNvSpPr>
      </xdr:nvSpPr>
      <xdr:spPr bwMode="auto">
        <a:xfrm>
          <a:off x="6786941" y="1611383"/>
          <a:ext cx="325164" cy="264555"/>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3</xdr:col>
      <xdr:colOff>573070</xdr:colOff>
      <xdr:row>2</xdr:row>
      <xdr:rowOff>29194</xdr:rowOff>
    </xdr:from>
    <xdr:to>
      <xdr:col>3</xdr:col>
      <xdr:colOff>1131993</xdr:colOff>
      <xdr:row>3</xdr:row>
      <xdr:rowOff>84127</xdr:rowOff>
    </xdr:to>
    <xdr:sp macro="" textlink="'Variable Management'!G98">
      <xdr:nvSpPr>
        <xdr:cNvPr id="87" name="Text Box 264">
          <a:extLst>
            <a:ext uri="{FF2B5EF4-FFF2-40B4-BE49-F238E27FC236}">
              <a16:creationId xmlns:a16="http://schemas.microsoft.com/office/drawing/2014/main" id="{00000000-0008-0000-0100-000057000000}"/>
            </a:ext>
          </a:extLst>
        </xdr:cNvPr>
        <xdr:cNvSpPr txBox="1">
          <a:spLocks noChangeArrowheads="1" noTextEdit="1"/>
        </xdr:cNvSpPr>
      </xdr:nvSpPr>
      <xdr:spPr bwMode="auto">
        <a:xfrm>
          <a:off x="3221020" y="353044"/>
          <a:ext cx="558923" cy="216858"/>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11.3kΩ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3</xdr:col>
      <xdr:colOff>750129</xdr:colOff>
      <xdr:row>0</xdr:row>
      <xdr:rowOff>148095</xdr:rowOff>
    </xdr:from>
    <xdr:to>
      <xdr:col>3</xdr:col>
      <xdr:colOff>1156581</xdr:colOff>
      <xdr:row>2</xdr:row>
      <xdr:rowOff>28577</xdr:rowOff>
    </xdr:to>
    <xdr:sp macro="" textlink="">
      <xdr:nvSpPr>
        <xdr:cNvPr id="88" name="Text Box 255">
          <a:extLst>
            <a:ext uri="{FF2B5EF4-FFF2-40B4-BE49-F238E27FC236}">
              <a16:creationId xmlns:a16="http://schemas.microsoft.com/office/drawing/2014/main" id="{00000000-0008-0000-0100-000058000000}"/>
            </a:ext>
          </a:extLst>
        </xdr:cNvPr>
        <xdr:cNvSpPr txBox="1">
          <a:spLocks noChangeArrowheads="1"/>
        </xdr:cNvSpPr>
      </xdr:nvSpPr>
      <xdr:spPr bwMode="auto">
        <a:xfrm>
          <a:off x="3398079" y="148095"/>
          <a:ext cx="406452" cy="20433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3</xdr:col>
      <xdr:colOff>1312561</xdr:colOff>
      <xdr:row>2</xdr:row>
      <xdr:rowOff>41604</xdr:rowOff>
    </xdr:from>
    <xdr:to>
      <xdr:col>4</xdr:col>
      <xdr:colOff>527030</xdr:colOff>
      <xdr:row>3</xdr:row>
      <xdr:rowOff>90311</xdr:rowOff>
    </xdr:to>
    <xdr:sp macro="" textlink="'Variable Management'!G97">
      <xdr:nvSpPr>
        <xdr:cNvPr id="90" name="Text Box 264">
          <a:extLst>
            <a:ext uri="{FF2B5EF4-FFF2-40B4-BE49-F238E27FC236}">
              <a16:creationId xmlns:a16="http://schemas.microsoft.com/office/drawing/2014/main" id="{00000000-0008-0000-0100-00005A000000}"/>
            </a:ext>
          </a:extLst>
        </xdr:cNvPr>
        <xdr:cNvSpPr txBox="1">
          <a:spLocks noChangeArrowheads="1" noTextEdit="1"/>
        </xdr:cNvSpPr>
      </xdr:nvSpPr>
      <xdr:spPr bwMode="auto">
        <a:xfrm>
          <a:off x="3960511" y="365454"/>
          <a:ext cx="557494" cy="210632"/>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49.9kΩ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4</xdr:col>
      <xdr:colOff>100688</xdr:colOff>
      <xdr:row>0</xdr:row>
      <xdr:rowOff>153602</xdr:rowOff>
    </xdr:from>
    <xdr:to>
      <xdr:col>4</xdr:col>
      <xdr:colOff>506696</xdr:colOff>
      <xdr:row>2</xdr:row>
      <xdr:rowOff>41474</xdr:rowOff>
    </xdr:to>
    <xdr:sp macro="" textlink="">
      <xdr:nvSpPr>
        <xdr:cNvPr id="91" name="Text Box 255">
          <a:extLst>
            <a:ext uri="{FF2B5EF4-FFF2-40B4-BE49-F238E27FC236}">
              <a16:creationId xmlns:a16="http://schemas.microsoft.com/office/drawing/2014/main" id="{00000000-0008-0000-0100-00005B000000}"/>
            </a:ext>
          </a:extLst>
        </xdr:cNvPr>
        <xdr:cNvSpPr txBox="1">
          <a:spLocks noChangeArrowheads="1"/>
        </xdr:cNvSpPr>
      </xdr:nvSpPr>
      <xdr:spPr bwMode="auto">
        <a:xfrm>
          <a:off x="4091663" y="153602"/>
          <a:ext cx="406008" cy="211722"/>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7</xdr:col>
      <xdr:colOff>322044</xdr:colOff>
      <xdr:row>16</xdr:row>
      <xdr:rowOff>70024</xdr:rowOff>
    </xdr:from>
    <xdr:to>
      <xdr:col>7</xdr:col>
      <xdr:colOff>835467</xdr:colOff>
      <xdr:row>18</xdr:row>
      <xdr:rowOff>8868</xdr:rowOff>
    </xdr:to>
    <xdr:sp macro="" textlink="'Variable Management'!B239">
      <xdr:nvSpPr>
        <xdr:cNvPr id="92" name="Text Box 275">
          <a:extLst>
            <a:ext uri="{FF2B5EF4-FFF2-40B4-BE49-F238E27FC236}">
              <a16:creationId xmlns:a16="http://schemas.microsoft.com/office/drawing/2014/main" id="{00000000-0008-0000-0100-00005C000000}"/>
            </a:ext>
          </a:extLst>
        </xdr:cNvPr>
        <xdr:cNvSpPr txBox="1">
          <a:spLocks noChangeArrowheads="1" noTextEdit="1"/>
        </xdr:cNvSpPr>
      </xdr:nvSpPr>
      <xdr:spPr bwMode="auto">
        <a:xfrm>
          <a:off x="7484844" y="2660824"/>
          <a:ext cx="513423" cy="262694"/>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6.8mΩ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3</xdr:col>
      <xdr:colOff>1335973</xdr:colOff>
      <xdr:row>27</xdr:row>
      <xdr:rowOff>72440</xdr:rowOff>
    </xdr:from>
    <xdr:to>
      <xdr:col>4</xdr:col>
      <xdr:colOff>475601</xdr:colOff>
      <xdr:row>28</xdr:row>
      <xdr:rowOff>141627</xdr:rowOff>
    </xdr:to>
    <xdr:sp macro="" textlink="">
      <xdr:nvSpPr>
        <xdr:cNvPr id="94" name="Text Box 245">
          <a:extLst>
            <a:ext uri="{FF2B5EF4-FFF2-40B4-BE49-F238E27FC236}">
              <a16:creationId xmlns:a16="http://schemas.microsoft.com/office/drawing/2014/main" id="{00000000-0008-0000-0100-00005E000000}"/>
            </a:ext>
          </a:extLst>
        </xdr:cNvPr>
        <xdr:cNvSpPr txBox="1">
          <a:spLocks noChangeArrowheads="1"/>
        </xdr:cNvSpPr>
      </xdr:nvSpPr>
      <xdr:spPr bwMode="auto">
        <a:xfrm>
          <a:off x="3983923" y="4444415"/>
          <a:ext cx="482653" cy="23111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4</xdr:col>
      <xdr:colOff>69827</xdr:colOff>
      <xdr:row>28</xdr:row>
      <xdr:rowOff>93013</xdr:rowOff>
    </xdr:from>
    <xdr:to>
      <xdr:col>4</xdr:col>
      <xdr:colOff>673233</xdr:colOff>
      <xdr:row>30</xdr:row>
      <xdr:rowOff>13199</xdr:rowOff>
    </xdr:to>
    <xdr:sp macro="" textlink="'Variable Management'!B274">
      <xdr:nvSpPr>
        <xdr:cNvPr id="95" name="Text Box 281">
          <a:extLst>
            <a:ext uri="{FF2B5EF4-FFF2-40B4-BE49-F238E27FC236}">
              <a16:creationId xmlns:a16="http://schemas.microsoft.com/office/drawing/2014/main" id="{00000000-0008-0000-0100-00005F000000}"/>
            </a:ext>
          </a:extLst>
        </xdr:cNvPr>
        <xdr:cNvSpPr txBox="1">
          <a:spLocks noChangeArrowheads="1" noTextEdit="1"/>
        </xdr:cNvSpPr>
      </xdr:nvSpPr>
      <xdr:spPr bwMode="auto">
        <a:xfrm>
          <a:off x="4060802" y="4626913"/>
          <a:ext cx="603406" cy="244036"/>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xdr:twoCellAnchor>
    <xdr:from>
      <xdr:col>6</xdr:col>
      <xdr:colOff>282563</xdr:colOff>
      <xdr:row>21</xdr:row>
      <xdr:rowOff>107537</xdr:rowOff>
    </xdr:from>
    <xdr:to>
      <xdr:col>7</xdr:col>
      <xdr:colOff>205861</xdr:colOff>
      <xdr:row>23</xdr:row>
      <xdr:rowOff>81997</xdr:rowOff>
    </xdr:to>
    <xdr:sp macro="" textlink="'Variable Management'!B269">
      <xdr:nvSpPr>
        <xdr:cNvPr id="96" name="Text Box 270">
          <a:extLst>
            <a:ext uri="{FF2B5EF4-FFF2-40B4-BE49-F238E27FC236}">
              <a16:creationId xmlns:a16="http://schemas.microsoft.com/office/drawing/2014/main" id="{00000000-0008-0000-0100-000060000000}"/>
            </a:ext>
          </a:extLst>
        </xdr:cNvPr>
        <xdr:cNvSpPr txBox="1">
          <a:spLocks noChangeArrowheads="1" noTextEdit="1"/>
        </xdr:cNvSpPr>
      </xdr:nvSpPr>
      <xdr:spPr bwMode="auto">
        <a:xfrm>
          <a:off x="6797663" y="3507962"/>
          <a:ext cx="570998" cy="298310"/>
        </a:xfrm>
        <a:prstGeom prst="rect">
          <a:avLst/>
        </a:prstGeom>
        <a:noFill/>
        <a:ln w="9525">
          <a:noFill/>
          <a:miter lim="800000"/>
          <a:headEnd/>
          <a:tailEnd/>
        </a:ln>
      </xdr:spPr>
      <xdr:txBody>
        <a:bodyPr vertOverflow="clip" wrap="square" lIns="27432" tIns="22860" rIns="0" bIns="0" anchor="t" upright="1"/>
        <a:lstStyle/>
        <a:p>
          <a:pPr algn="l" rtl="0">
            <a:defRPr sz="1000"/>
          </a:pPr>
          <a:fld id="{F42946D1-8FE8-49AF-9D04-282963231811}"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339713</xdr:colOff>
      <xdr:row>20</xdr:row>
      <xdr:rowOff>57427</xdr:rowOff>
    </xdr:from>
    <xdr:to>
      <xdr:col>7</xdr:col>
      <xdr:colOff>263011</xdr:colOff>
      <xdr:row>21</xdr:row>
      <xdr:rowOff>114417</xdr:rowOff>
    </xdr:to>
    <xdr:sp macro="" textlink="'Variable Management'!A269">
      <xdr:nvSpPr>
        <xdr:cNvPr id="142" name="Text Box 270">
          <a:extLst>
            <a:ext uri="{FF2B5EF4-FFF2-40B4-BE49-F238E27FC236}">
              <a16:creationId xmlns:a16="http://schemas.microsoft.com/office/drawing/2014/main" id="{00000000-0008-0000-0100-00008E000000}"/>
            </a:ext>
          </a:extLst>
        </xdr:cNvPr>
        <xdr:cNvSpPr txBox="1">
          <a:spLocks noChangeArrowheads="1" noTextEdit="1"/>
        </xdr:cNvSpPr>
      </xdr:nvSpPr>
      <xdr:spPr bwMode="auto">
        <a:xfrm>
          <a:off x="6854813" y="3295927"/>
          <a:ext cx="570998" cy="218915"/>
        </a:xfrm>
        <a:prstGeom prst="rect">
          <a:avLst/>
        </a:prstGeom>
        <a:noFill/>
        <a:ln w="9525">
          <a:noFill/>
          <a:miter lim="800000"/>
          <a:headEnd/>
          <a:tailEnd/>
        </a:ln>
      </xdr:spPr>
      <xdr:txBody>
        <a:bodyPr vertOverflow="clip" wrap="square" lIns="27432" tIns="22860" rIns="0" bIns="0" anchor="t" upright="1"/>
        <a:lstStyle/>
        <a:p>
          <a:pPr algn="l" rtl="0">
            <a:defRPr sz="1000"/>
          </a:pPr>
          <a:fld id="{0B8DE09B-9FBA-43A6-B4AA-E7FE551AB267}"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8</xdr:col>
          <xdr:colOff>0</xdr:colOff>
          <xdr:row>48</xdr:row>
          <xdr:rowOff>200025</xdr:rowOff>
        </xdr:to>
        <xdr:sp macro="" textlink="">
          <xdr:nvSpPr>
            <xdr:cNvPr id="673839" name="Drop Down 47" hidden="1">
              <a:extLst>
                <a:ext uri="{63B3BB69-23CF-44E3-9099-C40C66FF867C}">
                  <a14:compatExt spid="_x0000_s673839"/>
                </a:ext>
                <a:ext uri="{FF2B5EF4-FFF2-40B4-BE49-F238E27FC236}">
                  <a16:creationId xmlns:a16="http://schemas.microsoft.com/office/drawing/2014/main" id="{00000000-0008-0000-0100-00002F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49</xdr:row>
          <xdr:rowOff>0</xdr:rowOff>
        </xdr:from>
        <xdr:to>
          <xdr:col>8</xdr:col>
          <xdr:colOff>0</xdr:colOff>
          <xdr:row>49</xdr:row>
          <xdr:rowOff>200025</xdr:rowOff>
        </xdr:to>
        <xdr:sp macro="" textlink="">
          <xdr:nvSpPr>
            <xdr:cNvPr id="673840" name="Drop Down 48" hidden="1">
              <a:extLst>
                <a:ext uri="{63B3BB69-23CF-44E3-9099-C40C66FF867C}">
                  <a14:compatExt spid="_x0000_s673840"/>
                </a:ext>
                <a:ext uri="{FF2B5EF4-FFF2-40B4-BE49-F238E27FC236}">
                  <a16:creationId xmlns:a16="http://schemas.microsoft.com/office/drawing/2014/main" id="{00000000-0008-0000-0100-000030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37</xdr:row>
          <xdr:rowOff>0</xdr:rowOff>
        </xdr:from>
        <xdr:to>
          <xdr:col>7</xdr:col>
          <xdr:colOff>876300</xdr:colOff>
          <xdr:row>37</xdr:row>
          <xdr:rowOff>200025</xdr:rowOff>
        </xdr:to>
        <xdr:sp macro="" textlink="">
          <xdr:nvSpPr>
            <xdr:cNvPr id="673855" name="Drop Down 63" hidden="1">
              <a:extLst>
                <a:ext uri="{63B3BB69-23CF-44E3-9099-C40C66FF867C}">
                  <a14:compatExt spid="_x0000_s673855"/>
                </a:ext>
                <a:ext uri="{FF2B5EF4-FFF2-40B4-BE49-F238E27FC236}">
                  <a16:creationId xmlns:a16="http://schemas.microsoft.com/office/drawing/2014/main" id="{00000000-0008-0000-0100-00003F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38</xdr:row>
          <xdr:rowOff>0</xdr:rowOff>
        </xdr:from>
        <xdr:to>
          <xdr:col>7</xdr:col>
          <xdr:colOff>876300</xdr:colOff>
          <xdr:row>38</xdr:row>
          <xdr:rowOff>200025</xdr:rowOff>
        </xdr:to>
        <xdr:sp macro="" textlink="">
          <xdr:nvSpPr>
            <xdr:cNvPr id="673857" name="Drop Down 65" hidden="1">
              <a:extLst>
                <a:ext uri="{63B3BB69-23CF-44E3-9099-C40C66FF867C}">
                  <a14:compatExt spid="_x0000_s673857"/>
                </a:ext>
                <a:ext uri="{FF2B5EF4-FFF2-40B4-BE49-F238E27FC236}">
                  <a16:creationId xmlns:a16="http://schemas.microsoft.com/office/drawing/2014/main" id="{00000000-0008-0000-0100-000041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39</xdr:row>
          <xdr:rowOff>0</xdr:rowOff>
        </xdr:from>
        <xdr:to>
          <xdr:col>7</xdr:col>
          <xdr:colOff>876300</xdr:colOff>
          <xdr:row>39</xdr:row>
          <xdr:rowOff>200025</xdr:rowOff>
        </xdr:to>
        <xdr:sp macro="" textlink="">
          <xdr:nvSpPr>
            <xdr:cNvPr id="673858" name="Drop Down 66" hidden="1">
              <a:extLst>
                <a:ext uri="{63B3BB69-23CF-44E3-9099-C40C66FF867C}">
                  <a14:compatExt spid="_x0000_s673858"/>
                </a:ext>
                <a:ext uri="{FF2B5EF4-FFF2-40B4-BE49-F238E27FC236}">
                  <a16:creationId xmlns:a16="http://schemas.microsoft.com/office/drawing/2014/main" id="{00000000-0008-0000-0100-000042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40</xdr:row>
          <xdr:rowOff>0</xdr:rowOff>
        </xdr:from>
        <xdr:to>
          <xdr:col>7</xdr:col>
          <xdr:colOff>876300</xdr:colOff>
          <xdr:row>40</xdr:row>
          <xdr:rowOff>200025</xdr:rowOff>
        </xdr:to>
        <xdr:sp macro="" textlink="">
          <xdr:nvSpPr>
            <xdr:cNvPr id="673859" name="Drop Down 67" hidden="1">
              <a:extLst>
                <a:ext uri="{63B3BB69-23CF-44E3-9099-C40C66FF867C}">
                  <a14:compatExt spid="_x0000_s673859"/>
                </a:ext>
                <a:ext uri="{FF2B5EF4-FFF2-40B4-BE49-F238E27FC236}">
                  <a16:creationId xmlns:a16="http://schemas.microsoft.com/office/drawing/2014/main" id="{00000000-0008-0000-0100-000043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41</xdr:row>
          <xdr:rowOff>0</xdr:rowOff>
        </xdr:from>
        <xdr:to>
          <xdr:col>7</xdr:col>
          <xdr:colOff>876300</xdr:colOff>
          <xdr:row>41</xdr:row>
          <xdr:rowOff>200025</xdr:rowOff>
        </xdr:to>
        <xdr:sp macro="" textlink="">
          <xdr:nvSpPr>
            <xdr:cNvPr id="673860" name="Drop Down 68" hidden="1">
              <a:extLst>
                <a:ext uri="{63B3BB69-23CF-44E3-9099-C40C66FF867C}">
                  <a14:compatExt spid="_x0000_s673860"/>
                </a:ext>
                <a:ext uri="{FF2B5EF4-FFF2-40B4-BE49-F238E27FC236}">
                  <a16:creationId xmlns:a16="http://schemas.microsoft.com/office/drawing/2014/main" id="{00000000-0008-0000-0100-000044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xdr:row>
          <xdr:rowOff>0</xdr:rowOff>
        </xdr:from>
        <xdr:to>
          <xdr:col>7</xdr:col>
          <xdr:colOff>876300</xdr:colOff>
          <xdr:row>44</xdr:row>
          <xdr:rowOff>200025</xdr:rowOff>
        </xdr:to>
        <xdr:sp macro="" textlink="">
          <xdr:nvSpPr>
            <xdr:cNvPr id="673861" name="Drop Down 69" hidden="1">
              <a:extLst>
                <a:ext uri="{63B3BB69-23CF-44E3-9099-C40C66FF867C}">
                  <a14:compatExt spid="_x0000_s673861"/>
                </a:ext>
                <a:ext uri="{FF2B5EF4-FFF2-40B4-BE49-F238E27FC236}">
                  <a16:creationId xmlns:a16="http://schemas.microsoft.com/office/drawing/2014/main" id="{00000000-0008-0000-0100-000045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45</xdr:row>
          <xdr:rowOff>0</xdr:rowOff>
        </xdr:from>
        <xdr:to>
          <xdr:col>7</xdr:col>
          <xdr:colOff>876300</xdr:colOff>
          <xdr:row>45</xdr:row>
          <xdr:rowOff>200025</xdr:rowOff>
        </xdr:to>
        <xdr:sp macro="" textlink="">
          <xdr:nvSpPr>
            <xdr:cNvPr id="673862" name="Drop Down 70" hidden="1">
              <a:extLst>
                <a:ext uri="{63B3BB69-23CF-44E3-9099-C40C66FF867C}">
                  <a14:compatExt spid="_x0000_s673862"/>
                </a:ext>
                <a:ext uri="{FF2B5EF4-FFF2-40B4-BE49-F238E27FC236}">
                  <a16:creationId xmlns:a16="http://schemas.microsoft.com/office/drawing/2014/main" id="{00000000-0008-0000-0100-000046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876300</xdr:colOff>
          <xdr:row>46</xdr:row>
          <xdr:rowOff>200025</xdr:rowOff>
        </xdr:to>
        <xdr:sp macro="" textlink="">
          <xdr:nvSpPr>
            <xdr:cNvPr id="673863" name="Drop Down 71" hidden="1">
              <a:extLst>
                <a:ext uri="{63B3BB69-23CF-44E3-9099-C40C66FF867C}">
                  <a14:compatExt spid="_x0000_s673863"/>
                </a:ext>
                <a:ext uri="{FF2B5EF4-FFF2-40B4-BE49-F238E27FC236}">
                  <a16:creationId xmlns:a16="http://schemas.microsoft.com/office/drawing/2014/main" id="{00000000-0008-0000-0100-000047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51</xdr:row>
          <xdr:rowOff>0</xdr:rowOff>
        </xdr:from>
        <xdr:to>
          <xdr:col>7</xdr:col>
          <xdr:colOff>876300</xdr:colOff>
          <xdr:row>51</xdr:row>
          <xdr:rowOff>200025</xdr:rowOff>
        </xdr:to>
        <xdr:sp macro="" textlink="">
          <xdr:nvSpPr>
            <xdr:cNvPr id="673865" name="Drop Down 73" hidden="1">
              <a:extLst>
                <a:ext uri="{63B3BB69-23CF-44E3-9099-C40C66FF867C}">
                  <a14:compatExt spid="_x0000_s673865"/>
                </a:ext>
                <a:ext uri="{FF2B5EF4-FFF2-40B4-BE49-F238E27FC236}">
                  <a16:creationId xmlns:a16="http://schemas.microsoft.com/office/drawing/2014/main" id="{00000000-0008-0000-0100-000049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52</xdr:row>
          <xdr:rowOff>0</xdr:rowOff>
        </xdr:from>
        <xdr:to>
          <xdr:col>7</xdr:col>
          <xdr:colOff>876300</xdr:colOff>
          <xdr:row>52</xdr:row>
          <xdr:rowOff>200025</xdr:rowOff>
        </xdr:to>
        <xdr:sp macro="" textlink="">
          <xdr:nvSpPr>
            <xdr:cNvPr id="673866" name="Drop Down 74" hidden="1">
              <a:extLst>
                <a:ext uri="{63B3BB69-23CF-44E3-9099-C40C66FF867C}">
                  <a14:compatExt spid="_x0000_s673866"/>
                </a:ext>
                <a:ext uri="{FF2B5EF4-FFF2-40B4-BE49-F238E27FC236}">
                  <a16:creationId xmlns:a16="http://schemas.microsoft.com/office/drawing/2014/main" id="{00000000-0008-0000-0100-00004A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53</xdr:row>
          <xdr:rowOff>0</xdr:rowOff>
        </xdr:from>
        <xdr:to>
          <xdr:col>7</xdr:col>
          <xdr:colOff>876300</xdr:colOff>
          <xdr:row>53</xdr:row>
          <xdr:rowOff>200025</xdr:rowOff>
        </xdr:to>
        <xdr:sp macro="" textlink="">
          <xdr:nvSpPr>
            <xdr:cNvPr id="673867" name="Drop Down 75" hidden="1">
              <a:extLst>
                <a:ext uri="{63B3BB69-23CF-44E3-9099-C40C66FF867C}">
                  <a14:compatExt spid="_x0000_s673867"/>
                </a:ext>
                <a:ext uri="{FF2B5EF4-FFF2-40B4-BE49-F238E27FC236}">
                  <a16:creationId xmlns:a16="http://schemas.microsoft.com/office/drawing/2014/main" id="{00000000-0008-0000-0100-00004B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xdr:row>
          <xdr:rowOff>0</xdr:rowOff>
        </xdr:from>
        <xdr:to>
          <xdr:col>7</xdr:col>
          <xdr:colOff>876300</xdr:colOff>
          <xdr:row>54</xdr:row>
          <xdr:rowOff>200025</xdr:rowOff>
        </xdr:to>
        <xdr:sp macro="" textlink="">
          <xdr:nvSpPr>
            <xdr:cNvPr id="673868" name="Drop Down 76" hidden="1">
              <a:extLst>
                <a:ext uri="{63B3BB69-23CF-44E3-9099-C40C66FF867C}">
                  <a14:compatExt spid="_x0000_s673868"/>
                </a:ext>
                <a:ext uri="{FF2B5EF4-FFF2-40B4-BE49-F238E27FC236}">
                  <a16:creationId xmlns:a16="http://schemas.microsoft.com/office/drawing/2014/main" id="{00000000-0008-0000-0100-00004C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55</xdr:row>
          <xdr:rowOff>0</xdr:rowOff>
        </xdr:from>
        <xdr:to>
          <xdr:col>7</xdr:col>
          <xdr:colOff>876300</xdr:colOff>
          <xdr:row>55</xdr:row>
          <xdr:rowOff>200025</xdr:rowOff>
        </xdr:to>
        <xdr:sp macro="" textlink="">
          <xdr:nvSpPr>
            <xdr:cNvPr id="673869" name="Drop Down 77" hidden="1">
              <a:extLst>
                <a:ext uri="{63B3BB69-23CF-44E3-9099-C40C66FF867C}">
                  <a14:compatExt spid="_x0000_s673869"/>
                </a:ext>
                <a:ext uri="{FF2B5EF4-FFF2-40B4-BE49-F238E27FC236}">
                  <a16:creationId xmlns:a16="http://schemas.microsoft.com/office/drawing/2014/main" id="{00000000-0008-0000-0100-00004D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56</xdr:row>
          <xdr:rowOff>0</xdr:rowOff>
        </xdr:from>
        <xdr:to>
          <xdr:col>7</xdr:col>
          <xdr:colOff>876300</xdr:colOff>
          <xdr:row>56</xdr:row>
          <xdr:rowOff>200025</xdr:rowOff>
        </xdr:to>
        <xdr:sp macro="" textlink="">
          <xdr:nvSpPr>
            <xdr:cNvPr id="673870" name="Drop Down 78" hidden="1">
              <a:extLst>
                <a:ext uri="{63B3BB69-23CF-44E3-9099-C40C66FF867C}">
                  <a14:compatExt spid="_x0000_s673870"/>
                </a:ext>
                <a:ext uri="{FF2B5EF4-FFF2-40B4-BE49-F238E27FC236}">
                  <a16:creationId xmlns:a16="http://schemas.microsoft.com/office/drawing/2014/main" id="{00000000-0008-0000-0100-00004E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57</xdr:row>
          <xdr:rowOff>0</xdr:rowOff>
        </xdr:from>
        <xdr:to>
          <xdr:col>7</xdr:col>
          <xdr:colOff>876300</xdr:colOff>
          <xdr:row>57</xdr:row>
          <xdr:rowOff>200025</xdr:rowOff>
        </xdr:to>
        <xdr:sp macro="" textlink="">
          <xdr:nvSpPr>
            <xdr:cNvPr id="673871" name="Drop Down 79" hidden="1">
              <a:extLst>
                <a:ext uri="{63B3BB69-23CF-44E3-9099-C40C66FF867C}">
                  <a14:compatExt spid="_x0000_s673871"/>
                </a:ext>
                <a:ext uri="{FF2B5EF4-FFF2-40B4-BE49-F238E27FC236}">
                  <a16:creationId xmlns:a16="http://schemas.microsoft.com/office/drawing/2014/main" id="{00000000-0008-0000-0100-00004F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59</xdr:row>
          <xdr:rowOff>0</xdr:rowOff>
        </xdr:from>
        <xdr:to>
          <xdr:col>7</xdr:col>
          <xdr:colOff>876300</xdr:colOff>
          <xdr:row>59</xdr:row>
          <xdr:rowOff>200025</xdr:rowOff>
        </xdr:to>
        <xdr:sp macro="" textlink="">
          <xdr:nvSpPr>
            <xdr:cNvPr id="673872" name="Drop Down 80" hidden="1">
              <a:extLst>
                <a:ext uri="{63B3BB69-23CF-44E3-9099-C40C66FF867C}">
                  <a14:compatExt spid="_x0000_s673872"/>
                </a:ext>
                <a:ext uri="{FF2B5EF4-FFF2-40B4-BE49-F238E27FC236}">
                  <a16:creationId xmlns:a16="http://schemas.microsoft.com/office/drawing/2014/main" id="{00000000-0008-0000-0100-000050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60</xdr:row>
          <xdr:rowOff>0</xdr:rowOff>
        </xdr:from>
        <xdr:to>
          <xdr:col>7</xdr:col>
          <xdr:colOff>876300</xdr:colOff>
          <xdr:row>60</xdr:row>
          <xdr:rowOff>200025</xdr:rowOff>
        </xdr:to>
        <xdr:sp macro="" textlink="">
          <xdr:nvSpPr>
            <xdr:cNvPr id="673873" name="Drop Down 81" hidden="1">
              <a:extLst>
                <a:ext uri="{63B3BB69-23CF-44E3-9099-C40C66FF867C}">
                  <a14:compatExt spid="_x0000_s673873"/>
                </a:ext>
                <a:ext uri="{FF2B5EF4-FFF2-40B4-BE49-F238E27FC236}">
                  <a16:creationId xmlns:a16="http://schemas.microsoft.com/office/drawing/2014/main" id="{00000000-0008-0000-0100-000051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61</xdr:row>
          <xdr:rowOff>0</xdr:rowOff>
        </xdr:from>
        <xdr:to>
          <xdr:col>7</xdr:col>
          <xdr:colOff>876300</xdr:colOff>
          <xdr:row>61</xdr:row>
          <xdr:rowOff>200025</xdr:rowOff>
        </xdr:to>
        <xdr:sp macro="" textlink="">
          <xdr:nvSpPr>
            <xdr:cNvPr id="673874" name="Drop Down 82" hidden="1">
              <a:extLst>
                <a:ext uri="{63B3BB69-23CF-44E3-9099-C40C66FF867C}">
                  <a14:compatExt spid="_x0000_s673874"/>
                </a:ext>
                <a:ext uri="{FF2B5EF4-FFF2-40B4-BE49-F238E27FC236}">
                  <a16:creationId xmlns:a16="http://schemas.microsoft.com/office/drawing/2014/main" id="{00000000-0008-0000-0100-000052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876300</xdr:colOff>
          <xdr:row>47</xdr:row>
          <xdr:rowOff>200025</xdr:rowOff>
        </xdr:to>
        <xdr:sp macro="" textlink="">
          <xdr:nvSpPr>
            <xdr:cNvPr id="673877" name="Drop Down 85" hidden="1">
              <a:extLst>
                <a:ext uri="{63B3BB69-23CF-44E3-9099-C40C66FF867C}">
                  <a14:compatExt spid="_x0000_s673877"/>
                </a:ext>
                <a:ext uri="{FF2B5EF4-FFF2-40B4-BE49-F238E27FC236}">
                  <a16:creationId xmlns:a16="http://schemas.microsoft.com/office/drawing/2014/main" id="{00000000-0008-0000-0100-000055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42</xdr:row>
          <xdr:rowOff>0</xdr:rowOff>
        </xdr:from>
        <xdr:to>
          <xdr:col>7</xdr:col>
          <xdr:colOff>876300</xdr:colOff>
          <xdr:row>42</xdr:row>
          <xdr:rowOff>200025</xdr:rowOff>
        </xdr:to>
        <xdr:sp macro="" textlink="">
          <xdr:nvSpPr>
            <xdr:cNvPr id="673878" name="Drop Down 86" hidden="1">
              <a:extLst>
                <a:ext uri="{63B3BB69-23CF-44E3-9099-C40C66FF867C}">
                  <a14:compatExt spid="_x0000_s673878"/>
                </a:ext>
                <a:ext uri="{FF2B5EF4-FFF2-40B4-BE49-F238E27FC236}">
                  <a16:creationId xmlns:a16="http://schemas.microsoft.com/office/drawing/2014/main" id="{00000000-0008-0000-0100-000056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43</xdr:row>
          <xdr:rowOff>0</xdr:rowOff>
        </xdr:from>
        <xdr:to>
          <xdr:col>7</xdr:col>
          <xdr:colOff>876300</xdr:colOff>
          <xdr:row>43</xdr:row>
          <xdr:rowOff>200025</xdr:rowOff>
        </xdr:to>
        <xdr:sp macro="" textlink="">
          <xdr:nvSpPr>
            <xdr:cNvPr id="673879" name="Drop Down 87" hidden="1">
              <a:extLst>
                <a:ext uri="{63B3BB69-23CF-44E3-9099-C40C66FF867C}">
                  <a14:compatExt spid="_x0000_s673879"/>
                </a:ext>
                <a:ext uri="{FF2B5EF4-FFF2-40B4-BE49-F238E27FC236}">
                  <a16:creationId xmlns:a16="http://schemas.microsoft.com/office/drawing/2014/main" id="{00000000-0008-0000-0100-00005748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426493</xdr:colOff>
      <xdr:row>29</xdr:row>
      <xdr:rowOff>66675</xdr:rowOff>
    </xdr:from>
    <xdr:to>
      <xdr:col>4</xdr:col>
      <xdr:colOff>896649</xdr:colOff>
      <xdr:row>31</xdr:row>
      <xdr:rowOff>7156</xdr:rowOff>
    </xdr:to>
    <xdr:sp macro="" textlink="'Variable Management'!A270">
      <xdr:nvSpPr>
        <xdr:cNvPr id="89" name="Text Box 231">
          <a:extLst>
            <a:ext uri="{FF2B5EF4-FFF2-40B4-BE49-F238E27FC236}">
              <a16:creationId xmlns:a16="http://schemas.microsoft.com/office/drawing/2014/main" id="{00000000-0008-0000-0100-000059000000}"/>
            </a:ext>
          </a:extLst>
        </xdr:cNvPr>
        <xdr:cNvSpPr txBox="1">
          <a:spLocks noChangeArrowheads="1"/>
        </xdr:cNvSpPr>
      </xdr:nvSpPr>
      <xdr:spPr bwMode="auto">
        <a:xfrm>
          <a:off x="4417468" y="4762500"/>
          <a:ext cx="470156" cy="264331"/>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Cs</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4</xdr:col>
      <xdr:colOff>352425</xdr:colOff>
      <xdr:row>30</xdr:row>
      <xdr:rowOff>105197</xdr:rowOff>
    </xdr:from>
    <xdr:to>
      <xdr:col>4</xdr:col>
      <xdr:colOff>921109</xdr:colOff>
      <xdr:row>31</xdr:row>
      <xdr:rowOff>160892</xdr:rowOff>
    </xdr:to>
    <xdr:sp macro="" textlink="'Variable Management'!B270">
      <xdr:nvSpPr>
        <xdr:cNvPr id="93" name="Text Box 270">
          <a:extLst>
            <a:ext uri="{FF2B5EF4-FFF2-40B4-BE49-F238E27FC236}">
              <a16:creationId xmlns:a16="http://schemas.microsoft.com/office/drawing/2014/main" id="{00000000-0008-0000-0100-00005D000000}"/>
            </a:ext>
          </a:extLst>
        </xdr:cNvPr>
        <xdr:cNvSpPr txBox="1">
          <a:spLocks noChangeArrowheads="1" noTextEdit="1"/>
        </xdr:cNvSpPr>
      </xdr:nvSpPr>
      <xdr:spPr bwMode="auto">
        <a:xfrm>
          <a:off x="4343400" y="4962947"/>
          <a:ext cx="568684" cy="217620"/>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18pF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155865</xdr:colOff>
      <xdr:row>7</xdr:row>
      <xdr:rowOff>25979</xdr:rowOff>
    </xdr:from>
    <xdr:to>
      <xdr:col>8</xdr:col>
      <xdr:colOff>225139</xdr:colOff>
      <xdr:row>8</xdr:row>
      <xdr:rowOff>101694</xdr:rowOff>
    </xdr:to>
    <xdr:sp macro="" textlink="'Variable Management'!B281">
      <xdr:nvSpPr>
        <xdr:cNvPr id="97" name="Text Box 283">
          <a:extLst>
            <a:ext uri="{FF2B5EF4-FFF2-40B4-BE49-F238E27FC236}">
              <a16:creationId xmlns:a16="http://schemas.microsoft.com/office/drawing/2014/main" id="{00000000-0008-0000-0100-000061000000}"/>
            </a:ext>
          </a:extLst>
        </xdr:cNvPr>
        <xdr:cNvSpPr txBox="1">
          <a:spLocks noChangeArrowheads="1" noTextEdit="1"/>
        </xdr:cNvSpPr>
      </xdr:nvSpPr>
      <xdr:spPr bwMode="auto">
        <a:xfrm>
          <a:off x="7308274" y="1177638"/>
          <a:ext cx="1143001" cy="240238"/>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6V to 40V</a:t>
          </a:fld>
          <a:endParaRPr lang="en-US" sz="2400" b="1" i="0" strike="noStrike">
            <a:solidFill>
              <a:srgbClr val="0000FF"/>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1171575</xdr:colOff>
          <xdr:row>48</xdr:row>
          <xdr:rowOff>9525</xdr:rowOff>
        </xdr:from>
        <xdr:to>
          <xdr:col>6</xdr:col>
          <xdr:colOff>638175</xdr:colOff>
          <xdr:row>49</xdr:row>
          <xdr:rowOff>0</xdr:rowOff>
        </xdr:to>
        <xdr:sp macro="" textlink="">
          <xdr:nvSpPr>
            <xdr:cNvPr id="674328" name="Drop Down 536" hidden="1">
              <a:extLst>
                <a:ext uri="{63B3BB69-23CF-44E3-9099-C40C66FF867C}">
                  <a14:compatExt spid="_x0000_s674328"/>
                </a:ext>
                <a:ext uri="{FF2B5EF4-FFF2-40B4-BE49-F238E27FC236}">
                  <a16:creationId xmlns:a16="http://schemas.microsoft.com/office/drawing/2014/main" id="{00000000-0008-0000-0100-0000184A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1171575</xdr:colOff>
          <xdr:row>49</xdr:row>
          <xdr:rowOff>0</xdr:rowOff>
        </xdr:from>
        <xdr:to>
          <xdr:col>6</xdr:col>
          <xdr:colOff>638175</xdr:colOff>
          <xdr:row>49</xdr:row>
          <xdr:rowOff>200025</xdr:rowOff>
        </xdr:to>
        <xdr:sp macro="" textlink="">
          <xdr:nvSpPr>
            <xdr:cNvPr id="674330" name="Drop Down 538" hidden="1">
              <a:extLst>
                <a:ext uri="{63B3BB69-23CF-44E3-9099-C40C66FF867C}">
                  <a14:compatExt spid="_x0000_s674330"/>
                </a:ext>
                <a:ext uri="{FF2B5EF4-FFF2-40B4-BE49-F238E27FC236}">
                  <a16:creationId xmlns:a16="http://schemas.microsoft.com/office/drawing/2014/main" id="{00000000-0008-0000-0100-00001A4A0A00}"/>
                </a:ext>
              </a:extLst>
            </xdr:cNvPr>
            <xdr:cNvSpPr/>
          </xdr:nvSpPr>
          <xdr:spPr bwMode="auto">
            <a:xfrm>
              <a:off x="0" y="0"/>
              <a:ext cx="0" cy="0"/>
            </a:xfrm>
            <a:prstGeom prst="rect">
              <a:avLst/>
            </a:prstGeom>
            <a:solidFill>
              <a:srgbClr val="FFFFFF"/>
            </a:solid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1160859</xdr:colOff>
      <xdr:row>15</xdr:row>
      <xdr:rowOff>5954</xdr:rowOff>
    </xdr:from>
    <xdr:to>
      <xdr:col>4</xdr:col>
      <xdr:colOff>840830</xdr:colOff>
      <xdr:row>17</xdr:row>
      <xdr:rowOff>33124</xdr:rowOff>
    </xdr:to>
    <xdr:sp macro="" textlink="'Variable Management'!U12">
      <xdr:nvSpPr>
        <xdr:cNvPr id="98" name="Text Box 24">
          <a:extLst>
            <a:ext uri="{FF2B5EF4-FFF2-40B4-BE49-F238E27FC236}">
              <a16:creationId xmlns:a16="http://schemas.microsoft.com/office/drawing/2014/main" id="{00000000-0008-0000-0100-000062000000}"/>
            </a:ext>
          </a:extLst>
        </xdr:cNvPr>
        <xdr:cNvSpPr txBox="1">
          <a:spLocks noChangeArrowheads="1" noTextEdit="1"/>
        </xdr:cNvSpPr>
      </xdr:nvSpPr>
      <xdr:spPr bwMode="auto">
        <a:xfrm>
          <a:off x="3810000" y="2416970"/>
          <a:ext cx="1025377" cy="348638"/>
        </a:xfrm>
        <a:prstGeom prst="rect">
          <a:avLst/>
        </a:prstGeom>
        <a:solidFill>
          <a:srgbClr val="7DC4D6"/>
        </a:solidFill>
        <a:ln w="9525">
          <a:noFill/>
          <a:miter lim="800000"/>
          <a:headEnd/>
          <a:tailEnd/>
        </a:ln>
      </xdr:spPr>
      <xdr:txBody>
        <a:bodyPr wrap="square" lIns="27432" tIns="22860" rIns="0" bIns="22860"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fld id="{FE4215C9-6CF6-4ED6-BE24-17A843393DAB}" type="TxLink">
            <a:rPr lang="en-US" sz="1400" b="1" i="0" u="none" strike="noStrike" baseline="0">
              <a:solidFill>
                <a:srgbClr val="FF0000"/>
              </a:solidFill>
              <a:latin typeface="Arial"/>
              <a:cs typeface="Arial"/>
            </a:rPr>
            <a:pPr algn="ctr" rtl="0">
              <a:defRPr sz="1000"/>
            </a:pPr>
            <a:t>LM5145</a:t>
          </a:fld>
          <a:endParaRPr lang="en-US" sz="2000" b="1" i="0" u="none" strike="noStrike" baseline="0">
            <a:solidFill>
              <a:srgbClr val="FF0000"/>
            </a:solidFill>
            <a:latin typeface="Arial" pitchFamily="34" charset="0"/>
            <a:cs typeface="Arial"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336176</xdr:colOff>
      <xdr:row>4</xdr:row>
      <xdr:rowOff>123263</xdr:rowOff>
    </xdr:from>
    <xdr:to>
      <xdr:col>12</xdr:col>
      <xdr:colOff>103841</xdr:colOff>
      <xdr:row>38</xdr:row>
      <xdr:rowOff>89647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863" b="1395"/>
        <a:stretch/>
      </xdr:blipFill>
      <xdr:spPr>
        <a:xfrm>
          <a:off x="336176" y="1400734"/>
          <a:ext cx="7029077" cy="5703795"/>
        </a:xfrm>
        <a:prstGeom prst="rect">
          <a:avLst/>
        </a:prstGeom>
      </xdr:spPr>
    </xdr:pic>
    <xdr:clientData/>
  </xdr:twoCellAnchor>
  <xdr:twoCellAnchor editAs="oneCell">
    <xdr:from>
      <xdr:col>14</xdr:col>
      <xdr:colOff>403411</xdr:colOff>
      <xdr:row>4</xdr:row>
      <xdr:rowOff>11205</xdr:rowOff>
    </xdr:from>
    <xdr:to>
      <xdr:col>27</xdr:col>
      <xdr:colOff>358587</xdr:colOff>
      <xdr:row>39</xdr:row>
      <xdr:rowOff>69528</xdr:rowOff>
    </xdr:to>
    <xdr:pic>
      <xdr:nvPicPr>
        <xdr:cNvPr id="10" name="Picture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65558" y="1288676"/>
          <a:ext cx="8269941" cy="5952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381001</xdr:colOff>
      <xdr:row>48</xdr:row>
      <xdr:rowOff>104404</xdr:rowOff>
    </xdr:from>
    <xdr:to>
      <xdr:col>11</xdr:col>
      <xdr:colOff>280149</xdr:colOff>
      <xdr:row>73</xdr:row>
      <xdr:rowOff>34633</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1001" y="8688110"/>
          <a:ext cx="6555442" cy="4053994"/>
        </a:xfrm>
        <a:prstGeom prst="rect">
          <a:avLst/>
        </a:prstGeom>
      </xdr:spPr>
    </xdr:pic>
    <xdr:clientData/>
  </xdr:twoCellAnchor>
  <xdr:twoCellAnchor editAs="oneCell">
    <xdr:from>
      <xdr:col>0</xdr:col>
      <xdr:colOff>369795</xdr:colOff>
      <xdr:row>76</xdr:row>
      <xdr:rowOff>134469</xdr:rowOff>
    </xdr:from>
    <xdr:to>
      <xdr:col>11</xdr:col>
      <xdr:colOff>246531</xdr:colOff>
      <xdr:row>103</xdr:row>
      <xdr:rowOff>78440</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353" t="8842" r="3320" b="10752"/>
        <a:stretch/>
      </xdr:blipFill>
      <xdr:spPr>
        <a:xfrm>
          <a:off x="369795" y="13211734"/>
          <a:ext cx="6533030" cy="4381500"/>
        </a:xfrm>
        <a:prstGeom prst="rect">
          <a:avLst/>
        </a:prstGeom>
      </xdr:spPr>
    </xdr:pic>
    <xdr:clientData/>
  </xdr:twoCellAnchor>
  <xdr:twoCellAnchor editAs="oneCell">
    <xdr:from>
      <xdr:col>15</xdr:col>
      <xdr:colOff>268945</xdr:colOff>
      <xdr:row>48</xdr:row>
      <xdr:rowOff>123265</xdr:rowOff>
    </xdr:from>
    <xdr:to>
      <xdr:col>26</xdr:col>
      <xdr:colOff>583270</xdr:colOff>
      <xdr:row>72</xdr:row>
      <xdr:rowOff>54909</xdr:rowOff>
    </xdr:to>
    <xdr:pic>
      <xdr:nvPicPr>
        <xdr:cNvPr id="6" name="Picture 5">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536210" y="8807824"/>
          <a:ext cx="7418854" cy="3898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268945</xdr:colOff>
      <xdr:row>75</xdr:row>
      <xdr:rowOff>78443</xdr:rowOff>
    </xdr:from>
    <xdr:to>
      <xdr:col>26</xdr:col>
      <xdr:colOff>583270</xdr:colOff>
      <xdr:row>98</xdr:row>
      <xdr:rowOff>119345</xdr:rowOff>
    </xdr:to>
    <xdr:pic>
      <xdr:nvPicPr>
        <xdr:cNvPr id="7" name="Picture 6">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536210" y="13200531"/>
          <a:ext cx="7418854" cy="38509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268945</xdr:colOff>
      <xdr:row>101</xdr:row>
      <xdr:rowOff>42024</xdr:rowOff>
    </xdr:from>
    <xdr:to>
      <xdr:col>26</xdr:col>
      <xdr:colOff>583270</xdr:colOff>
      <xdr:row>125</xdr:row>
      <xdr:rowOff>45945</xdr:rowOff>
    </xdr:to>
    <xdr:pic>
      <xdr:nvPicPr>
        <xdr:cNvPr id="8" name="Picture 7">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536210" y="17444759"/>
          <a:ext cx="7418854" cy="3869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257735</xdr:colOff>
      <xdr:row>128</xdr:row>
      <xdr:rowOff>67235</xdr:rowOff>
    </xdr:from>
    <xdr:to>
      <xdr:col>26</xdr:col>
      <xdr:colOff>560294</xdr:colOff>
      <xdr:row>152</xdr:row>
      <xdr:rowOff>90207</xdr:rowOff>
    </xdr:to>
    <xdr:pic>
      <xdr:nvPicPr>
        <xdr:cNvPr id="9" name="Picture 8">
          <a:extLst>
            <a:ext uri="{FF2B5EF4-FFF2-40B4-BE49-F238E27FC236}">
              <a16:creationId xmlns:a16="http://schemas.microsoft.com/office/drawing/2014/main" id="{00000000-0008-0000-0200-000009000000}"/>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1038" r="942"/>
        <a:stretch/>
      </xdr:blipFill>
      <xdr:spPr bwMode="auto">
        <a:xfrm>
          <a:off x="9525000" y="21806647"/>
          <a:ext cx="7407088" cy="3889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219075</xdr:colOff>
          <xdr:row>10</xdr:row>
          <xdr:rowOff>114300</xdr:rowOff>
        </xdr:from>
        <xdr:to>
          <xdr:col>16</xdr:col>
          <xdr:colOff>28575</xdr:colOff>
          <xdr:row>31</xdr:row>
          <xdr:rowOff>123825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36</xdr:col>
      <xdr:colOff>200025</xdr:colOff>
      <xdr:row>8</xdr:row>
      <xdr:rowOff>19050</xdr:rowOff>
    </xdr:from>
    <xdr:to>
      <xdr:col>44</xdr:col>
      <xdr:colOff>742950</xdr:colOff>
      <xdr:row>30</xdr:row>
      <xdr:rowOff>85725</xdr:rowOff>
    </xdr:to>
    <xdr:graphicFrame macro="">
      <xdr:nvGraphicFramePr>
        <xdr:cNvPr id="21446051" name="Chart 11">
          <a:extLst>
            <a:ext uri="{FF2B5EF4-FFF2-40B4-BE49-F238E27FC236}">
              <a16:creationId xmlns:a16="http://schemas.microsoft.com/office/drawing/2014/main" id="{00000000-0008-0000-0500-0000A3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200025</xdr:colOff>
      <xdr:row>8</xdr:row>
      <xdr:rowOff>28575</xdr:rowOff>
    </xdr:from>
    <xdr:to>
      <xdr:col>36</xdr:col>
      <xdr:colOff>180975</xdr:colOff>
      <xdr:row>30</xdr:row>
      <xdr:rowOff>123825</xdr:rowOff>
    </xdr:to>
    <xdr:graphicFrame macro="">
      <xdr:nvGraphicFramePr>
        <xdr:cNvPr id="21446052" name="Chart 15">
          <a:extLst>
            <a:ext uri="{FF2B5EF4-FFF2-40B4-BE49-F238E27FC236}">
              <a16:creationId xmlns:a16="http://schemas.microsoft.com/office/drawing/2014/main" id="{00000000-0008-0000-0500-0000A4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28</xdr:col>
      <xdr:colOff>9525</xdr:colOff>
      <xdr:row>30</xdr:row>
      <xdr:rowOff>152400</xdr:rowOff>
    </xdr:from>
    <xdr:to>
      <xdr:col>36</xdr:col>
      <xdr:colOff>209550</xdr:colOff>
      <xdr:row>53</xdr:row>
      <xdr:rowOff>95250</xdr:rowOff>
    </xdr:to>
    <xdr:graphicFrame macro="">
      <xdr:nvGraphicFramePr>
        <xdr:cNvPr id="21446053" name="Chart 16">
          <a:extLst>
            <a:ext uri="{FF2B5EF4-FFF2-40B4-BE49-F238E27FC236}">
              <a16:creationId xmlns:a16="http://schemas.microsoft.com/office/drawing/2014/main" id="{00000000-0008-0000-0500-0000A5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75</xdr:col>
      <xdr:colOff>466725</xdr:colOff>
      <xdr:row>6</xdr:row>
      <xdr:rowOff>76200</xdr:rowOff>
    </xdr:from>
    <xdr:to>
      <xdr:col>84</xdr:col>
      <xdr:colOff>238125</xdr:colOff>
      <xdr:row>29</xdr:row>
      <xdr:rowOff>19050</xdr:rowOff>
    </xdr:to>
    <xdr:graphicFrame macro="">
      <xdr:nvGraphicFramePr>
        <xdr:cNvPr id="21446054" name="Chart 18">
          <a:extLst>
            <a:ext uri="{FF2B5EF4-FFF2-40B4-BE49-F238E27FC236}">
              <a16:creationId xmlns:a16="http://schemas.microsoft.com/office/drawing/2014/main" id="{00000000-0008-0000-0500-0000A6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704849</xdr:colOff>
      <xdr:row>6</xdr:row>
      <xdr:rowOff>438149</xdr:rowOff>
    </xdr:from>
    <xdr:to>
      <xdr:col>1</xdr:col>
      <xdr:colOff>8915399</xdr:colOff>
      <xdr:row>8</xdr:row>
      <xdr:rowOff>1127</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49" y="6362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704849</xdr:colOff>
      <xdr:row>3</xdr:row>
      <xdr:rowOff>161924</xdr:rowOff>
    </xdr:from>
    <xdr:to>
      <xdr:col>1</xdr:col>
      <xdr:colOff>8915399</xdr:colOff>
      <xdr:row>5</xdr:row>
      <xdr:rowOff>1127</xdr:rowOff>
    </xdr:to>
    <xdr:pic>
      <xdr:nvPicPr>
        <xdr:cNvPr id="6" name="Picture 5">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4849" y="647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304800</xdr:colOff>
      <xdr:row>40</xdr:row>
      <xdr:rowOff>104775</xdr:rowOff>
    </xdr:from>
    <xdr:to>
      <xdr:col>19</xdr:col>
      <xdr:colOff>247650</xdr:colOff>
      <xdr:row>69</xdr:row>
      <xdr:rowOff>123825</xdr:rowOff>
    </xdr:to>
    <xdr:graphicFrame macro="">
      <xdr:nvGraphicFramePr>
        <xdr:cNvPr id="22259766" name="Chart 1">
          <a:extLst>
            <a:ext uri="{FF2B5EF4-FFF2-40B4-BE49-F238E27FC236}">
              <a16:creationId xmlns:a16="http://schemas.microsoft.com/office/drawing/2014/main" id="{00000000-0008-0000-0700-000036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247650</xdr:colOff>
      <xdr:row>11</xdr:row>
      <xdr:rowOff>57150</xdr:rowOff>
    </xdr:from>
    <xdr:to>
      <xdr:col>30</xdr:col>
      <xdr:colOff>533400</xdr:colOff>
      <xdr:row>40</xdr:row>
      <xdr:rowOff>85725</xdr:rowOff>
    </xdr:to>
    <xdr:graphicFrame macro="">
      <xdr:nvGraphicFramePr>
        <xdr:cNvPr id="22259767" name="Chart 2">
          <a:extLst>
            <a:ext uri="{FF2B5EF4-FFF2-40B4-BE49-F238E27FC236}">
              <a16:creationId xmlns:a16="http://schemas.microsoft.com/office/drawing/2014/main" id="{00000000-0008-0000-0700-000037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295275</xdr:colOff>
      <xdr:row>11</xdr:row>
      <xdr:rowOff>57150</xdr:rowOff>
    </xdr:from>
    <xdr:to>
      <xdr:col>19</xdr:col>
      <xdr:colOff>228600</xdr:colOff>
      <xdr:row>40</xdr:row>
      <xdr:rowOff>85725</xdr:rowOff>
    </xdr:to>
    <xdr:graphicFrame macro="">
      <xdr:nvGraphicFramePr>
        <xdr:cNvPr id="22259768" name="Chart 4">
          <a:extLst>
            <a:ext uri="{FF2B5EF4-FFF2-40B4-BE49-F238E27FC236}">
              <a16:creationId xmlns:a16="http://schemas.microsoft.com/office/drawing/2014/main" id="{00000000-0008-0000-0700-000038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noFill/>
        <a:ln w="9525">
          <a:noFill/>
          <a:miter lim="800000"/>
          <a:headEnd/>
          <a:tailEnd/>
        </a:ln>
      </a:spPr>
      <a:bodyPr vertOverflow="clip" wrap="square" lIns="27432" tIns="27432" rIns="0" bIns="0" anchor="t" upright="1"/>
      <a:lstStyle>
        <a:defPPr algn="l" rtl="0">
          <a:defRPr sz="1100" b="0" i="0" strike="noStrike">
            <a:solidFill>
              <a:srgbClr val="000000"/>
            </a:solidFill>
            <a:latin typeface="Calibri"/>
          </a:defRPr>
        </a:defPPr>
      </a:lst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 /><Relationship Id="rId13" Type="http://schemas.openxmlformats.org/officeDocument/2006/relationships/ctrlProp" Target="../ctrlProps/ctrlProp8.xml" /><Relationship Id="rId3" Type="http://schemas.openxmlformats.org/officeDocument/2006/relationships/drawing" Target="../drawings/drawing1.xml" /><Relationship Id="rId7" Type="http://schemas.openxmlformats.org/officeDocument/2006/relationships/ctrlProp" Target="../ctrlProps/ctrlProp2.xml" /><Relationship Id="rId12" Type="http://schemas.openxmlformats.org/officeDocument/2006/relationships/ctrlProp" Target="../ctrlProps/ctrlProp7.xml" /><Relationship Id="rId2" Type="http://schemas.openxmlformats.org/officeDocument/2006/relationships/printerSettings" Target="../printerSettings/printerSettings1.bin" /><Relationship Id="rId16" Type="http://schemas.openxmlformats.org/officeDocument/2006/relationships/comments" Target="../comments1.xml" /><Relationship Id="rId1" Type="http://schemas.openxmlformats.org/officeDocument/2006/relationships/hyperlink" Target="http://www.ti.com/pol" TargetMode="External" /><Relationship Id="rId6" Type="http://schemas.openxmlformats.org/officeDocument/2006/relationships/ctrlProp" Target="../ctrlProps/ctrlProp1.xml" /><Relationship Id="rId11" Type="http://schemas.openxmlformats.org/officeDocument/2006/relationships/ctrlProp" Target="../ctrlProps/ctrlProp6.xml" /><Relationship Id="rId5" Type="http://schemas.openxmlformats.org/officeDocument/2006/relationships/vmlDrawing" Target="../drawings/vmlDrawing2.vml" /><Relationship Id="rId15" Type="http://schemas.openxmlformats.org/officeDocument/2006/relationships/ctrlProp" Target="../ctrlProps/ctrlProp10.xml" /><Relationship Id="rId10" Type="http://schemas.openxmlformats.org/officeDocument/2006/relationships/ctrlProp" Target="../ctrlProps/ctrlProp5.xml" /><Relationship Id="rId4" Type="http://schemas.openxmlformats.org/officeDocument/2006/relationships/vmlDrawing" Target="../drawings/vmlDrawing1.vml" /><Relationship Id="rId9" Type="http://schemas.openxmlformats.org/officeDocument/2006/relationships/ctrlProp" Target="../ctrlProps/ctrlProp4.xml" /><Relationship Id="rId14" Type="http://schemas.openxmlformats.org/officeDocument/2006/relationships/ctrlProp" Target="../ctrlProps/ctrlProp9.xml" /></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5.xml" /><Relationship Id="rId13" Type="http://schemas.openxmlformats.org/officeDocument/2006/relationships/ctrlProp" Target="../ctrlProps/ctrlProp20.xml" /><Relationship Id="rId18" Type="http://schemas.openxmlformats.org/officeDocument/2006/relationships/ctrlProp" Target="../ctrlProps/ctrlProp25.xml" /><Relationship Id="rId26" Type="http://schemas.openxmlformats.org/officeDocument/2006/relationships/ctrlProp" Target="../ctrlProps/ctrlProp33.xml" /><Relationship Id="rId3" Type="http://schemas.openxmlformats.org/officeDocument/2006/relationships/vmlDrawing" Target="../drawings/vmlDrawing3.vml" /><Relationship Id="rId21" Type="http://schemas.openxmlformats.org/officeDocument/2006/relationships/ctrlProp" Target="../ctrlProps/ctrlProp28.xml" /><Relationship Id="rId7" Type="http://schemas.openxmlformats.org/officeDocument/2006/relationships/ctrlProp" Target="../ctrlProps/ctrlProp14.xml" /><Relationship Id="rId12" Type="http://schemas.openxmlformats.org/officeDocument/2006/relationships/ctrlProp" Target="../ctrlProps/ctrlProp19.xml" /><Relationship Id="rId17" Type="http://schemas.openxmlformats.org/officeDocument/2006/relationships/ctrlProp" Target="../ctrlProps/ctrlProp24.xml" /><Relationship Id="rId25" Type="http://schemas.openxmlformats.org/officeDocument/2006/relationships/ctrlProp" Target="../ctrlProps/ctrlProp32.xml" /><Relationship Id="rId2" Type="http://schemas.openxmlformats.org/officeDocument/2006/relationships/drawing" Target="../drawings/drawing3.xml" /><Relationship Id="rId16" Type="http://schemas.openxmlformats.org/officeDocument/2006/relationships/ctrlProp" Target="../ctrlProps/ctrlProp23.xml" /><Relationship Id="rId20" Type="http://schemas.openxmlformats.org/officeDocument/2006/relationships/ctrlProp" Target="../ctrlProps/ctrlProp27.xml" /><Relationship Id="rId1" Type="http://schemas.openxmlformats.org/officeDocument/2006/relationships/printerSettings" Target="../printerSettings/printerSettings2.bin" /><Relationship Id="rId6" Type="http://schemas.openxmlformats.org/officeDocument/2006/relationships/ctrlProp" Target="../ctrlProps/ctrlProp13.xml" /><Relationship Id="rId11" Type="http://schemas.openxmlformats.org/officeDocument/2006/relationships/ctrlProp" Target="../ctrlProps/ctrlProp18.xml" /><Relationship Id="rId24" Type="http://schemas.openxmlformats.org/officeDocument/2006/relationships/ctrlProp" Target="../ctrlProps/ctrlProp31.xml" /><Relationship Id="rId5" Type="http://schemas.openxmlformats.org/officeDocument/2006/relationships/ctrlProp" Target="../ctrlProps/ctrlProp12.xml" /><Relationship Id="rId15" Type="http://schemas.openxmlformats.org/officeDocument/2006/relationships/ctrlProp" Target="../ctrlProps/ctrlProp22.xml" /><Relationship Id="rId23" Type="http://schemas.openxmlformats.org/officeDocument/2006/relationships/ctrlProp" Target="../ctrlProps/ctrlProp30.xml" /><Relationship Id="rId28" Type="http://schemas.openxmlformats.org/officeDocument/2006/relationships/ctrlProp" Target="../ctrlProps/ctrlProp35.xml" /><Relationship Id="rId10" Type="http://schemas.openxmlformats.org/officeDocument/2006/relationships/ctrlProp" Target="../ctrlProps/ctrlProp17.xml" /><Relationship Id="rId19" Type="http://schemas.openxmlformats.org/officeDocument/2006/relationships/ctrlProp" Target="../ctrlProps/ctrlProp26.xml" /><Relationship Id="rId4" Type="http://schemas.openxmlformats.org/officeDocument/2006/relationships/ctrlProp" Target="../ctrlProps/ctrlProp11.xml" /><Relationship Id="rId9" Type="http://schemas.openxmlformats.org/officeDocument/2006/relationships/ctrlProp" Target="../ctrlProps/ctrlProp16.xml" /><Relationship Id="rId14" Type="http://schemas.openxmlformats.org/officeDocument/2006/relationships/ctrlProp" Target="../ctrlProps/ctrlProp21.xml" /><Relationship Id="rId22" Type="http://schemas.openxmlformats.org/officeDocument/2006/relationships/ctrlProp" Target="../ctrlProps/ctrlProp29.xml" /><Relationship Id="rId27" Type="http://schemas.openxmlformats.org/officeDocument/2006/relationships/ctrlProp" Target="../ctrlProps/ctrlProp34.xml"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 /><Relationship Id="rId2" Type="http://schemas.openxmlformats.org/officeDocument/2006/relationships/drawing" Target="../drawings/drawing5.xml" /><Relationship Id="rId1" Type="http://schemas.openxmlformats.org/officeDocument/2006/relationships/printerSettings" Target="../printerSettings/printerSettings4.bin" /><Relationship Id="rId5" Type="http://schemas.openxmlformats.org/officeDocument/2006/relationships/image" Target="../media/image16.emf" /><Relationship Id="rId4" Type="http://schemas.openxmlformats.org/officeDocument/2006/relationships/oleObject" Target="../embeddings/Microsoft_Visio_2003-2010_Drawing.vsd"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 /></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 /><Relationship Id="rId1" Type="http://schemas.openxmlformats.org/officeDocument/2006/relationships/printerSettings" Target="../printerSettings/printerSettings7.bin" /></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AI927"/>
  <sheetViews>
    <sheetView tabSelected="1" topLeftCell="A38" zoomScaleNormal="100" zoomScaleSheetLayoutView="100" workbookViewId="0">
      <selection activeCell="E8" sqref="E8"/>
    </sheetView>
  </sheetViews>
  <sheetFormatPr defaultColWidth="9.16796875" defaultRowHeight="14.25" x14ac:dyDescent="0.2"/>
  <cols>
    <col min="1" max="1" width="8.22265625" style="322" customWidth="1"/>
    <col min="2" max="2" width="8.22265625" style="147" customWidth="1"/>
    <col min="3" max="3" width="14.5625" style="147" customWidth="1"/>
    <col min="4" max="4" width="7.953125" style="147" customWidth="1"/>
    <col min="5" max="5" width="7.01171875" style="147" customWidth="1"/>
    <col min="6" max="6" width="8.22265625" style="147" customWidth="1"/>
    <col min="7" max="7" width="9.16796875" style="147" customWidth="1"/>
    <col min="8" max="8" width="11.8671875" style="147" customWidth="1"/>
    <col min="9" max="9" width="9.16796875" style="147"/>
    <col min="10" max="10" width="12.40625" style="147" bestFit="1" customWidth="1"/>
    <col min="11" max="11" width="9.16796875" style="147"/>
    <col min="12" max="12" width="12.40625" style="147" bestFit="1" customWidth="1"/>
    <col min="13" max="15" width="9.16796875" style="147"/>
    <col min="16" max="16" width="10.11328125" style="147" customWidth="1"/>
    <col min="17" max="17" width="41.8046875" style="147" customWidth="1"/>
    <col min="18" max="18" width="3.1015625" style="147" customWidth="1"/>
    <col min="19" max="19" width="9.9765625" style="147" bestFit="1" customWidth="1"/>
    <col min="20" max="16384" width="9.16796875" style="147"/>
  </cols>
  <sheetData>
    <row r="1" spans="1:19" ht="50.25" customHeight="1" x14ac:dyDescent="0.2">
      <c r="A1" s="575" t="s">
        <v>751</v>
      </c>
      <c r="B1" s="576"/>
      <c r="C1" s="576"/>
      <c r="D1" s="576"/>
      <c r="E1" s="576"/>
      <c r="F1" s="576"/>
      <c r="G1" s="576"/>
      <c r="H1" s="576"/>
      <c r="I1" s="576"/>
      <c r="J1" s="576"/>
      <c r="K1" s="576"/>
      <c r="L1" s="576"/>
      <c r="M1" s="576"/>
      <c r="N1" s="576"/>
      <c r="O1" s="576"/>
      <c r="P1" s="576"/>
      <c r="Q1" s="576"/>
      <c r="R1" s="418"/>
    </row>
    <row r="2" spans="1:19" ht="13.5" customHeight="1" x14ac:dyDescent="0.4">
      <c r="A2" s="556"/>
      <c r="B2" s="422"/>
      <c r="C2" s="422"/>
      <c r="D2" s="422"/>
      <c r="E2" s="422"/>
      <c r="F2" s="422"/>
      <c r="G2" s="422"/>
      <c r="H2" s="422"/>
      <c r="I2" s="422"/>
      <c r="J2" s="422"/>
      <c r="K2" s="422"/>
      <c r="L2" s="422"/>
      <c r="M2" s="545"/>
      <c r="N2" s="550"/>
      <c r="O2" s="551"/>
      <c r="P2" s="550"/>
      <c r="Q2" s="550"/>
      <c r="R2" s="418"/>
    </row>
    <row r="3" spans="1:19" ht="14.25" customHeight="1" x14ac:dyDescent="0.4">
      <c r="A3" s="432" t="s">
        <v>478</v>
      </c>
      <c r="B3" s="423"/>
      <c r="C3" s="433" t="s">
        <v>479</v>
      </c>
      <c r="D3" s="424"/>
      <c r="E3" s="212"/>
      <c r="F3" s="426" t="s">
        <v>285</v>
      </c>
      <c r="G3" s="425"/>
      <c r="H3" s="422"/>
      <c r="I3" s="422"/>
      <c r="J3" s="425"/>
      <c r="K3" s="427"/>
      <c r="L3" s="428"/>
      <c r="M3" s="546"/>
      <c r="N3" s="554"/>
      <c r="O3" s="574" t="s">
        <v>117</v>
      </c>
      <c r="P3" s="574"/>
      <c r="Q3" s="418" t="s">
        <v>320</v>
      </c>
      <c r="R3" s="418"/>
    </row>
    <row r="4" spans="1:19" ht="13.5" customHeight="1" thickBot="1" x14ac:dyDescent="0.3">
      <c r="A4" s="429"/>
      <c r="B4" s="430"/>
      <c r="C4" s="431"/>
      <c r="D4" s="431"/>
      <c r="E4" s="431"/>
      <c r="F4" s="431"/>
      <c r="G4" s="431"/>
      <c r="H4" s="431"/>
      <c r="I4" s="431"/>
      <c r="J4" s="431"/>
      <c r="K4" s="431"/>
      <c r="L4" s="431"/>
      <c r="M4" s="547"/>
      <c r="N4" s="552"/>
      <c r="O4" s="552"/>
      <c r="P4" s="552"/>
      <c r="Q4" s="553"/>
      <c r="R4" s="418"/>
    </row>
    <row r="5" spans="1:19" ht="20.100000000000001" customHeight="1" thickBot="1" x14ac:dyDescent="0.3">
      <c r="A5" s="253" t="s">
        <v>441</v>
      </c>
      <c r="B5" s="210"/>
      <c r="C5" s="148"/>
      <c r="D5" s="148"/>
      <c r="E5" s="150"/>
      <c r="F5" s="148"/>
      <c r="G5" s="191"/>
      <c r="H5" s="151"/>
      <c r="I5" s="151"/>
      <c r="J5" s="151"/>
      <c r="K5" s="151"/>
      <c r="L5" s="151"/>
      <c r="M5" s="548"/>
      <c r="N5" s="548"/>
      <c r="O5" s="548"/>
      <c r="P5" s="548"/>
      <c r="Q5" s="549"/>
      <c r="R5" s="418"/>
    </row>
    <row r="6" spans="1:19" ht="14.1" customHeight="1" x14ac:dyDescent="0.25">
      <c r="A6" s="316"/>
      <c r="B6" s="263"/>
      <c r="C6" s="264"/>
      <c r="D6" s="265" t="s">
        <v>572</v>
      </c>
      <c r="E6" s="266">
        <v>6</v>
      </c>
      <c r="F6" s="267" t="s">
        <v>0</v>
      </c>
      <c r="G6" s="221"/>
      <c r="H6" s="219"/>
      <c r="I6" s="151"/>
      <c r="J6" s="151"/>
      <c r="K6" s="151"/>
      <c r="L6" s="151"/>
      <c r="M6" s="151"/>
      <c r="N6" s="151"/>
      <c r="O6" s="151"/>
      <c r="P6" s="151"/>
      <c r="Q6" s="190"/>
      <c r="R6" s="418"/>
    </row>
    <row r="7" spans="1:19" ht="14.1" customHeight="1" x14ac:dyDescent="0.25">
      <c r="A7" s="435"/>
      <c r="B7" s="219"/>
      <c r="C7" s="216"/>
      <c r="D7" s="258" t="s">
        <v>573</v>
      </c>
      <c r="E7" s="220">
        <v>12</v>
      </c>
      <c r="F7" s="268" t="s">
        <v>0</v>
      </c>
      <c r="G7" s="221"/>
      <c r="H7" s="219"/>
      <c r="I7" s="151"/>
      <c r="J7" s="151"/>
      <c r="K7" s="151"/>
      <c r="L7" s="151"/>
      <c r="M7" s="151"/>
      <c r="N7" s="151"/>
      <c r="O7" s="151"/>
      <c r="P7" s="151"/>
      <c r="Q7" s="190"/>
      <c r="R7" s="418"/>
    </row>
    <row r="8" spans="1:19" ht="14.1" customHeight="1" x14ac:dyDescent="0.25">
      <c r="A8" s="435"/>
      <c r="B8" s="219"/>
      <c r="C8" s="216"/>
      <c r="D8" s="258" t="s">
        <v>574</v>
      </c>
      <c r="E8" s="220">
        <v>40</v>
      </c>
      <c r="F8" s="268" t="s">
        <v>0</v>
      </c>
      <c r="G8" s="221"/>
      <c r="H8" s="219"/>
      <c r="I8" s="151"/>
      <c r="J8" s="151"/>
      <c r="K8" s="151"/>
      <c r="L8" s="151"/>
      <c r="M8" s="151"/>
      <c r="N8" s="151"/>
      <c r="O8" s="151"/>
      <c r="P8" s="151"/>
      <c r="Q8" s="190"/>
      <c r="R8" s="418"/>
    </row>
    <row r="9" spans="1:19" ht="14.1" customHeight="1" x14ac:dyDescent="0.25">
      <c r="A9" s="218"/>
      <c r="B9" s="219"/>
      <c r="C9" s="216"/>
      <c r="D9" s="258" t="s">
        <v>567</v>
      </c>
      <c r="E9" s="220">
        <v>5</v>
      </c>
      <c r="F9" s="268" t="s">
        <v>0</v>
      </c>
      <c r="G9" s="221"/>
      <c r="H9" s="219"/>
      <c r="I9" s="151"/>
      <c r="J9" s="151"/>
      <c r="K9" s="151"/>
      <c r="L9" s="151"/>
      <c r="M9" s="151"/>
      <c r="N9" s="151"/>
      <c r="O9" s="151"/>
      <c r="P9" s="151"/>
      <c r="Q9" s="190"/>
      <c r="R9" s="418"/>
      <c r="S9" s="146"/>
    </row>
    <row r="10" spans="1:19" ht="14.1" customHeight="1" x14ac:dyDescent="0.25">
      <c r="A10" s="218"/>
      <c r="B10" s="219"/>
      <c r="C10" s="216"/>
      <c r="D10" s="258" t="s">
        <v>566</v>
      </c>
      <c r="E10" s="220">
        <v>12</v>
      </c>
      <c r="F10" s="268" t="s">
        <v>2</v>
      </c>
      <c r="G10" s="221"/>
      <c r="H10" s="219"/>
      <c r="I10" s="151"/>
      <c r="J10" s="151"/>
      <c r="K10" s="151"/>
      <c r="L10" s="151"/>
      <c r="M10" s="151"/>
      <c r="N10" s="151"/>
      <c r="O10" s="151"/>
      <c r="P10" s="151"/>
      <c r="Q10" s="190"/>
      <c r="R10" s="418"/>
      <c r="S10" s="146"/>
    </row>
    <row r="11" spans="1:19" ht="14.1" customHeight="1" x14ac:dyDescent="0.25">
      <c r="A11" s="218"/>
      <c r="B11" s="219"/>
      <c r="C11" s="216"/>
      <c r="D11" s="258" t="s">
        <v>625</v>
      </c>
      <c r="E11" s="222">
        <v>250</v>
      </c>
      <c r="F11" s="268" t="s">
        <v>3</v>
      </c>
      <c r="G11" s="221"/>
      <c r="H11" s="219"/>
      <c r="I11" s="151"/>
      <c r="J11" s="151"/>
      <c r="K11" s="151"/>
      <c r="L11" s="151"/>
      <c r="M11" s="151"/>
      <c r="N11" s="151"/>
      <c r="O11" s="151"/>
      <c r="P11" s="151"/>
      <c r="Q11" s="190"/>
      <c r="R11" s="418"/>
    </row>
    <row r="12" spans="1:19" ht="14.1" customHeight="1" x14ac:dyDescent="0.25">
      <c r="A12" s="218"/>
      <c r="B12" s="219"/>
      <c r="C12" s="216"/>
      <c r="D12" s="258" t="s">
        <v>626</v>
      </c>
      <c r="E12" s="222">
        <v>250</v>
      </c>
      <c r="F12" s="268" t="s">
        <v>3</v>
      </c>
      <c r="G12" s="223"/>
      <c r="H12" s="219"/>
      <c r="I12" s="151"/>
      <c r="J12" s="151"/>
      <c r="K12" s="151"/>
      <c r="L12" s="151"/>
      <c r="M12" s="151"/>
      <c r="N12" s="151"/>
      <c r="O12" s="151"/>
      <c r="P12" s="151"/>
      <c r="Q12" s="190"/>
      <c r="R12" s="418"/>
    </row>
    <row r="13" spans="1:19" ht="15.95" customHeight="1" thickBot="1" x14ac:dyDescent="0.3">
      <c r="A13" s="269"/>
      <c r="B13" s="270"/>
      <c r="C13" s="217"/>
      <c r="D13" s="217" t="s">
        <v>569</v>
      </c>
      <c r="E13" s="284">
        <f>'Standard Value Calculator'!S4/1000</f>
        <v>40.200000000000003</v>
      </c>
      <c r="F13" s="271" t="s">
        <v>116</v>
      </c>
      <c r="G13" s="221"/>
      <c r="H13" s="219"/>
      <c r="I13" s="151"/>
      <c r="J13" s="151"/>
      <c r="K13" s="151"/>
      <c r="L13" s="151"/>
      <c r="M13" s="151"/>
      <c r="N13" s="151"/>
      <c r="O13" s="151"/>
      <c r="P13" s="151"/>
      <c r="Q13" s="190"/>
      <c r="R13" s="418"/>
    </row>
    <row r="14" spans="1:19" ht="14.1" customHeight="1" x14ac:dyDescent="0.2">
      <c r="A14" s="218"/>
      <c r="B14" s="219"/>
      <c r="C14" s="219"/>
      <c r="D14" s="224"/>
      <c r="E14" s="225"/>
      <c r="F14" s="219"/>
      <c r="G14" s="221"/>
      <c r="H14" s="219"/>
      <c r="I14" s="151"/>
      <c r="J14" s="151"/>
      <c r="K14" s="151"/>
      <c r="L14" s="151"/>
      <c r="M14" s="151"/>
      <c r="N14" s="151"/>
      <c r="O14" s="151"/>
      <c r="P14" s="151"/>
      <c r="Q14" s="190"/>
      <c r="R14" s="418"/>
    </row>
    <row r="15" spans="1:19" ht="20.100000000000001" customHeight="1" thickBot="1" x14ac:dyDescent="0.25">
      <c r="A15" s="253" t="s">
        <v>430</v>
      </c>
      <c r="B15" s="226"/>
      <c r="C15" s="227"/>
      <c r="D15" s="227"/>
      <c r="E15" s="228"/>
      <c r="F15" s="227"/>
      <c r="G15" s="221"/>
      <c r="H15" s="219"/>
      <c r="I15" s="151"/>
      <c r="J15" s="151"/>
      <c r="K15" s="151"/>
      <c r="L15" s="151"/>
      <c r="M15" s="151"/>
      <c r="N15" s="151"/>
      <c r="O15" s="151"/>
      <c r="P15" s="151"/>
      <c r="Q15" s="190"/>
      <c r="R15" s="418"/>
    </row>
    <row r="16" spans="1:19" ht="14.1" customHeight="1" x14ac:dyDescent="0.2">
      <c r="A16" s="316"/>
      <c r="B16" s="263"/>
      <c r="C16" s="264"/>
      <c r="D16" s="264" t="s">
        <v>461</v>
      </c>
      <c r="E16" s="523">
        <f>Lout1*1000000</f>
        <v>2.9195862529195864</v>
      </c>
      <c r="F16" s="272" t="s">
        <v>413</v>
      </c>
      <c r="G16" s="221"/>
      <c r="H16" s="219"/>
      <c r="I16" s="151"/>
      <c r="J16" s="151"/>
      <c r="K16" s="151"/>
      <c r="L16" s="151"/>
      <c r="M16" s="151"/>
      <c r="N16" s="151"/>
      <c r="O16" s="151"/>
      <c r="P16" s="151"/>
      <c r="Q16" s="190"/>
      <c r="R16" s="418"/>
    </row>
    <row r="17" spans="1:19" ht="14.1" customHeight="1" x14ac:dyDescent="0.25">
      <c r="A17" s="218"/>
      <c r="B17" s="219"/>
      <c r="C17" s="216"/>
      <c r="D17" s="258" t="s">
        <v>568</v>
      </c>
      <c r="E17" s="220">
        <v>3.3</v>
      </c>
      <c r="F17" s="268" t="s">
        <v>413</v>
      </c>
      <c r="G17" s="221"/>
      <c r="H17" s="219"/>
      <c r="I17" s="151"/>
      <c r="J17" s="151"/>
      <c r="K17" s="151"/>
      <c r="L17" s="151"/>
      <c r="M17" s="151"/>
      <c r="N17" s="151"/>
      <c r="O17" s="151"/>
      <c r="P17" s="151"/>
      <c r="Q17" s="190"/>
      <c r="R17" s="418"/>
    </row>
    <row r="18" spans="1:19" ht="14.1" customHeight="1" x14ac:dyDescent="0.2">
      <c r="A18" s="218"/>
      <c r="B18" s="219"/>
      <c r="C18" s="216"/>
      <c r="D18" s="258" t="s">
        <v>462</v>
      </c>
      <c r="E18" s="220">
        <v>6.8</v>
      </c>
      <c r="F18" s="268" t="s">
        <v>115</v>
      </c>
      <c r="G18" s="221"/>
      <c r="H18" s="219"/>
      <c r="I18" s="151"/>
      <c r="J18" s="151"/>
      <c r="K18" s="151"/>
      <c r="L18" s="151"/>
      <c r="M18" s="151"/>
      <c r="N18" s="151"/>
      <c r="O18" s="151"/>
      <c r="P18" s="151"/>
      <c r="Q18" s="190"/>
      <c r="R18" s="418"/>
    </row>
    <row r="19" spans="1:19" ht="15" customHeight="1" x14ac:dyDescent="0.25">
      <c r="A19" s="218"/>
      <c r="B19" s="219"/>
      <c r="C19" s="216"/>
      <c r="D19" s="434" t="s">
        <v>571</v>
      </c>
      <c r="E19" s="255">
        <f>Iripple1</f>
        <v>3.626989898989899</v>
      </c>
      <c r="F19" s="273" t="s">
        <v>446</v>
      </c>
      <c r="G19" s="221"/>
      <c r="H19" s="219"/>
      <c r="I19" s="151"/>
      <c r="J19" s="151"/>
      <c r="K19" s="151"/>
      <c r="L19" s="151"/>
      <c r="M19" s="151"/>
      <c r="N19" s="151"/>
      <c r="O19" s="151"/>
      <c r="P19" s="151"/>
      <c r="Q19" s="190"/>
      <c r="R19" s="418"/>
    </row>
    <row r="20" spans="1:19" ht="15" customHeight="1" thickBot="1" x14ac:dyDescent="0.3">
      <c r="A20" s="269"/>
      <c r="B20" s="270"/>
      <c r="C20" s="217"/>
      <c r="D20" s="217" t="s">
        <v>548</v>
      </c>
      <c r="E20" s="274">
        <f>Iripple1/Iout*100</f>
        <v>30.224915824915826</v>
      </c>
      <c r="F20" s="271" t="s">
        <v>300</v>
      </c>
      <c r="G20" s="221"/>
      <c r="H20" s="219"/>
      <c r="I20" s="151"/>
      <c r="J20" s="151"/>
      <c r="K20" s="151"/>
      <c r="L20" s="151"/>
      <c r="M20" s="151"/>
      <c r="N20" s="151"/>
      <c r="O20" s="151"/>
      <c r="P20" s="151"/>
      <c r="Q20" s="190"/>
      <c r="R20" s="418"/>
    </row>
    <row r="21" spans="1:19" ht="14.1" customHeight="1" x14ac:dyDescent="0.2">
      <c r="A21" s="218"/>
      <c r="B21" s="219"/>
      <c r="C21" s="219"/>
      <c r="D21" s="219"/>
      <c r="E21" s="219"/>
      <c r="F21" s="219"/>
      <c r="G21" s="221"/>
      <c r="H21" s="219"/>
      <c r="I21" s="151"/>
      <c r="J21" s="151"/>
      <c r="K21" s="151"/>
      <c r="L21" s="151"/>
      <c r="M21" s="151"/>
      <c r="N21" s="151"/>
      <c r="O21" s="151"/>
      <c r="P21" s="151"/>
      <c r="Q21" s="190"/>
      <c r="R21" s="418"/>
    </row>
    <row r="22" spans="1:19" ht="20.100000000000001" customHeight="1" thickBot="1" x14ac:dyDescent="0.3">
      <c r="A22" s="252" t="s">
        <v>565</v>
      </c>
      <c r="B22" s="229"/>
      <c r="C22" s="219"/>
      <c r="D22" s="219"/>
      <c r="E22" s="219"/>
      <c r="F22" s="219"/>
      <c r="G22" s="221"/>
      <c r="H22" s="219"/>
      <c r="I22" s="151"/>
      <c r="J22" s="151"/>
      <c r="K22" s="151"/>
      <c r="L22" s="151"/>
      <c r="M22" s="151"/>
      <c r="N22" s="151"/>
      <c r="O22" s="151"/>
      <c r="P22" s="151"/>
      <c r="Q22" s="190"/>
      <c r="R22" s="418"/>
    </row>
    <row r="23" spans="1:19" ht="15" customHeight="1" x14ac:dyDescent="0.25">
      <c r="A23" s="453"/>
      <c r="B23" s="324"/>
      <c r="C23" s="454"/>
      <c r="D23" s="458" t="s">
        <v>605</v>
      </c>
      <c r="E23" s="460">
        <v>6</v>
      </c>
      <c r="F23" s="459" t="s">
        <v>115</v>
      </c>
      <c r="G23" s="221"/>
      <c r="H23" s="219"/>
      <c r="I23" s="151"/>
      <c r="J23" s="151"/>
      <c r="K23" s="151"/>
      <c r="L23" s="151"/>
      <c r="M23" s="151"/>
      <c r="N23" s="151"/>
      <c r="O23" s="151"/>
      <c r="P23" s="151"/>
      <c r="Q23" s="190"/>
      <c r="R23" s="418"/>
      <c r="S23" s="147" t="s">
        <v>384</v>
      </c>
    </row>
    <row r="24" spans="1:19" ht="15" customHeight="1" x14ac:dyDescent="0.2">
      <c r="A24" s="218"/>
      <c r="B24" s="219"/>
      <c r="C24" s="219"/>
      <c r="D24" s="258" t="s">
        <v>463</v>
      </c>
      <c r="E24" s="220">
        <v>18</v>
      </c>
      <c r="F24" s="268" t="s">
        <v>2</v>
      </c>
      <c r="G24" s="221"/>
      <c r="H24" s="219"/>
      <c r="I24" s="151"/>
      <c r="J24" s="151"/>
      <c r="K24" s="151"/>
      <c r="L24" s="151"/>
      <c r="M24" s="151"/>
      <c r="N24" s="151"/>
      <c r="O24" s="151"/>
      <c r="P24" s="151"/>
      <c r="Q24" s="190"/>
      <c r="R24" s="418"/>
    </row>
    <row r="25" spans="1:19" ht="15" customHeight="1" x14ac:dyDescent="0.25">
      <c r="A25" s="219"/>
      <c r="B25" s="219"/>
      <c r="C25" s="219"/>
      <c r="D25" s="216" t="s">
        <v>589</v>
      </c>
      <c r="E25" s="256">
        <f>IF(RDSON_sense=1, Rilim_Rdson, Rilim_shunt)</f>
        <v>324</v>
      </c>
      <c r="F25" s="273" t="s">
        <v>274</v>
      </c>
      <c r="G25" s="223"/>
      <c r="H25" s="219"/>
      <c r="I25" s="151"/>
      <c r="J25" s="151"/>
      <c r="K25" s="151"/>
      <c r="L25" s="151"/>
      <c r="M25" s="151"/>
      <c r="N25" s="151"/>
      <c r="O25" s="151"/>
      <c r="P25" s="151"/>
      <c r="Q25" s="190"/>
      <c r="R25" s="418"/>
    </row>
    <row r="26" spans="1:19" ht="14.1" customHeight="1" x14ac:dyDescent="0.25">
      <c r="A26" s="218"/>
      <c r="B26" s="219"/>
      <c r="C26" s="219"/>
      <c r="D26" s="216" t="s">
        <v>570</v>
      </c>
      <c r="E26" s="255">
        <f>'Variable Management'!B51</f>
        <v>24</v>
      </c>
      <c r="F26" s="273" t="s">
        <v>2</v>
      </c>
      <c r="G26" s="219"/>
      <c r="H26" s="219"/>
      <c r="I26" s="151"/>
      <c r="J26" s="151"/>
      <c r="K26" s="151"/>
      <c r="L26" s="151"/>
      <c r="M26" s="151"/>
      <c r="N26" s="151"/>
      <c r="O26" s="151"/>
      <c r="P26" s="151"/>
      <c r="Q26" s="190"/>
      <c r="R26" s="418"/>
    </row>
    <row r="27" spans="1:19" ht="14.1" customHeight="1" thickBot="1" x14ac:dyDescent="0.3">
      <c r="A27" s="269"/>
      <c r="B27" s="270"/>
      <c r="C27" s="270"/>
      <c r="D27" s="455" t="s">
        <v>597</v>
      </c>
      <c r="E27" s="456">
        <f>_Rs3</f>
        <v>0.66</v>
      </c>
      <c r="F27" s="302" t="s">
        <v>208</v>
      </c>
      <c r="G27" s="219"/>
      <c r="H27" s="219"/>
      <c r="I27" s="151"/>
      <c r="J27" s="151"/>
      <c r="K27" s="151"/>
      <c r="L27" s="151"/>
      <c r="M27" s="151"/>
      <c r="N27" s="151"/>
      <c r="O27" s="151"/>
      <c r="P27" s="151"/>
      <c r="Q27" s="190"/>
      <c r="R27" s="418"/>
    </row>
    <row r="28" spans="1:19" ht="14.1" customHeight="1" x14ac:dyDescent="0.2">
      <c r="A28" s="323"/>
      <c r="B28" s="201"/>
      <c r="C28" s="201"/>
      <c r="D28" s="201"/>
      <c r="E28" s="201"/>
      <c r="F28" s="201"/>
      <c r="G28" s="219"/>
      <c r="H28" s="219"/>
      <c r="I28" s="151"/>
      <c r="J28" s="151"/>
      <c r="K28" s="151"/>
      <c r="L28" s="151"/>
      <c r="M28" s="151"/>
      <c r="N28" s="151"/>
      <c r="O28" s="151"/>
      <c r="P28" s="151"/>
      <c r="Q28" s="190"/>
      <c r="R28" s="418"/>
    </row>
    <row r="29" spans="1:19" ht="18.75" thickBot="1" x14ac:dyDescent="0.25">
      <c r="A29" s="253" t="s">
        <v>733</v>
      </c>
      <c r="B29" s="226"/>
      <c r="C29" s="227"/>
      <c r="D29" s="227"/>
      <c r="E29" s="228"/>
      <c r="F29" s="227"/>
      <c r="G29" s="219"/>
      <c r="H29" s="219"/>
      <c r="I29" s="151"/>
      <c r="J29" s="151"/>
      <c r="K29" s="151"/>
      <c r="L29" s="151"/>
      <c r="M29" s="151"/>
      <c r="N29" s="151"/>
      <c r="O29" s="151"/>
      <c r="P29" s="151"/>
      <c r="Q29" s="190"/>
      <c r="R29" s="418"/>
    </row>
    <row r="30" spans="1:19" ht="14.1" customHeight="1" x14ac:dyDescent="0.25">
      <c r="A30" s="317"/>
      <c r="B30" s="276"/>
      <c r="C30" s="264"/>
      <c r="D30" s="277" t="s">
        <v>464</v>
      </c>
      <c r="E30" s="278">
        <v>20</v>
      </c>
      <c r="F30" s="267" t="s">
        <v>447</v>
      </c>
      <c r="G30" s="219"/>
      <c r="H30" s="219"/>
      <c r="I30" s="151"/>
      <c r="J30" s="151"/>
      <c r="K30" s="151"/>
      <c r="L30" s="151"/>
      <c r="M30" s="151"/>
      <c r="N30" s="151"/>
      <c r="O30" s="151"/>
      <c r="P30" s="151"/>
      <c r="Q30" s="190"/>
      <c r="R30" s="418"/>
    </row>
    <row r="31" spans="1:19" ht="14.1" customHeight="1" x14ac:dyDescent="0.2">
      <c r="A31" s="218"/>
      <c r="B31" s="219"/>
      <c r="C31" s="216"/>
      <c r="D31" s="216" t="s">
        <v>465</v>
      </c>
      <c r="E31" s="256">
        <f>Coutmin*1000000</f>
        <v>90.674747474747463</v>
      </c>
      <c r="F31" s="273" t="s">
        <v>414</v>
      </c>
      <c r="G31" s="219"/>
      <c r="H31" s="219"/>
      <c r="I31" s="151"/>
      <c r="J31" s="151"/>
      <c r="K31" s="151"/>
      <c r="L31" s="151"/>
      <c r="M31" s="151"/>
      <c r="N31" s="151"/>
      <c r="O31" s="151"/>
      <c r="P31" s="151"/>
      <c r="Q31" s="190"/>
      <c r="R31" s="418"/>
    </row>
    <row r="32" spans="1:19" ht="14.1" customHeight="1" x14ac:dyDescent="0.25">
      <c r="A32" s="218"/>
      <c r="B32" s="219"/>
      <c r="C32" s="216"/>
      <c r="D32" s="215" t="s">
        <v>739</v>
      </c>
      <c r="E32" s="220">
        <v>330</v>
      </c>
      <c r="F32" s="268" t="s">
        <v>414</v>
      </c>
      <c r="G32" s="221"/>
      <c r="H32" s="219"/>
      <c r="I32" s="151"/>
      <c r="J32" s="151"/>
      <c r="K32" s="151"/>
      <c r="L32" s="151"/>
      <c r="M32" s="151"/>
      <c r="N32" s="151"/>
      <c r="O32" s="151"/>
      <c r="P32" s="151"/>
      <c r="Q32" s="190"/>
      <c r="R32" s="418"/>
    </row>
    <row r="33" spans="1:18" ht="14.1" customHeight="1" x14ac:dyDescent="0.2">
      <c r="A33" s="218"/>
      <c r="B33" s="219"/>
      <c r="C33" s="216"/>
      <c r="D33" s="216" t="s">
        <v>466</v>
      </c>
      <c r="E33" s="257">
        <f>IF(ISERROR(Resrmax*1000),"N/A",Resrmax*1000)</f>
        <v>5.3019691199748653</v>
      </c>
      <c r="F33" s="273" t="s">
        <v>115</v>
      </c>
      <c r="G33" s="221"/>
      <c r="H33" s="219"/>
      <c r="I33" s="151"/>
      <c r="J33" s="151"/>
      <c r="K33" s="151"/>
      <c r="L33" s="151"/>
      <c r="M33" s="151"/>
      <c r="N33" s="151"/>
      <c r="O33" s="151"/>
      <c r="P33" s="151"/>
      <c r="Q33" s="190"/>
      <c r="R33" s="418"/>
    </row>
    <row r="34" spans="1:18" ht="14.1" customHeight="1" x14ac:dyDescent="0.2">
      <c r="A34" s="218"/>
      <c r="B34" s="219"/>
      <c r="C34" s="216"/>
      <c r="D34" s="215" t="s">
        <v>467</v>
      </c>
      <c r="E34" s="222">
        <v>2</v>
      </c>
      <c r="F34" s="268" t="s">
        <v>115</v>
      </c>
      <c r="G34" s="221"/>
      <c r="H34" s="219"/>
      <c r="I34" s="151"/>
      <c r="J34" s="151"/>
      <c r="K34" s="151"/>
      <c r="L34" s="151"/>
      <c r="M34" s="151"/>
      <c r="N34" s="151"/>
      <c r="O34" s="151"/>
      <c r="P34" s="151"/>
      <c r="Q34" s="190"/>
      <c r="R34" s="418"/>
    </row>
    <row r="35" spans="1:18" ht="14.1" customHeight="1" x14ac:dyDescent="0.25">
      <c r="A35" s="218"/>
      <c r="B35" s="219"/>
      <c r="C35" s="219"/>
      <c r="D35" s="216" t="s">
        <v>468</v>
      </c>
      <c r="E35" s="256">
        <f>Vripple2*1000</f>
        <v>9.1005535743631718</v>
      </c>
      <c r="F35" s="273" t="s">
        <v>457</v>
      </c>
      <c r="G35" s="221"/>
      <c r="H35" s="219"/>
      <c r="I35" s="151"/>
      <c r="J35" s="151"/>
      <c r="K35" s="151"/>
      <c r="L35" s="151"/>
      <c r="M35" s="151"/>
      <c r="N35" s="151"/>
      <c r="O35" s="151"/>
      <c r="P35" s="151"/>
      <c r="Q35" s="190"/>
      <c r="R35" s="418"/>
    </row>
    <row r="36" spans="1:18" ht="14.1" customHeight="1" thickBot="1" x14ac:dyDescent="0.25">
      <c r="A36" s="269"/>
      <c r="B36" s="270"/>
      <c r="C36" s="270"/>
      <c r="D36" s="217" t="s">
        <v>469</v>
      </c>
      <c r="E36" s="275">
        <f>Icoutrms</f>
        <v>1.0470217972649358</v>
      </c>
      <c r="F36" s="271" t="s">
        <v>282</v>
      </c>
      <c r="G36" s="223"/>
      <c r="H36" s="219"/>
      <c r="I36" s="151"/>
      <c r="J36" s="151"/>
      <c r="K36" s="192"/>
      <c r="L36" s="151"/>
      <c r="M36" s="151"/>
      <c r="N36" s="151"/>
      <c r="O36" s="151"/>
      <c r="P36" s="151"/>
      <c r="Q36" s="190"/>
      <c r="R36" s="418"/>
    </row>
    <row r="37" spans="1:18" ht="14.1" customHeight="1" x14ac:dyDescent="0.2">
      <c r="A37" s="318"/>
      <c r="B37" s="230"/>
      <c r="C37" s="230"/>
      <c r="D37" s="230"/>
      <c r="E37" s="230"/>
      <c r="F37" s="230"/>
      <c r="G37" s="219"/>
      <c r="H37" s="219"/>
      <c r="I37" s="151"/>
      <c r="J37" s="151"/>
      <c r="K37" s="151"/>
      <c r="L37" s="151"/>
      <c r="M37" s="151"/>
      <c r="N37" s="151"/>
      <c r="O37" s="151"/>
      <c r="P37" s="151"/>
      <c r="Q37" s="190"/>
      <c r="R37" s="418"/>
    </row>
    <row r="38" spans="1:18" ht="18.75" thickBot="1" x14ac:dyDescent="0.25">
      <c r="A38" s="252" t="s">
        <v>734</v>
      </c>
      <c r="B38" s="229"/>
      <c r="C38" s="231"/>
      <c r="D38" s="231"/>
      <c r="E38" s="219"/>
      <c r="F38" s="219"/>
      <c r="G38" s="219"/>
      <c r="H38" s="219"/>
      <c r="I38" s="151"/>
      <c r="J38" s="151"/>
      <c r="K38" s="151"/>
      <c r="L38" s="193"/>
      <c r="M38" s="151"/>
      <c r="N38" s="151"/>
      <c r="O38" s="151"/>
      <c r="P38" s="151"/>
      <c r="Q38" s="190"/>
      <c r="R38" s="418"/>
    </row>
    <row r="39" spans="1:18" ht="14.1" customHeight="1" x14ac:dyDescent="0.25">
      <c r="A39" s="295"/>
      <c r="B39" s="279"/>
      <c r="C39" s="263"/>
      <c r="D39" s="265" t="s">
        <v>470</v>
      </c>
      <c r="E39" s="278">
        <v>500</v>
      </c>
      <c r="F39" s="280" t="s">
        <v>447</v>
      </c>
      <c r="G39" s="219"/>
      <c r="H39" s="219"/>
      <c r="I39" s="151"/>
      <c r="J39" s="194"/>
      <c r="K39" s="151"/>
      <c r="L39" s="151"/>
      <c r="M39" s="151"/>
      <c r="N39" s="151"/>
      <c r="O39" s="151"/>
      <c r="P39" s="151"/>
      <c r="Q39" s="190"/>
      <c r="R39" s="418"/>
    </row>
    <row r="40" spans="1:18" ht="14.1" customHeight="1" x14ac:dyDescent="0.2">
      <c r="A40" s="232"/>
      <c r="B40" s="231"/>
      <c r="C40" s="219"/>
      <c r="D40" s="216" t="s">
        <v>471</v>
      </c>
      <c r="E40" s="256">
        <f>'Variable Management'!B80*1000000</f>
        <v>23.494935893333334</v>
      </c>
      <c r="F40" s="273" t="s">
        <v>414</v>
      </c>
      <c r="G40" s="219"/>
      <c r="H40" s="219"/>
      <c r="I40" s="151"/>
      <c r="J40" s="194"/>
      <c r="K40" s="151"/>
      <c r="L40" s="151"/>
      <c r="M40" s="151"/>
      <c r="N40" s="151"/>
      <c r="O40" s="151"/>
      <c r="P40" s="151"/>
      <c r="Q40" s="190"/>
      <c r="R40" s="418"/>
    </row>
    <row r="41" spans="1:18" ht="14.1" customHeight="1" x14ac:dyDescent="0.25">
      <c r="A41" s="218"/>
      <c r="B41" s="219"/>
      <c r="C41" s="231"/>
      <c r="D41" s="258" t="s">
        <v>740</v>
      </c>
      <c r="E41" s="233">
        <v>24</v>
      </c>
      <c r="F41" s="268" t="s">
        <v>414</v>
      </c>
      <c r="G41" s="219"/>
      <c r="H41" s="219"/>
      <c r="I41" s="151"/>
      <c r="J41" s="194"/>
      <c r="K41" s="151"/>
      <c r="L41" s="151"/>
      <c r="M41" s="151"/>
      <c r="N41" s="151"/>
      <c r="O41" s="151"/>
      <c r="P41" s="151"/>
      <c r="Q41" s="190"/>
      <c r="R41" s="418"/>
    </row>
    <row r="42" spans="1:18" ht="14.1" customHeight="1" x14ac:dyDescent="0.2">
      <c r="A42" s="218"/>
      <c r="B42" s="219"/>
      <c r="C42" s="231"/>
      <c r="D42" s="216" t="s">
        <v>466</v>
      </c>
      <c r="E42" s="257">
        <f>IF(CinEsrMax*1000&lt;0,"N/A",CinEsrMax*1000)</f>
        <v>0.761731113477083</v>
      </c>
      <c r="F42" s="273" t="s">
        <v>115</v>
      </c>
      <c r="G42" s="219"/>
      <c r="H42" s="219"/>
      <c r="I42" s="151"/>
      <c r="J42" s="195"/>
      <c r="K42" s="151"/>
      <c r="L42" s="151"/>
      <c r="M42" s="151"/>
      <c r="N42" s="151"/>
      <c r="O42" s="151"/>
      <c r="P42" s="151"/>
      <c r="Q42" s="190" t="s">
        <v>343</v>
      </c>
      <c r="R42" s="418"/>
    </row>
    <row r="43" spans="1:18" ht="14.1" customHeight="1" x14ac:dyDescent="0.2">
      <c r="A43" s="218"/>
      <c r="B43" s="219"/>
      <c r="C43" s="231"/>
      <c r="D43" s="258" t="s">
        <v>472</v>
      </c>
      <c r="E43" s="233">
        <v>0.33</v>
      </c>
      <c r="F43" s="268" t="s">
        <v>115</v>
      </c>
      <c r="G43" s="219"/>
      <c r="H43" s="219"/>
      <c r="I43" s="151"/>
      <c r="J43" s="195"/>
      <c r="K43" s="151"/>
      <c r="L43" s="151"/>
      <c r="M43" s="151"/>
      <c r="N43" s="151"/>
      <c r="O43" s="151"/>
      <c r="P43" s="151"/>
      <c r="Q43" s="190"/>
      <c r="R43" s="418"/>
    </row>
    <row r="44" spans="1:18" ht="14.1" customHeight="1" x14ac:dyDescent="0.25">
      <c r="A44" s="218"/>
      <c r="B44" s="219"/>
      <c r="C44" s="231"/>
      <c r="D44" s="216" t="s">
        <v>473</v>
      </c>
      <c r="E44" s="256">
        <f>Vinripple2*1000</f>
        <v>494.03628444444445</v>
      </c>
      <c r="F44" s="273" t="s">
        <v>457</v>
      </c>
      <c r="G44" s="219"/>
      <c r="H44" s="219"/>
      <c r="I44" s="151"/>
      <c r="J44" s="195"/>
      <c r="K44" s="151"/>
      <c r="L44" s="151"/>
      <c r="M44" s="151"/>
      <c r="N44" s="151"/>
      <c r="O44" s="151"/>
      <c r="P44" s="151"/>
      <c r="Q44" s="190"/>
      <c r="R44" s="418"/>
    </row>
    <row r="45" spans="1:18" ht="14.1" customHeight="1" thickBot="1" x14ac:dyDescent="0.25">
      <c r="A45" s="269"/>
      <c r="B45" s="270"/>
      <c r="C45" s="270"/>
      <c r="D45" s="217" t="s">
        <v>474</v>
      </c>
      <c r="E45" s="275">
        <f>Icinrms</f>
        <v>5.9365312969780595</v>
      </c>
      <c r="F45" s="281" t="s">
        <v>282</v>
      </c>
      <c r="G45" s="219"/>
      <c r="H45" s="219"/>
      <c r="I45" s="151"/>
      <c r="J45" s="151"/>
      <c r="K45" s="151"/>
      <c r="L45" s="151"/>
      <c r="M45" s="151"/>
      <c r="N45" s="151"/>
      <c r="O45" s="151"/>
      <c r="P45" s="151"/>
      <c r="Q45" s="190"/>
      <c r="R45" s="418"/>
    </row>
    <row r="46" spans="1:18" ht="14.1" customHeight="1" x14ac:dyDescent="0.2">
      <c r="A46" s="218"/>
      <c r="B46" s="219"/>
      <c r="C46" s="219"/>
      <c r="D46" s="216"/>
      <c r="E46" s="219"/>
      <c r="F46" s="219"/>
      <c r="G46" s="219"/>
      <c r="H46" s="219"/>
      <c r="I46" s="151"/>
      <c r="J46" s="151"/>
      <c r="K46" s="151"/>
      <c r="L46" s="151"/>
      <c r="M46" s="151"/>
      <c r="N46" s="151"/>
      <c r="O46" s="151"/>
      <c r="P46" s="151"/>
      <c r="Q46" s="190"/>
      <c r="R46" s="418"/>
    </row>
    <row r="47" spans="1:18" ht="18.75" thickBot="1" x14ac:dyDescent="0.25">
      <c r="A47" s="252" t="s">
        <v>614</v>
      </c>
      <c r="B47" s="229"/>
      <c r="C47" s="219"/>
      <c r="D47" s="216"/>
      <c r="E47" s="219"/>
      <c r="F47" s="219"/>
      <c r="G47" s="219"/>
      <c r="H47" s="234"/>
      <c r="I47" s="211"/>
      <c r="J47" s="211"/>
      <c r="K47" s="211"/>
      <c r="L47" s="211"/>
      <c r="M47" s="201"/>
      <c r="N47" s="151"/>
      <c r="O47" s="151"/>
      <c r="P47" s="151"/>
      <c r="Q47" s="190"/>
      <c r="R47" s="418"/>
    </row>
    <row r="48" spans="1:18" ht="14.1" customHeight="1" x14ac:dyDescent="0.25">
      <c r="A48" s="316"/>
      <c r="B48" s="263"/>
      <c r="C48" s="263"/>
      <c r="D48" s="282" t="s">
        <v>617</v>
      </c>
      <c r="E48" s="283">
        <v>4.2</v>
      </c>
      <c r="F48" s="267" t="s">
        <v>291</v>
      </c>
      <c r="G48" s="219"/>
      <c r="H48" s="230"/>
      <c r="I48" s="201"/>
      <c r="J48" s="201"/>
      <c r="K48" s="201"/>
      <c r="L48" s="201"/>
      <c r="M48" s="201"/>
      <c r="N48" s="151"/>
      <c r="O48" s="151"/>
      <c r="P48" s="151"/>
      <c r="Q48" s="190"/>
      <c r="R48" s="418"/>
    </row>
    <row r="49" spans="1:35" ht="14.1" customHeight="1" x14ac:dyDescent="0.25">
      <c r="A49" s="218"/>
      <c r="B49" s="219"/>
      <c r="C49" s="219"/>
      <c r="D49" s="216" t="s">
        <v>618</v>
      </c>
      <c r="E49" s="257">
        <f>Css_u*1000000000</f>
        <v>56</v>
      </c>
      <c r="F49" s="273" t="s">
        <v>278</v>
      </c>
      <c r="G49" s="219"/>
      <c r="H49" s="230"/>
      <c r="I49" s="201"/>
      <c r="J49" s="201"/>
      <c r="K49" s="201"/>
      <c r="L49" s="201"/>
      <c r="M49" s="201"/>
      <c r="N49" s="151"/>
      <c r="O49" s="151"/>
      <c r="P49" s="151"/>
      <c r="Q49" s="190"/>
      <c r="R49" s="418"/>
    </row>
    <row r="50" spans="1:35" ht="14.1" customHeight="1" x14ac:dyDescent="0.2">
      <c r="A50" s="218"/>
      <c r="B50" s="219"/>
      <c r="C50" s="231"/>
      <c r="D50" s="215" t="s">
        <v>615</v>
      </c>
      <c r="E50" s="357">
        <v>6.5</v>
      </c>
      <c r="F50" s="268" t="s">
        <v>0</v>
      </c>
      <c r="G50" s="219"/>
      <c r="H50" s="219"/>
      <c r="I50" s="151"/>
      <c r="J50" s="149"/>
      <c r="K50" s="214"/>
      <c r="L50" s="151"/>
      <c r="M50" s="201"/>
      <c r="N50" s="151"/>
      <c r="O50" s="151"/>
      <c r="P50" s="151"/>
      <c r="Q50" s="190"/>
      <c r="R50" s="418"/>
    </row>
    <row r="51" spans="1:35" ht="14.1" customHeight="1" x14ac:dyDescent="0.2">
      <c r="A51" s="218"/>
      <c r="B51" s="219"/>
      <c r="C51" s="231"/>
      <c r="D51" s="215" t="s">
        <v>616</v>
      </c>
      <c r="E51" s="357">
        <v>6</v>
      </c>
      <c r="F51" s="268" t="s">
        <v>0</v>
      </c>
      <c r="G51" s="219"/>
      <c r="H51" s="219"/>
      <c r="I51" s="151"/>
      <c r="J51" s="149"/>
      <c r="K51" s="214"/>
      <c r="L51" s="151"/>
      <c r="M51" s="201"/>
      <c r="N51" s="151"/>
      <c r="O51" s="151"/>
      <c r="P51" s="151"/>
      <c r="Q51" s="190"/>
      <c r="R51" s="418"/>
    </row>
    <row r="52" spans="1:35" ht="14.1" customHeight="1" x14ac:dyDescent="0.25">
      <c r="A52" s="218"/>
      <c r="B52" s="219"/>
      <c r="C52" s="219"/>
      <c r="D52" s="216" t="s">
        <v>598</v>
      </c>
      <c r="E52" s="356">
        <f>'Variable Management'!F97</f>
        <v>49.900000000000006</v>
      </c>
      <c r="F52" s="273" t="s">
        <v>116</v>
      </c>
      <c r="G52" s="219"/>
      <c r="H52" s="219"/>
      <c r="I52" s="151"/>
      <c r="J52" s="149"/>
      <c r="K52" s="214"/>
      <c r="L52" s="151"/>
      <c r="M52" s="201"/>
      <c r="N52" s="151"/>
      <c r="O52" s="151"/>
      <c r="P52" s="151"/>
      <c r="Q52" s="190"/>
      <c r="R52" s="418"/>
    </row>
    <row r="53" spans="1:35" ht="14.1" customHeight="1" thickBot="1" x14ac:dyDescent="0.3">
      <c r="A53" s="269"/>
      <c r="B53" s="270"/>
      <c r="C53" s="270"/>
      <c r="D53" s="217" t="s">
        <v>599</v>
      </c>
      <c r="E53" s="284">
        <f>'Variable Management'!F98</f>
        <v>11.3</v>
      </c>
      <c r="F53" s="271" t="s">
        <v>116</v>
      </c>
      <c r="G53" s="219"/>
      <c r="H53" s="219"/>
      <c r="I53" s="151"/>
      <c r="J53" s="149"/>
      <c r="K53" s="214"/>
      <c r="L53" s="151"/>
      <c r="M53" s="201"/>
      <c r="N53" s="151"/>
      <c r="O53" s="151"/>
      <c r="P53" s="151"/>
      <c r="Q53" s="190"/>
      <c r="R53" s="418"/>
    </row>
    <row r="54" spans="1:35" ht="14.1" customHeight="1" x14ac:dyDescent="0.2">
      <c r="A54" s="218" t="s">
        <v>735</v>
      </c>
      <c r="B54" s="219"/>
      <c r="C54" s="219"/>
      <c r="D54" s="216"/>
      <c r="E54" s="235"/>
      <c r="F54" s="219"/>
      <c r="G54" s="219"/>
      <c r="H54" s="219"/>
      <c r="I54" s="151"/>
      <c r="J54" s="149"/>
      <c r="K54" s="214"/>
      <c r="L54" s="151"/>
      <c r="M54" s="201"/>
      <c r="N54" s="151"/>
      <c r="O54" s="151"/>
      <c r="P54" s="151"/>
      <c r="Q54" s="190"/>
      <c r="R54" s="418"/>
    </row>
    <row r="55" spans="1:35" ht="14.1" customHeight="1" x14ac:dyDescent="0.2">
      <c r="A55" s="318" t="s">
        <v>736</v>
      </c>
      <c r="B55" s="201"/>
      <c r="C55" s="201"/>
      <c r="D55" s="201"/>
      <c r="E55" s="201"/>
      <c r="F55" s="201"/>
      <c r="G55" s="219"/>
      <c r="H55" s="219"/>
      <c r="I55" s="151"/>
      <c r="J55" s="149"/>
      <c r="K55" s="214"/>
      <c r="L55" s="151"/>
      <c r="M55" s="201"/>
      <c r="N55" s="151"/>
      <c r="O55" s="151"/>
      <c r="P55" s="151"/>
      <c r="Q55" s="190"/>
      <c r="R55" s="418"/>
    </row>
    <row r="56" spans="1:35" ht="14.1" customHeight="1" x14ac:dyDescent="0.2">
      <c r="A56" s="323"/>
      <c r="B56" s="219"/>
      <c r="C56" s="219"/>
      <c r="D56" s="216"/>
      <c r="E56" s="235"/>
      <c r="F56" s="219"/>
      <c r="G56" s="219"/>
      <c r="H56" s="219"/>
      <c r="I56" s="151"/>
      <c r="J56" s="149"/>
      <c r="K56" s="214"/>
      <c r="L56" s="151"/>
      <c r="M56" s="201"/>
      <c r="N56" s="151"/>
      <c r="O56" s="151"/>
      <c r="P56" s="151"/>
      <c r="Q56" s="190"/>
      <c r="R56" s="418"/>
    </row>
    <row r="57" spans="1:35" ht="24.95" customHeight="1" thickBot="1" x14ac:dyDescent="0.25">
      <c r="A57" s="315" t="s">
        <v>459</v>
      </c>
      <c r="B57" s="237"/>
      <c r="C57" s="227"/>
      <c r="D57" s="227"/>
      <c r="E57" s="228"/>
      <c r="F57" s="227"/>
      <c r="G57" s="219"/>
      <c r="H57" s="219"/>
      <c r="I57" s="151"/>
      <c r="J57" s="151"/>
      <c r="K57" s="151"/>
      <c r="L57" s="151"/>
      <c r="M57" s="151"/>
      <c r="N57" s="151"/>
      <c r="O57" s="151"/>
      <c r="P57" s="151"/>
      <c r="Q57" s="190"/>
      <c r="R57" s="419"/>
      <c r="S57" s="103"/>
      <c r="T57" s="103"/>
      <c r="W57" s="103"/>
      <c r="X57" s="103"/>
      <c r="Y57" s="103"/>
      <c r="AB57" s="103"/>
      <c r="AC57" s="103"/>
      <c r="AD57" s="103"/>
      <c r="AG57" s="103"/>
      <c r="AH57" s="103"/>
      <c r="AI57" s="103"/>
    </row>
    <row r="58" spans="1:35" ht="14.1" customHeight="1" x14ac:dyDescent="0.2">
      <c r="A58" s="316"/>
      <c r="B58" s="263"/>
      <c r="C58" s="264"/>
      <c r="D58" s="264" t="s">
        <v>475</v>
      </c>
      <c r="E58" s="286">
        <f>Fo/1000</f>
        <v>4.8504458215256934</v>
      </c>
      <c r="F58" s="272" t="s">
        <v>3</v>
      </c>
      <c r="G58" s="219"/>
      <c r="H58" s="219"/>
      <c r="I58" s="151"/>
      <c r="J58" s="151"/>
      <c r="K58" s="151"/>
      <c r="L58" s="151"/>
      <c r="M58" s="151"/>
      <c r="N58" s="151"/>
      <c r="O58" s="151"/>
      <c r="P58" s="151"/>
      <c r="Q58" s="190"/>
      <c r="R58" s="419"/>
      <c r="S58" s="103"/>
      <c r="T58" s="103"/>
      <c r="W58" s="103"/>
      <c r="X58" s="103"/>
      <c r="Y58" s="103"/>
      <c r="AB58" s="103"/>
      <c r="AC58" s="103"/>
      <c r="AD58" s="103"/>
      <c r="AG58" s="103"/>
      <c r="AH58" s="103"/>
      <c r="AI58" s="103"/>
    </row>
    <row r="59" spans="1:35" ht="14.1" customHeight="1" x14ac:dyDescent="0.2">
      <c r="A59" s="218"/>
      <c r="B59" s="219"/>
      <c r="C59" s="216"/>
      <c r="D59" s="216" t="s">
        <v>476</v>
      </c>
      <c r="E59" s="256">
        <f>Fesr/1000</f>
        <v>241.1438534450854</v>
      </c>
      <c r="F59" s="273" t="s">
        <v>3</v>
      </c>
      <c r="G59" s="219"/>
      <c r="H59" s="219"/>
      <c r="I59" s="151"/>
      <c r="J59" s="151"/>
      <c r="K59" s="151"/>
      <c r="L59" s="151"/>
      <c r="M59" s="151"/>
      <c r="N59" s="151"/>
      <c r="O59" s="151"/>
      <c r="P59" s="151"/>
      <c r="Q59" s="190"/>
      <c r="R59" s="419"/>
      <c r="S59" s="103"/>
      <c r="T59" s="103"/>
      <c r="W59" s="103"/>
      <c r="X59" s="103"/>
      <c r="Y59" s="103"/>
      <c r="AB59" s="103"/>
      <c r="AC59" s="103"/>
      <c r="AD59" s="103"/>
      <c r="AG59" s="103"/>
      <c r="AH59" s="103"/>
      <c r="AI59" s="103"/>
    </row>
    <row r="60" spans="1:35" ht="14.1" customHeight="1" x14ac:dyDescent="0.2">
      <c r="A60" s="218"/>
      <c r="B60" s="219"/>
      <c r="C60" s="216"/>
      <c r="D60" s="215" t="s">
        <v>485</v>
      </c>
      <c r="E60" s="259">
        <v>30</v>
      </c>
      <c r="F60" s="461" t="s">
        <v>613</v>
      </c>
      <c r="G60" s="219"/>
      <c r="H60" s="219"/>
      <c r="I60" s="151"/>
      <c r="J60" s="151"/>
      <c r="K60" s="151"/>
      <c r="L60" s="151"/>
      <c r="M60" s="151"/>
      <c r="N60" s="151"/>
      <c r="O60" s="151"/>
      <c r="P60" s="151"/>
      <c r="Q60" s="190"/>
      <c r="R60" s="419"/>
      <c r="S60" s="103"/>
      <c r="T60" s="103"/>
      <c r="W60" s="103"/>
      <c r="X60" s="103"/>
      <c r="Y60" s="103"/>
      <c r="AB60" s="103"/>
      <c r="AC60" s="103"/>
      <c r="AD60" s="103"/>
      <c r="AG60" s="103"/>
      <c r="AH60" s="103"/>
      <c r="AI60" s="103"/>
    </row>
    <row r="61" spans="1:35" ht="14.1" customHeight="1" x14ac:dyDescent="0.2">
      <c r="A61" s="218"/>
      <c r="B61" s="219"/>
      <c r="C61" s="216"/>
      <c r="D61" s="216" t="s">
        <v>477</v>
      </c>
      <c r="E61" s="254">
        <f>Kmidband</f>
        <v>0.41233323154012796</v>
      </c>
      <c r="F61" s="273" t="s">
        <v>49</v>
      </c>
      <c r="G61" s="219"/>
      <c r="H61" s="219"/>
      <c r="I61" s="151"/>
      <c r="J61" s="151"/>
      <c r="K61" s="151"/>
      <c r="L61" s="151"/>
      <c r="M61" s="151"/>
      <c r="N61" s="151"/>
      <c r="O61" s="151"/>
      <c r="P61" s="151"/>
      <c r="Q61" s="190"/>
      <c r="R61" s="419"/>
      <c r="S61" s="103"/>
      <c r="T61" s="103"/>
      <c r="W61" s="103"/>
      <c r="X61" s="103"/>
      <c r="Y61" s="103"/>
      <c r="AB61" s="103"/>
      <c r="AC61" s="103"/>
      <c r="AD61" s="103"/>
      <c r="AG61" s="103"/>
      <c r="AH61" s="103"/>
      <c r="AI61" s="103"/>
    </row>
    <row r="62" spans="1:35" ht="15.95" customHeight="1" x14ac:dyDescent="0.25">
      <c r="A62" s="218"/>
      <c r="B62" s="219"/>
      <c r="C62" s="216"/>
      <c r="D62" s="215" t="s">
        <v>600</v>
      </c>
      <c r="E62" s="260">
        <v>20</v>
      </c>
      <c r="F62" s="268" t="s">
        <v>116</v>
      </c>
      <c r="G62" s="219"/>
      <c r="H62" s="219"/>
      <c r="I62" s="151"/>
      <c r="J62" s="151"/>
      <c r="K62" s="151"/>
      <c r="L62" s="151"/>
      <c r="M62" s="151"/>
      <c r="N62" s="151"/>
      <c r="O62" s="151"/>
      <c r="P62" s="151"/>
      <c r="Q62" s="190"/>
      <c r="R62" s="419"/>
      <c r="S62" s="103"/>
      <c r="T62" s="103"/>
      <c r="W62" s="103"/>
      <c r="X62" s="103"/>
      <c r="Y62" s="103"/>
      <c r="AB62" s="103"/>
      <c r="AC62" s="103"/>
      <c r="AD62" s="103"/>
      <c r="AG62" s="103"/>
      <c r="AH62" s="103"/>
      <c r="AI62" s="103"/>
    </row>
    <row r="63" spans="1:35" ht="15.95" customHeight="1" x14ac:dyDescent="0.25">
      <c r="A63" s="435"/>
      <c r="B63" s="219"/>
      <c r="C63" s="216"/>
      <c r="D63" s="216" t="s">
        <v>601</v>
      </c>
      <c r="E63" s="356">
        <f>IF(Vout=Vref,"OPEN",Rfb2_u/1000)</f>
        <v>3.83</v>
      </c>
      <c r="F63" s="273" t="str">
        <f>IF(Vout=Vref,"","kΩ")</f>
        <v>kΩ</v>
      </c>
      <c r="G63" s="219"/>
      <c r="H63" s="219"/>
      <c r="I63" s="151"/>
      <c r="J63" s="151"/>
      <c r="K63" s="151"/>
      <c r="L63" s="151"/>
      <c r="M63" s="151"/>
      <c r="N63" s="151"/>
      <c r="O63" s="151"/>
      <c r="P63" s="151"/>
      <c r="Q63" s="190"/>
      <c r="R63" s="419"/>
      <c r="S63" s="103"/>
      <c r="T63" s="103"/>
      <c r="W63" s="103"/>
      <c r="X63" s="103"/>
      <c r="Y63" s="103"/>
      <c r="AB63" s="103"/>
      <c r="AC63" s="103"/>
      <c r="AD63" s="103"/>
      <c r="AG63" s="103"/>
      <c r="AH63" s="103"/>
      <c r="AI63" s="103"/>
    </row>
    <row r="64" spans="1:35" ht="15.95" customHeight="1" thickBot="1" x14ac:dyDescent="0.3">
      <c r="A64" s="269"/>
      <c r="B64" s="326"/>
      <c r="C64" s="326"/>
      <c r="D64" s="455" t="s">
        <v>708</v>
      </c>
      <c r="E64" s="555">
        <f>'Variable Management'!B129</f>
        <v>4.9775456919060055</v>
      </c>
      <c r="F64" s="302" t="s">
        <v>0</v>
      </c>
      <c r="G64" s="219"/>
      <c r="H64" s="219"/>
      <c r="I64" s="151"/>
      <c r="J64" s="151"/>
      <c r="K64" s="151"/>
      <c r="L64" s="151"/>
      <c r="M64" s="151"/>
      <c r="N64" s="151"/>
      <c r="O64" s="151"/>
      <c r="P64" s="151"/>
      <c r="Q64" s="190"/>
      <c r="R64" s="419"/>
      <c r="S64" s="103"/>
      <c r="T64" s="103"/>
      <c r="W64" s="103"/>
      <c r="X64" s="103"/>
      <c r="Y64" s="103"/>
      <c r="AB64" s="103"/>
      <c r="AC64" s="103"/>
      <c r="AD64" s="103"/>
      <c r="AG64" s="103"/>
      <c r="AH64" s="103"/>
      <c r="AI64" s="103"/>
    </row>
    <row r="65" spans="1:35" ht="15" thickBot="1" x14ac:dyDescent="0.25">
      <c r="A65" s="218"/>
      <c r="B65" s="219"/>
      <c r="C65" s="216"/>
      <c r="D65" s="238"/>
      <c r="E65" s="239"/>
      <c r="F65" s="240"/>
      <c r="G65" s="219"/>
      <c r="H65" s="219"/>
      <c r="I65" s="151"/>
      <c r="J65" s="151"/>
      <c r="K65" s="151"/>
      <c r="L65" s="151"/>
      <c r="M65" s="151"/>
      <c r="N65" s="151"/>
      <c r="O65" s="151"/>
      <c r="P65" s="151"/>
      <c r="Q65" s="190"/>
      <c r="R65" s="419"/>
      <c r="S65" s="103"/>
      <c r="T65" s="103"/>
      <c r="W65" s="103"/>
      <c r="X65" s="103"/>
      <c r="Y65" s="103"/>
      <c r="AB65" s="103"/>
      <c r="AC65" s="103"/>
      <c r="AD65" s="103"/>
      <c r="AG65" s="103"/>
      <c r="AH65" s="103"/>
      <c r="AI65" s="103"/>
    </row>
    <row r="66" spans="1:35" ht="15.95" customHeight="1" x14ac:dyDescent="0.2">
      <c r="A66" s="398" t="s">
        <v>737</v>
      </c>
      <c r="B66" s="324"/>
      <c r="C66" s="324"/>
      <c r="D66" s="327" t="s">
        <v>537</v>
      </c>
      <c r="E66" s="328">
        <v>2.4</v>
      </c>
      <c r="F66" s="330" t="str">
        <f>"      kHz  "</f>
        <v xml:space="preserve">      kHz  </v>
      </c>
      <c r="G66" s="242"/>
      <c r="H66" s="243"/>
      <c r="I66" s="151"/>
      <c r="J66" s="151"/>
      <c r="K66" s="151"/>
      <c r="L66" s="151"/>
      <c r="M66" s="151"/>
      <c r="N66" s="151"/>
      <c r="O66" s="151"/>
      <c r="P66" s="151"/>
      <c r="Q66" s="190"/>
      <c r="R66" s="419"/>
      <c r="S66" s="103"/>
      <c r="T66" s="103"/>
      <c r="W66" s="103"/>
      <c r="X66" s="103"/>
      <c r="Y66" s="103"/>
      <c r="AB66" s="103"/>
      <c r="AC66" s="103"/>
      <c r="AD66" s="103"/>
      <c r="AG66" s="103"/>
      <c r="AH66" s="103"/>
      <c r="AI66" s="103"/>
    </row>
    <row r="67" spans="1:35" ht="15.95" customHeight="1" x14ac:dyDescent="0.2">
      <c r="A67" s="407" t="str">
        <f>" Baseline P/Z Frequencies:"</f>
        <v xml:space="preserve"> Baseline P/Z Frequencies:</v>
      </c>
      <c r="B67" s="211"/>
      <c r="C67" s="211"/>
      <c r="D67" s="241" t="s">
        <v>538</v>
      </c>
      <c r="E67" s="261">
        <v>4.8</v>
      </c>
      <c r="F67" s="285" t="str">
        <f>"      kHz"</f>
        <v xml:space="preserve">      kHz</v>
      </c>
      <c r="G67" s="242"/>
      <c r="H67" s="243"/>
      <c r="I67" s="151"/>
      <c r="J67" s="151"/>
      <c r="K67" s="151"/>
      <c r="L67" s="151"/>
      <c r="M67" s="151"/>
      <c r="N67" s="151"/>
      <c r="O67" s="151"/>
      <c r="P67" s="151"/>
      <c r="Q67" s="190"/>
      <c r="R67" s="419"/>
      <c r="S67" s="103"/>
      <c r="T67" s="103"/>
      <c r="W67" s="103"/>
      <c r="X67" s="103"/>
      <c r="Y67" s="103"/>
      <c r="AB67" s="103"/>
      <c r="AC67" s="103"/>
      <c r="AD67" s="103"/>
      <c r="AG67" s="103"/>
      <c r="AH67" s="103"/>
      <c r="AI67" s="103"/>
    </row>
    <row r="68" spans="1:35" ht="15.95" customHeight="1" x14ac:dyDescent="0.2">
      <c r="A68" s="323"/>
      <c r="B68" s="211"/>
      <c r="C68" s="211"/>
      <c r="D68" s="244" t="s">
        <v>535</v>
      </c>
      <c r="E68" s="262">
        <v>240</v>
      </c>
      <c r="F68" s="285" t="str">
        <f>"      kHz"</f>
        <v xml:space="preserve">      kHz</v>
      </c>
      <c r="G68" s="245"/>
      <c r="H68" s="243"/>
      <c r="I68" s="151"/>
      <c r="J68" s="151"/>
      <c r="K68" s="151"/>
      <c r="L68" s="151"/>
      <c r="M68" s="151"/>
      <c r="N68" s="151"/>
      <c r="O68" s="151"/>
      <c r="P68" s="151"/>
      <c r="Q68" s="190"/>
      <c r="R68" s="419"/>
      <c r="S68" s="103"/>
      <c r="T68" s="103"/>
      <c r="W68" s="103"/>
      <c r="X68" s="103"/>
      <c r="Y68" s="103"/>
      <c r="AB68" s="103"/>
      <c r="AC68" s="103"/>
      <c r="AD68" s="103"/>
      <c r="AG68" s="103"/>
      <c r="AH68" s="103"/>
      <c r="AI68" s="103"/>
    </row>
    <row r="69" spans="1:35" ht="15.95" customHeight="1" thickBot="1" x14ac:dyDescent="0.25">
      <c r="A69" s="325"/>
      <c r="B69" s="326"/>
      <c r="C69" s="326"/>
      <c r="D69" s="312" t="s">
        <v>536</v>
      </c>
      <c r="E69" s="313">
        <v>125</v>
      </c>
      <c r="F69" s="314" t="str">
        <f>"      kHz"</f>
        <v xml:space="preserve">      kHz</v>
      </c>
      <c r="G69" s="245"/>
      <c r="H69" s="243"/>
      <c r="I69" s="151"/>
      <c r="J69" s="151"/>
      <c r="K69" s="151"/>
      <c r="L69" s="151"/>
      <c r="M69" s="151"/>
      <c r="N69" s="151"/>
      <c r="O69" s="151"/>
      <c r="P69" s="151"/>
      <c r="Q69" s="190"/>
      <c r="R69" s="419"/>
      <c r="S69" s="103"/>
      <c r="T69" s="103"/>
      <c r="W69" s="103"/>
      <c r="X69" s="103"/>
      <c r="Y69" s="103"/>
      <c r="AB69" s="103"/>
      <c r="AC69" s="103"/>
      <c r="AD69" s="103"/>
      <c r="AG69" s="103"/>
      <c r="AH69" s="103"/>
      <c r="AI69" s="103"/>
    </row>
    <row r="70" spans="1:35" ht="15.75" customHeight="1" x14ac:dyDescent="0.2">
      <c r="A70" s="319"/>
      <c r="B70" s="246"/>
      <c r="C70" s="247"/>
      <c r="D70" s="230"/>
      <c r="E70" s="230"/>
      <c r="F70" s="230"/>
      <c r="G70" s="245"/>
      <c r="H70" s="243"/>
      <c r="I70" s="151"/>
      <c r="J70" s="151"/>
      <c r="K70" s="151"/>
      <c r="L70" s="151"/>
      <c r="M70" s="151"/>
      <c r="N70" s="151"/>
      <c r="O70" s="151"/>
      <c r="P70" s="151"/>
      <c r="Q70" s="190"/>
      <c r="R70" s="419"/>
      <c r="S70" s="103"/>
      <c r="T70" s="103"/>
      <c r="W70" s="103"/>
      <c r="X70" s="103"/>
      <c r="Y70" s="103"/>
      <c r="AB70" s="103"/>
      <c r="AC70" s="103"/>
      <c r="AD70" s="103"/>
      <c r="AG70" s="103"/>
      <c r="AH70" s="103"/>
      <c r="AI70" s="103"/>
    </row>
    <row r="71" spans="1:35" ht="18" customHeight="1" x14ac:dyDescent="0.2">
      <c r="A71" s="232" t="s">
        <v>444</v>
      </c>
      <c r="B71" s="248"/>
      <c r="C71" s="216"/>
      <c r="D71" s="238"/>
      <c r="E71" s="239"/>
      <c r="F71" s="240"/>
      <c r="G71" s="249"/>
      <c r="H71" s="219"/>
      <c r="I71" s="151"/>
      <c r="J71" s="151"/>
      <c r="K71" s="151"/>
      <c r="L71" s="151"/>
      <c r="M71" s="151"/>
      <c r="N71" s="151"/>
      <c r="O71" s="151"/>
      <c r="P71" s="151"/>
      <c r="Q71" s="190"/>
      <c r="R71" s="419"/>
      <c r="S71" s="331"/>
      <c r="T71" s="331"/>
      <c r="U71" s="332"/>
      <c r="V71" s="332"/>
      <c r="W71" s="331"/>
      <c r="X71" s="331"/>
      <c r="Y71" s="331"/>
      <c r="Z71" s="332"/>
      <c r="AA71" s="332"/>
      <c r="AB71" s="331"/>
      <c r="AC71" s="331"/>
      <c r="AD71" s="331"/>
      <c r="AE71" s="332"/>
      <c r="AF71" s="332"/>
      <c r="AG71" s="103"/>
      <c r="AH71" s="103"/>
      <c r="AI71" s="103"/>
    </row>
    <row r="72" spans="1:35" s="345" customFormat="1" ht="13.5" customHeight="1" thickBot="1" x14ac:dyDescent="0.25">
      <c r="A72" s="347"/>
      <c r="B72" s="348" t="s">
        <v>460</v>
      </c>
      <c r="C72" s="351" t="s">
        <v>443</v>
      </c>
      <c r="D72" s="349" t="str">
        <f>"    Selected"</f>
        <v xml:space="preserve">    Selected</v>
      </c>
      <c r="E72" s="350"/>
      <c r="F72" s="573" t="s">
        <v>445</v>
      </c>
      <c r="G72" s="573"/>
      <c r="H72" s="573"/>
      <c r="I72" s="340"/>
      <c r="J72" s="340"/>
      <c r="K72" s="340"/>
      <c r="L72" s="340"/>
      <c r="M72" s="340"/>
      <c r="N72" s="340"/>
      <c r="O72" s="340"/>
      <c r="P72" s="340"/>
      <c r="Q72" s="341"/>
      <c r="R72" s="420"/>
      <c r="S72" s="342"/>
      <c r="T72" s="342"/>
      <c r="U72" s="343"/>
      <c r="V72" s="343"/>
      <c r="W72" s="342"/>
      <c r="X72" s="342"/>
      <c r="Y72" s="342"/>
      <c r="Z72" s="343"/>
      <c r="AA72" s="343"/>
      <c r="AB72" s="342"/>
      <c r="AC72" s="342"/>
      <c r="AD72" s="342"/>
      <c r="AE72" s="343"/>
      <c r="AF72" s="343"/>
      <c r="AG72" s="344"/>
      <c r="AH72" s="344"/>
      <c r="AI72" s="344"/>
    </row>
    <row r="73" spans="1:35" ht="15.75" x14ac:dyDescent="0.25">
      <c r="A73" s="293" t="s">
        <v>448</v>
      </c>
      <c r="B73" s="309">
        <f>Rcea1/1000</f>
        <v>8.2466646308025595</v>
      </c>
      <c r="C73" s="287">
        <f>'Standard Value Calculator'!S27</f>
        <v>8.25</v>
      </c>
      <c r="D73" s="288">
        <f>C73</f>
        <v>8.25</v>
      </c>
      <c r="E73" s="289" t="s">
        <v>116</v>
      </c>
      <c r="F73" s="291">
        <f>Fz1_u/1000</f>
        <v>2.3526229604398576</v>
      </c>
      <c r="G73" s="308" t="s">
        <v>449</v>
      </c>
      <c r="H73" s="230"/>
      <c r="I73" s="151"/>
      <c r="J73" s="151"/>
      <c r="K73" s="151"/>
      <c r="L73" s="151"/>
      <c r="M73" s="151"/>
      <c r="N73" s="151"/>
      <c r="O73" s="151"/>
      <c r="P73" s="151"/>
      <c r="Q73" s="190"/>
      <c r="R73" s="419"/>
      <c r="S73" s="331"/>
      <c r="T73" s="331"/>
      <c r="U73" s="332"/>
      <c r="V73" s="332"/>
      <c r="W73" s="331"/>
      <c r="X73" s="331"/>
      <c r="Y73" s="331"/>
      <c r="Z73" s="332"/>
      <c r="AA73" s="332"/>
      <c r="AB73" s="331"/>
      <c r="AC73" s="331"/>
      <c r="AD73" s="331"/>
      <c r="AE73" s="332"/>
      <c r="AF73" s="332"/>
      <c r="AG73" s="103"/>
      <c r="AH73" s="103"/>
      <c r="AI73" s="103"/>
    </row>
    <row r="74" spans="1:35" ht="15.75" x14ac:dyDescent="0.25">
      <c r="A74" s="294" t="s">
        <v>450</v>
      </c>
      <c r="B74" s="310">
        <f>Cc1ea*1000000000000</f>
        <v>8041.3794747640668</v>
      </c>
      <c r="C74" s="243">
        <f>'Standard Value Calculator'!S28</f>
        <v>8200</v>
      </c>
      <c r="D74" s="250">
        <f>C74</f>
        <v>8200</v>
      </c>
      <c r="E74" s="290" t="s">
        <v>53</v>
      </c>
      <c r="F74" s="292">
        <f>Fz2_u/1000</f>
        <v>5.1980842404388383</v>
      </c>
      <c r="G74" s="285" t="s">
        <v>451</v>
      </c>
      <c r="H74" s="230"/>
      <c r="I74" s="151"/>
      <c r="J74" s="151"/>
      <c r="K74" s="151"/>
      <c r="L74" s="151"/>
      <c r="M74" s="151"/>
      <c r="N74" s="151"/>
      <c r="O74" s="151"/>
      <c r="P74" s="151"/>
      <c r="Q74" s="190"/>
      <c r="R74" s="419"/>
      <c r="S74" s="331"/>
      <c r="T74" s="331"/>
      <c r="U74" s="332"/>
      <c r="V74" s="332"/>
      <c r="W74" s="331"/>
      <c r="X74" s="331"/>
      <c r="Y74" s="331"/>
      <c r="Z74" s="332"/>
      <c r="AA74" s="332"/>
      <c r="AB74" s="331"/>
      <c r="AC74" s="331"/>
      <c r="AD74" s="331"/>
      <c r="AE74" s="332"/>
      <c r="AF74" s="332"/>
      <c r="AG74" s="103"/>
      <c r="AH74" s="103"/>
      <c r="AI74" s="103"/>
    </row>
    <row r="75" spans="1:35" ht="15.75" x14ac:dyDescent="0.25">
      <c r="A75" s="294" t="s">
        <v>452</v>
      </c>
      <c r="B75" s="310">
        <f>Cc2ea*1000000000000</f>
        <v>157.41689020745318</v>
      </c>
      <c r="C75" s="243">
        <f>'Standard Value Calculator'!S29</f>
        <v>150</v>
      </c>
      <c r="D75" s="250">
        <f>C75</f>
        <v>150</v>
      </c>
      <c r="E75" s="290" t="s">
        <v>53</v>
      </c>
      <c r="F75" s="481">
        <f>Fp1_u/1000</f>
        <v>257.5322706695087</v>
      </c>
      <c r="G75" s="285" t="s">
        <v>453</v>
      </c>
      <c r="H75" s="230"/>
      <c r="I75" s="151"/>
      <c r="J75" s="151"/>
      <c r="K75" s="151"/>
      <c r="L75" s="151"/>
      <c r="M75" s="151"/>
      <c r="N75" s="151"/>
      <c r="O75" s="151"/>
      <c r="P75" s="151"/>
      <c r="Q75" s="190"/>
      <c r="R75" s="419"/>
      <c r="S75" s="331"/>
      <c r="T75" s="331"/>
      <c r="U75" s="332"/>
      <c r="V75" s="332"/>
      <c r="W75" s="331"/>
      <c r="X75" s="331"/>
      <c r="Y75" s="331"/>
      <c r="Z75" s="332"/>
      <c r="AA75" s="332"/>
      <c r="AB75" s="331"/>
      <c r="AC75" s="331"/>
      <c r="AD75" s="331"/>
      <c r="AE75" s="332"/>
      <c r="AF75" s="332"/>
      <c r="AG75" s="103"/>
      <c r="AH75" s="103"/>
      <c r="AI75" s="103"/>
    </row>
    <row r="76" spans="1:35" ht="15.75" x14ac:dyDescent="0.25">
      <c r="A76" s="294" t="s">
        <v>454</v>
      </c>
      <c r="B76" s="310">
        <f>Rcea2</f>
        <v>408.16326530612247</v>
      </c>
      <c r="C76" s="243">
        <f>'Standard Value Calculator'!S30</f>
        <v>412</v>
      </c>
      <c r="D76" s="250">
        <f>C76</f>
        <v>412</v>
      </c>
      <c r="E76" s="290" t="s">
        <v>274</v>
      </c>
      <c r="F76" s="481">
        <f>Fp2_u/1000</f>
        <v>130.96267813115207</v>
      </c>
      <c r="G76" s="285" t="s">
        <v>455</v>
      </c>
      <c r="H76" s="230"/>
      <c r="I76" s="151"/>
      <c r="J76" s="151"/>
      <c r="K76" s="151"/>
      <c r="L76" s="151"/>
      <c r="M76" s="151"/>
      <c r="N76" s="151"/>
      <c r="O76" s="151"/>
      <c r="P76" s="151"/>
      <c r="Q76" s="190"/>
      <c r="R76" s="419"/>
      <c r="S76" s="331"/>
      <c r="T76" s="331"/>
      <c r="U76" s="332"/>
      <c r="V76" s="332"/>
      <c r="W76" s="331"/>
      <c r="X76" s="331"/>
      <c r="Y76" s="331"/>
      <c r="Z76" s="332"/>
      <c r="AA76" s="332"/>
      <c r="AB76" s="331"/>
      <c r="AC76" s="331"/>
      <c r="AD76" s="331"/>
      <c r="AE76" s="332"/>
      <c r="AF76" s="332"/>
      <c r="AG76" s="103"/>
      <c r="AH76" s="103"/>
      <c r="AI76" s="103"/>
    </row>
    <row r="77" spans="1:35" ht="15" customHeight="1" thickBot="1" x14ac:dyDescent="0.3">
      <c r="A77" s="320" t="s">
        <v>456</v>
      </c>
      <c r="B77" s="311">
        <f>Cc3ea*1000000000000</f>
        <v>1624.7067125862629</v>
      </c>
      <c r="C77" s="303">
        <f>'Standard Value Calculator'!S31</f>
        <v>1500</v>
      </c>
      <c r="D77" s="304">
        <f>C77</f>
        <v>1500</v>
      </c>
      <c r="E77" s="305" t="s">
        <v>53</v>
      </c>
      <c r="F77" s="306"/>
      <c r="G77" s="307"/>
      <c r="H77" s="230"/>
      <c r="I77" s="151"/>
      <c r="J77" s="151"/>
      <c r="K77" s="151"/>
      <c r="L77" s="215" t="s">
        <v>746</v>
      </c>
      <c r="M77" s="233">
        <v>0.4</v>
      </c>
      <c r="N77" s="231" t="s">
        <v>208</v>
      </c>
      <c r="O77" s="151"/>
      <c r="P77" s="151"/>
      <c r="Q77" s="190"/>
      <c r="R77" s="419"/>
      <c r="S77" s="331"/>
      <c r="T77" s="331"/>
      <c r="U77" s="332"/>
      <c r="V77" s="332"/>
      <c r="W77" s="331"/>
      <c r="X77" s="331"/>
      <c r="Y77" s="331"/>
      <c r="Z77" s="332"/>
      <c r="AA77" s="332"/>
      <c r="AB77" s="331"/>
      <c r="AC77" s="331"/>
      <c r="AD77" s="331"/>
      <c r="AE77" s="332"/>
      <c r="AF77" s="332"/>
      <c r="AG77" s="103"/>
      <c r="AH77" s="103"/>
      <c r="AI77" s="103"/>
    </row>
    <row r="78" spans="1:35" ht="15" thickBot="1" x14ac:dyDescent="0.25">
      <c r="A78" s="218"/>
      <c r="B78" s="216"/>
      <c r="C78" s="216"/>
      <c r="D78" s="219"/>
      <c r="E78" s="219"/>
      <c r="F78" s="219"/>
      <c r="G78" s="219"/>
      <c r="H78" s="219"/>
      <c r="I78" s="151"/>
      <c r="J78" s="151"/>
      <c r="K78" s="151"/>
      <c r="L78" s="151"/>
      <c r="M78" s="151"/>
      <c r="N78" s="151"/>
      <c r="O78" s="151"/>
      <c r="P78" s="151"/>
      <c r="Q78" s="190"/>
      <c r="R78" s="419"/>
      <c r="S78" s="331"/>
      <c r="T78" s="331"/>
      <c r="U78" s="332"/>
      <c r="V78" s="332"/>
      <c r="W78" s="331"/>
      <c r="X78" s="331"/>
      <c r="Y78" s="331"/>
      <c r="Z78" s="332"/>
      <c r="AA78" s="332"/>
      <c r="AB78" s="331"/>
      <c r="AC78" s="331"/>
      <c r="AD78" s="331"/>
      <c r="AE78" s="332"/>
      <c r="AF78" s="332"/>
      <c r="AG78" s="103"/>
      <c r="AH78" s="103"/>
      <c r="AI78" s="103"/>
    </row>
    <row r="79" spans="1:35" s="154" customFormat="1" ht="18.75" thickBot="1" x14ac:dyDescent="0.25">
      <c r="A79" s="321" t="s">
        <v>458</v>
      </c>
      <c r="B79" s="236"/>
      <c r="C79" s="251"/>
      <c r="D79" s="251"/>
      <c r="E79" s="251"/>
      <c r="F79" s="251"/>
      <c r="G79" s="251"/>
      <c r="H79" s="251"/>
      <c r="I79" s="152"/>
      <c r="J79" s="152"/>
      <c r="K79" s="152"/>
      <c r="L79" s="152"/>
      <c r="M79" s="152"/>
      <c r="N79" s="152"/>
      <c r="O79" s="152"/>
      <c r="P79" s="152"/>
      <c r="Q79" s="153"/>
      <c r="R79" s="421"/>
      <c r="S79" s="333"/>
      <c r="T79" s="333"/>
      <c r="U79" s="334"/>
      <c r="V79" s="334"/>
      <c r="W79" s="333"/>
      <c r="X79" s="333"/>
      <c r="Y79" s="333"/>
      <c r="Z79" s="334"/>
      <c r="AA79" s="334"/>
      <c r="AB79" s="333"/>
      <c r="AC79" s="333"/>
      <c r="AD79" s="333"/>
      <c r="AE79" s="334"/>
      <c r="AF79" s="334"/>
      <c r="AG79" s="104"/>
      <c r="AH79" s="104"/>
      <c r="AI79" s="104"/>
    </row>
    <row r="80" spans="1:35" x14ac:dyDescent="0.2">
      <c r="A80" s="318"/>
      <c r="B80" s="230"/>
      <c r="C80" s="219"/>
      <c r="D80" s="219"/>
      <c r="E80" s="219"/>
      <c r="F80" s="219"/>
      <c r="G80" s="219"/>
      <c r="H80" s="219"/>
      <c r="I80" s="151"/>
      <c r="J80" s="151"/>
      <c r="K80" s="151"/>
      <c r="L80" s="151"/>
      <c r="M80" s="151"/>
      <c r="N80" s="151"/>
      <c r="O80" s="151"/>
      <c r="P80" s="151"/>
      <c r="Q80" s="190"/>
      <c r="R80" s="419"/>
      <c r="S80" s="331"/>
      <c r="T80" s="331"/>
      <c r="U80" s="332"/>
      <c r="V80" s="332"/>
      <c r="W80" s="331"/>
      <c r="X80" s="331"/>
      <c r="Y80" s="331"/>
      <c r="Z80" s="332"/>
      <c r="AA80" s="332"/>
      <c r="AB80" s="331"/>
      <c r="AC80" s="331"/>
      <c r="AD80" s="331"/>
      <c r="AE80" s="332"/>
      <c r="AF80" s="332"/>
      <c r="AG80" s="103"/>
      <c r="AH80" s="103"/>
      <c r="AI80" s="103"/>
    </row>
    <row r="81" spans="1:35" ht="18" x14ac:dyDescent="0.2">
      <c r="A81" s="253" t="s">
        <v>362</v>
      </c>
      <c r="B81" s="226"/>
      <c r="C81" s="219"/>
      <c r="D81" s="219"/>
      <c r="E81" s="219"/>
      <c r="F81" s="219"/>
      <c r="G81" s="219"/>
      <c r="H81" s="219"/>
      <c r="I81" s="151"/>
      <c r="J81" s="151"/>
      <c r="K81" s="151"/>
      <c r="L81" s="151"/>
      <c r="M81" s="151"/>
      <c r="N81" s="151"/>
      <c r="O81" s="151"/>
      <c r="P81" s="151"/>
      <c r="Q81" s="190"/>
      <c r="R81" s="419"/>
      <c r="S81" s="331"/>
      <c r="T81" s="331"/>
      <c r="U81" s="332"/>
      <c r="V81" s="332"/>
      <c r="W81" s="331"/>
      <c r="X81" s="331"/>
      <c r="Y81" s="331"/>
      <c r="Z81" s="332"/>
      <c r="AA81" s="332"/>
      <c r="AB81" s="331"/>
      <c r="AC81" s="331"/>
      <c r="AD81" s="331"/>
      <c r="AE81" s="332"/>
      <c r="AF81" s="332"/>
      <c r="AG81" s="103"/>
      <c r="AH81" s="103"/>
      <c r="AI81" s="103"/>
    </row>
    <row r="82" spans="1:35" ht="13.5" customHeight="1" thickBot="1" x14ac:dyDescent="0.25">
      <c r="A82" s="218"/>
      <c r="B82" s="219"/>
      <c r="C82" s="219"/>
      <c r="D82" s="219"/>
      <c r="E82" s="219"/>
      <c r="F82" s="219"/>
      <c r="G82" s="219"/>
      <c r="H82" s="219"/>
      <c r="I82" s="151"/>
      <c r="J82" s="151"/>
      <c r="K82" s="151"/>
      <c r="L82" s="151"/>
      <c r="M82" s="151"/>
      <c r="N82" s="151"/>
      <c r="O82" s="151"/>
      <c r="P82" s="151"/>
      <c r="Q82" s="190"/>
      <c r="R82" s="419"/>
      <c r="S82" s="331"/>
      <c r="T82" s="213"/>
      <c r="U82" s="213"/>
      <c r="V82" s="332"/>
      <c r="W82" s="331"/>
      <c r="X82" s="331"/>
      <c r="Y82" s="331"/>
      <c r="Z82" s="332"/>
      <c r="AA82" s="332"/>
      <c r="AB82" s="331"/>
      <c r="AC82" s="331"/>
      <c r="AD82" s="331"/>
      <c r="AE82" s="332"/>
      <c r="AF82" s="332"/>
      <c r="AG82" s="103"/>
      <c r="AH82" s="103"/>
      <c r="AI82" s="103"/>
    </row>
    <row r="83" spans="1:35" ht="18" customHeight="1" x14ac:dyDescent="0.25">
      <c r="A83" s="295"/>
      <c r="B83" s="296"/>
      <c r="C83" s="297"/>
      <c r="D83" s="346" t="s">
        <v>533</v>
      </c>
      <c r="E83" s="405" t="s">
        <v>767</v>
      </c>
      <c r="F83" s="298"/>
      <c r="G83" s="219"/>
      <c r="H83" s="219"/>
      <c r="I83" s="151"/>
      <c r="J83" s="151"/>
      <c r="K83" s="151"/>
      <c r="L83" s="151"/>
      <c r="M83" s="151"/>
      <c r="N83" s="151"/>
      <c r="O83" s="151"/>
      <c r="P83" s="151"/>
      <c r="Q83" s="190"/>
      <c r="R83" s="419"/>
      <c r="S83" s="331"/>
      <c r="T83" s="213"/>
      <c r="U83" s="213"/>
      <c r="V83" s="332"/>
      <c r="W83" s="331"/>
      <c r="X83" s="331"/>
      <c r="Y83" s="331"/>
      <c r="Z83" s="332"/>
      <c r="AA83" s="332"/>
      <c r="AB83" s="331"/>
      <c r="AC83" s="331"/>
      <c r="AD83" s="331"/>
      <c r="AE83" s="332"/>
      <c r="AF83" s="332"/>
      <c r="AG83" s="103"/>
      <c r="AH83" s="103"/>
      <c r="AI83" s="103"/>
    </row>
    <row r="84" spans="1:35" ht="14.45" customHeight="1" x14ac:dyDescent="0.25">
      <c r="A84" s="218"/>
      <c r="B84" s="219"/>
      <c r="C84" s="231"/>
      <c r="D84" s="215" t="s">
        <v>549</v>
      </c>
      <c r="E84" s="220">
        <v>4</v>
      </c>
      <c r="F84" s="273" t="s">
        <v>115</v>
      </c>
      <c r="G84" s="219"/>
      <c r="H84" s="219"/>
      <c r="I84" s="151"/>
      <c r="J84" s="151"/>
      <c r="K84" s="151"/>
      <c r="L84" s="151"/>
      <c r="M84" s="151"/>
      <c r="N84" s="151"/>
      <c r="O84" s="151"/>
      <c r="P84" s="151"/>
      <c r="Q84" s="190"/>
      <c r="R84" s="419"/>
      <c r="S84" s="331"/>
      <c r="T84" s="213"/>
      <c r="U84" s="213"/>
      <c r="V84" s="332"/>
      <c r="W84" s="331"/>
      <c r="X84" s="331"/>
      <c r="Y84" s="331"/>
      <c r="Z84" s="332"/>
      <c r="AA84" s="332"/>
      <c r="AB84" s="331"/>
      <c r="AC84" s="331"/>
      <c r="AD84" s="331"/>
      <c r="AE84" s="332"/>
      <c r="AF84" s="332"/>
      <c r="AG84" s="103"/>
      <c r="AH84" s="103"/>
      <c r="AI84" s="103"/>
    </row>
    <row r="85" spans="1:35" ht="14.45" customHeight="1" x14ac:dyDescent="0.25">
      <c r="A85" s="218"/>
      <c r="B85" s="219"/>
      <c r="C85" s="231"/>
      <c r="D85" s="215" t="s">
        <v>550</v>
      </c>
      <c r="E85" s="220">
        <v>45</v>
      </c>
      <c r="F85" s="273" t="s">
        <v>136</v>
      </c>
      <c r="G85" s="219"/>
      <c r="H85" s="219"/>
      <c r="I85" s="151"/>
      <c r="J85" s="151"/>
      <c r="K85" s="151"/>
      <c r="L85" s="151"/>
      <c r="M85" s="151"/>
      <c r="N85" s="151"/>
      <c r="O85" s="151"/>
      <c r="P85" s="151"/>
      <c r="Q85" s="190"/>
      <c r="R85" s="419"/>
      <c r="S85" s="331"/>
      <c r="T85" s="213"/>
      <c r="U85" s="213"/>
      <c r="V85" s="332"/>
      <c r="W85" s="331"/>
      <c r="X85" s="331"/>
      <c r="Y85" s="331"/>
      <c r="Z85" s="332"/>
      <c r="AA85" s="332"/>
      <c r="AB85" s="331"/>
      <c r="AC85" s="331"/>
      <c r="AD85" s="331"/>
      <c r="AE85" s="332"/>
      <c r="AF85" s="332"/>
      <c r="AG85" s="103"/>
      <c r="AH85" s="103"/>
      <c r="AI85" s="103"/>
    </row>
    <row r="86" spans="1:35" ht="14.45" customHeight="1" x14ac:dyDescent="0.25">
      <c r="A86" s="218"/>
      <c r="B86" s="219"/>
      <c r="C86" s="231"/>
      <c r="D86" s="215" t="s">
        <v>551</v>
      </c>
      <c r="E86" s="233">
        <v>8</v>
      </c>
      <c r="F86" s="273" t="s">
        <v>136</v>
      </c>
      <c r="G86" s="219"/>
      <c r="H86" s="219"/>
      <c r="I86" s="151"/>
      <c r="J86" s="151"/>
      <c r="K86" s="151"/>
      <c r="L86" s="151"/>
      <c r="M86" s="151"/>
      <c r="N86" s="151"/>
      <c r="O86" s="151"/>
      <c r="P86" s="151"/>
      <c r="Q86" s="190"/>
      <c r="R86" s="419"/>
      <c r="S86" s="331"/>
      <c r="T86" s="213"/>
      <c r="U86" s="213"/>
      <c r="V86" s="332"/>
      <c r="W86" s="331"/>
      <c r="X86" s="331"/>
      <c r="Y86" s="331"/>
      <c r="Z86" s="332"/>
      <c r="AA86" s="332"/>
      <c r="AB86" s="331"/>
      <c r="AC86" s="331"/>
      <c r="AD86" s="331"/>
      <c r="AE86" s="332"/>
      <c r="AF86" s="332"/>
      <c r="AG86" s="103"/>
      <c r="AH86" s="103"/>
      <c r="AI86" s="103"/>
    </row>
    <row r="87" spans="1:35" ht="14.45" customHeight="1" x14ac:dyDescent="0.25">
      <c r="A87" s="218"/>
      <c r="B87" s="219"/>
      <c r="C87" s="231"/>
      <c r="D87" s="215" t="s">
        <v>552</v>
      </c>
      <c r="E87" s="233">
        <v>12</v>
      </c>
      <c r="F87" s="273" t="s">
        <v>136</v>
      </c>
      <c r="G87" s="219"/>
      <c r="H87" s="219"/>
      <c r="I87" s="151"/>
      <c r="J87" s="151"/>
      <c r="K87" s="151"/>
      <c r="L87" s="151"/>
      <c r="M87" s="151"/>
      <c r="N87" s="151"/>
      <c r="O87" s="151"/>
      <c r="P87" s="151"/>
      <c r="Q87" s="190"/>
      <c r="R87" s="419"/>
      <c r="S87" s="331"/>
      <c r="T87" s="213"/>
      <c r="U87" s="213"/>
      <c r="V87" s="332"/>
      <c r="W87" s="331"/>
      <c r="X87" s="331"/>
      <c r="Y87" s="331"/>
      <c r="Z87" s="332"/>
      <c r="AA87" s="332"/>
      <c r="AB87" s="331"/>
      <c r="AC87" s="331"/>
      <c r="AD87" s="331"/>
      <c r="AE87" s="332"/>
      <c r="AF87" s="332"/>
      <c r="AG87" s="103"/>
      <c r="AH87" s="103"/>
      <c r="AI87" s="103"/>
    </row>
    <row r="88" spans="1:35" ht="14.45" customHeight="1" x14ac:dyDescent="0.25">
      <c r="A88" s="218"/>
      <c r="B88" s="219"/>
      <c r="C88" s="231"/>
      <c r="D88" s="215" t="s">
        <v>726</v>
      </c>
      <c r="E88" s="233">
        <v>500</v>
      </c>
      <c r="F88" s="273" t="s">
        <v>53</v>
      </c>
      <c r="G88" s="219"/>
      <c r="H88" s="219"/>
      <c r="I88" s="151"/>
      <c r="J88" s="151"/>
      <c r="K88" s="151"/>
      <c r="L88" s="151"/>
      <c r="M88" s="151"/>
      <c r="N88" s="151"/>
      <c r="O88" s="151"/>
      <c r="P88" s="151"/>
      <c r="Q88" s="190"/>
      <c r="R88" s="419"/>
      <c r="S88" s="331"/>
      <c r="T88" s="213"/>
      <c r="U88" s="213"/>
      <c r="V88" s="332"/>
      <c r="W88" s="331"/>
      <c r="X88" s="331"/>
      <c r="Y88" s="331"/>
      <c r="Z88" s="332"/>
      <c r="AA88" s="332"/>
      <c r="AB88" s="331"/>
      <c r="AC88" s="331"/>
      <c r="AD88" s="331"/>
      <c r="AE88" s="332"/>
      <c r="AF88" s="332"/>
      <c r="AG88" s="103"/>
      <c r="AH88" s="103"/>
      <c r="AI88" s="103"/>
    </row>
    <row r="89" spans="1:35" ht="14.45" customHeight="1" x14ac:dyDescent="0.25">
      <c r="A89" s="218"/>
      <c r="B89" s="219"/>
      <c r="C89" s="231"/>
      <c r="D89" s="215" t="s">
        <v>553</v>
      </c>
      <c r="E89" s="233">
        <v>1.2</v>
      </c>
      <c r="F89" s="273" t="s">
        <v>274</v>
      </c>
      <c r="G89" s="219"/>
      <c r="H89" s="219"/>
      <c r="I89" s="151"/>
      <c r="J89" s="151"/>
      <c r="K89" s="151"/>
      <c r="L89" s="151"/>
      <c r="M89" s="151"/>
      <c r="N89" s="151"/>
      <c r="O89" s="151"/>
      <c r="P89" s="151"/>
      <c r="Q89" s="190"/>
      <c r="R89" s="419"/>
      <c r="S89" s="331"/>
      <c r="T89" s="213"/>
      <c r="U89" s="213"/>
      <c r="V89" s="332"/>
      <c r="W89" s="331"/>
      <c r="X89" s="331"/>
      <c r="Y89" s="331"/>
      <c r="Z89" s="332"/>
      <c r="AA89" s="332"/>
      <c r="AB89" s="331"/>
      <c r="AC89" s="331"/>
      <c r="AD89" s="331"/>
      <c r="AE89" s="332"/>
      <c r="AF89" s="332"/>
      <c r="AG89" s="103"/>
      <c r="AH89" s="103"/>
      <c r="AI89" s="103"/>
    </row>
    <row r="90" spans="1:35" ht="14.45" customHeight="1" x14ac:dyDescent="0.25">
      <c r="A90" s="218"/>
      <c r="B90" s="219"/>
      <c r="C90" s="231"/>
      <c r="D90" s="215" t="s">
        <v>554</v>
      </c>
      <c r="E90" s="233">
        <v>100</v>
      </c>
      <c r="F90" s="273" t="s">
        <v>137</v>
      </c>
      <c r="G90" s="219"/>
      <c r="H90" s="219"/>
      <c r="I90" s="151"/>
      <c r="J90" s="151"/>
      <c r="K90" s="151"/>
      <c r="L90" s="151"/>
      <c r="M90" s="151"/>
      <c r="N90" s="151"/>
      <c r="O90" s="151"/>
      <c r="P90" s="151"/>
      <c r="Q90" s="190"/>
      <c r="R90" s="419"/>
      <c r="S90" s="331"/>
      <c r="T90" s="213"/>
      <c r="U90" s="213"/>
      <c r="V90" s="332"/>
      <c r="W90" s="331"/>
      <c r="X90" s="331"/>
      <c r="Y90" s="331"/>
      <c r="Z90" s="332"/>
      <c r="AA90" s="332"/>
      <c r="AB90" s="331"/>
      <c r="AC90" s="331"/>
      <c r="AD90" s="331"/>
      <c r="AE90" s="332"/>
      <c r="AF90" s="332"/>
      <c r="AG90" s="103"/>
      <c r="AH90" s="103"/>
      <c r="AI90" s="103"/>
    </row>
    <row r="91" spans="1:35" ht="14.45" customHeight="1" x14ac:dyDescent="0.25">
      <c r="A91" s="218"/>
      <c r="B91" s="219"/>
      <c r="C91" s="231"/>
      <c r="D91" s="215" t="s">
        <v>555</v>
      </c>
      <c r="E91" s="233">
        <v>2</v>
      </c>
      <c r="F91" s="273" t="s">
        <v>0</v>
      </c>
      <c r="G91" s="219"/>
      <c r="H91" s="219"/>
      <c r="I91" s="151"/>
      <c r="J91" s="151"/>
      <c r="K91" s="151"/>
      <c r="L91" s="151"/>
      <c r="M91" s="151"/>
      <c r="N91" s="151"/>
      <c r="O91" s="151"/>
      <c r="P91" s="151"/>
      <c r="Q91" s="190"/>
      <c r="R91" s="419"/>
      <c r="S91" s="331"/>
      <c r="T91" s="213"/>
      <c r="U91" s="213"/>
      <c r="V91" s="332"/>
      <c r="W91" s="331"/>
      <c r="X91" s="331"/>
      <c r="Y91" s="331"/>
      <c r="Z91" s="332"/>
      <c r="AA91" s="332"/>
      <c r="AB91" s="331"/>
      <c r="AC91" s="331"/>
      <c r="AD91" s="331"/>
      <c r="AE91" s="332"/>
      <c r="AF91" s="332"/>
      <c r="AG91" s="103"/>
      <c r="AH91" s="103"/>
      <c r="AI91" s="103"/>
    </row>
    <row r="92" spans="1:35" ht="14.45" customHeight="1" x14ac:dyDescent="0.25">
      <c r="A92" s="218"/>
      <c r="B92" s="219"/>
      <c r="C92" s="231"/>
      <c r="D92" s="215" t="s">
        <v>561</v>
      </c>
      <c r="E92" s="233">
        <v>1</v>
      </c>
      <c r="F92" s="273" t="s">
        <v>0</v>
      </c>
      <c r="G92" s="219"/>
      <c r="H92" s="219"/>
      <c r="I92" s="151"/>
      <c r="J92" s="151"/>
      <c r="K92" s="151"/>
      <c r="L92" s="151"/>
      <c r="M92" s="151"/>
      <c r="N92" s="151"/>
      <c r="O92" s="151"/>
      <c r="P92" s="151"/>
      <c r="Q92" s="190"/>
      <c r="R92" s="419"/>
      <c r="S92" s="331"/>
      <c r="T92" s="213"/>
      <c r="U92" s="213"/>
      <c r="V92" s="332"/>
      <c r="W92" s="331"/>
      <c r="X92" s="331"/>
      <c r="Y92" s="331"/>
      <c r="Z92" s="332"/>
      <c r="AA92" s="332"/>
      <c r="AB92" s="331"/>
      <c r="AC92" s="331"/>
      <c r="AD92" s="331"/>
      <c r="AE92" s="332"/>
      <c r="AF92" s="332"/>
      <c r="AG92" s="103"/>
      <c r="AH92" s="103"/>
      <c r="AI92" s="103"/>
    </row>
    <row r="93" spans="1:35" ht="14.45" customHeight="1" thickBot="1" x14ac:dyDescent="0.3">
      <c r="A93" s="336"/>
      <c r="B93" s="300"/>
      <c r="C93" s="337"/>
      <c r="D93" s="301" t="s">
        <v>556</v>
      </c>
      <c r="E93" s="399">
        <v>25</v>
      </c>
      <c r="F93" s="302" t="s">
        <v>381</v>
      </c>
      <c r="G93" s="219"/>
      <c r="H93" s="219"/>
      <c r="I93" s="151"/>
      <c r="J93" s="151"/>
      <c r="K93" s="151"/>
      <c r="L93" s="151"/>
      <c r="M93" s="151"/>
      <c r="N93" s="151"/>
      <c r="O93" s="151"/>
      <c r="P93" s="151"/>
      <c r="Q93" s="190"/>
      <c r="R93" s="419"/>
      <c r="S93" s="331"/>
      <c r="T93" s="213"/>
      <c r="U93" s="213"/>
      <c r="V93" s="332"/>
      <c r="W93" s="331"/>
      <c r="X93" s="331"/>
      <c r="Y93" s="331"/>
      <c r="Z93" s="332"/>
      <c r="AA93" s="332"/>
      <c r="AB93" s="331"/>
      <c r="AC93" s="331"/>
      <c r="AD93" s="331"/>
      <c r="AE93" s="332"/>
      <c r="AF93" s="332"/>
      <c r="AG93" s="103"/>
      <c r="AH93" s="103"/>
      <c r="AI93" s="103"/>
    </row>
    <row r="94" spans="1:35" ht="18" customHeight="1" thickBot="1" x14ac:dyDescent="0.25">
      <c r="A94" s="218"/>
      <c r="B94" s="219"/>
      <c r="C94" s="231"/>
      <c r="D94" s="215"/>
      <c r="E94" s="335"/>
      <c r="F94" s="338"/>
      <c r="G94" s="219"/>
      <c r="H94" s="219"/>
      <c r="I94" s="151"/>
      <c r="J94" s="151"/>
      <c r="K94" s="151"/>
      <c r="L94" s="151"/>
      <c r="M94" s="151"/>
      <c r="N94" s="151"/>
      <c r="O94" s="151"/>
      <c r="P94" s="151"/>
      <c r="Q94" s="190"/>
      <c r="R94" s="419"/>
      <c r="S94" s="331"/>
      <c r="T94" s="213"/>
      <c r="U94" s="213"/>
      <c r="V94" s="332"/>
      <c r="W94" s="331"/>
      <c r="X94" s="331"/>
      <c r="Y94" s="331"/>
      <c r="Z94" s="332"/>
      <c r="AA94" s="332"/>
      <c r="AB94" s="331"/>
      <c r="AC94" s="331"/>
      <c r="AD94" s="331"/>
      <c r="AE94" s="332"/>
      <c r="AF94" s="332"/>
      <c r="AG94" s="103"/>
      <c r="AH94" s="103"/>
      <c r="AI94" s="103"/>
    </row>
    <row r="95" spans="1:35" ht="18" customHeight="1" x14ac:dyDescent="0.25">
      <c r="A95" s="295"/>
      <c r="B95" s="296"/>
      <c r="C95" s="299"/>
      <c r="D95" s="346" t="s">
        <v>534</v>
      </c>
      <c r="E95" s="405" t="s">
        <v>767</v>
      </c>
      <c r="F95" s="298"/>
      <c r="G95" s="219"/>
      <c r="H95" s="219"/>
      <c r="I95" s="151"/>
      <c r="J95" s="151"/>
      <c r="K95" s="151"/>
      <c r="L95" s="151"/>
      <c r="M95" s="151"/>
      <c r="N95" s="151"/>
      <c r="O95" s="151"/>
      <c r="P95" s="151"/>
      <c r="Q95" s="190"/>
      <c r="R95" s="419"/>
      <c r="S95" s="331"/>
      <c r="T95" s="213"/>
      <c r="U95" s="213"/>
      <c r="V95" s="332"/>
      <c r="W95" s="331"/>
      <c r="X95" s="331"/>
      <c r="Y95" s="331"/>
      <c r="Z95" s="332"/>
      <c r="AA95" s="332"/>
      <c r="AB95" s="331"/>
      <c r="AC95" s="331"/>
      <c r="AD95" s="331"/>
      <c r="AE95" s="332"/>
      <c r="AF95" s="332"/>
      <c r="AG95" s="103"/>
      <c r="AH95" s="103"/>
      <c r="AI95" s="103"/>
    </row>
    <row r="96" spans="1:35" ht="14.45" customHeight="1" x14ac:dyDescent="0.25">
      <c r="A96" s="218"/>
      <c r="B96" s="219"/>
      <c r="C96" s="219"/>
      <c r="D96" s="215" t="s">
        <v>549</v>
      </c>
      <c r="E96" s="233">
        <v>4</v>
      </c>
      <c r="F96" s="273" t="s">
        <v>115</v>
      </c>
      <c r="G96" s="219"/>
      <c r="H96" s="219"/>
      <c r="I96" s="151"/>
      <c r="J96" s="151"/>
      <c r="K96" s="151"/>
      <c r="L96" s="151"/>
      <c r="M96" s="151"/>
      <c r="N96" s="151"/>
      <c r="O96" s="151"/>
      <c r="P96" s="151"/>
      <c r="Q96" s="190"/>
      <c r="R96" s="419"/>
      <c r="S96" s="331"/>
      <c r="T96" s="213"/>
      <c r="U96" s="213"/>
      <c r="V96" s="332"/>
      <c r="W96" s="331"/>
      <c r="X96" s="331"/>
      <c r="Y96" s="331"/>
      <c r="Z96" s="332"/>
      <c r="AA96" s="332"/>
      <c r="AB96" s="331"/>
      <c r="AC96" s="331"/>
      <c r="AD96" s="331"/>
      <c r="AE96" s="332"/>
      <c r="AF96" s="332"/>
      <c r="AG96" s="103"/>
      <c r="AH96" s="103"/>
      <c r="AI96" s="103"/>
    </row>
    <row r="97" spans="1:35" ht="14.45" customHeight="1" x14ac:dyDescent="0.25">
      <c r="A97" s="218"/>
      <c r="B97" s="219"/>
      <c r="C97" s="219"/>
      <c r="D97" s="215" t="s">
        <v>550</v>
      </c>
      <c r="E97" s="233">
        <v>45</v>
      </c>
      <c r="F97" s="273" t="s">
        <v>136</v>
      </c>
      <c r="G97" s="219"/>
      <c r="H97" s="219"/>
      <c r="I97" s="151"/>
      <c r="J97" s="151"/>
      <c r="K97" s="151"/>
      <c r="L97" s="151"/>
      <c r="M97" s="151"/>
      <c r="N97" s="151"/>
      <c r="O97" s="151"/>
      <c r="P97" s="151"/>
      <c r="Q97" s="190"/>
      <c r="R97" s="419"/>
      <c r="S97" s="103"/>
      <c r="T97" s="6"/>
      <c r="U97" s="6"/>
      <c r="W97" s="103"/>
      <c r="X97" s="103"/>
      <c r="Y97" s="103"/>
      <c r="AB97" s="103"/>
      <c r="AC97" s="103"/>
      <c r="AD97" s="103"/>
      <c r="AG97" s="103"/>
      <c r="AH97" s="103"/>
      <c r="AI97" s="103"/>
    </row>
    <row r="98" spans="1:35" ht="14.45" customHeight="1" x14ac:dyDescent="0.25">
      <c r="A98" s="218"/>
      <c r="B98" s="219"/>
      <c r="C98" s="219"/>
      <c r="D98" s="215" t="s">
        <v>719</v>
      </c>
      <c r="E98" s="233">
        <v>10</v>
      </c>
      <c r="F98" s="273" t="s">
        <v>136</v>
      </c>
      <c r="G98" s="219"/>
      <c r="H98" s="219"/>
      <c r="I98" s="151"/>
      <c r="J98" s="151"/>
      <c r="K98" s="151"/>
      <c r="L98" s="151"/>
      <c r="M98" s="151"/>
      <c r="N98" s="151"/>
      <c r="O98" s="151"/>
      <c r="P98" s="151"/>
      <c r="Q98" s="190"/>
      <c r="R98" s="419"/>
      <c r="S98" s="103"/>
      <c r="T98" s="103"/>
      <c r="W98" s="103"/>
      <c r="X98" s="103"/>
      <c r="Y98" s="103"/>
      <c r="AB98" s="103"/>
      <c r="AC98" s="103"/>
      <c r="AD98" s="103"/>
      <c r="AG98" s="103"/>
      <c r="AH98" s="103"/>
      <c r="AI98" s="103"/>
    </row>
    <row r="99" spans="1:35" ht="14.45" customHeight="1" x14ac:dyDescent="0.25">
      <c r="A99" s="218"/>
      <c r="B99" s="219"/>
      <c r="C99" s="219"/>
      <c r="D99" s="215" t="s">
        <v>726</v>
      </c>
      <c r="E99" s="233">
        <v>500</v>
      </c>
      <c r="F99" s="273" t="s">
        <v>53</v>
      </c>
      <c r="G99" s="219"/>
      <c r="H99" s="219"/>
      <c r="I99" s="151"/>
      <c r="J99" s="151"/>
      <c r="K99" s="151"/>
      <c r="L99" s="151"/>
      <c r="M99" s="151"/>
      <c r="N99" s="151"/>
      <c r="O99" s="151"/>
      <c r="P99" s="151"/>
      <c r="Q99" s="190"/>
      <c r="R99" s="419"/>
      <c r="S99" s="103"/>
      <c r="T99" s="103"/>
      <c r="W99" s="103"/>
      <c r="X99" s="103"/>
      <c r="Y99" s="103"/>
      <c r="AB99" s="103"/>
      <c r="AC99" s="103"/>
      <c r="AD99" s="103"/>
      <c r="AG99" s="103"/>
      <c r="AH99" s="103"/>
      <c r="AI99" s="103"/>
    </row>
    <row r="100" spans="1:35" ht="14.25" customHeight="1" x14ac:dyDescent="0.25">
      <c r="A100" s="218"/>
      <c r="B100" s="219"/>
      <c r="C100" s="219"/>
      <c r="D100" s="215" t="s">
        <v>559</v>
      </c>
      <c r="E100" s="233">
        <v>1</v>
      </c>
      <c r="F100" s="273" t="s">
        <v>0</v>
      </c>
      <c r="G100" s="219"/>
      <c r="H100" s="219"/>
      <c r="I100" s="151"/>
      <c r="J100" s="151"/>
      <c r="K100" s="151"/>
      <c r="L100" s="151"/>
      <c r="M100" s="151"/>
      <c r="N100" s="151"/>
      <c r="O100" s="151"/>
      <c r="P100" s="151"/>
      <c r="Q100" s="190"/>
      <c r="R100" s="419"/>
      <c r="S100" s="103"/>
      <c r="T100" s="103"/>
      <c r="W100" s="103"/>
      <c r="X100" s="103"/>
      <c r="Y100" s="103"/>
      <c r="AB100" s="103"/>
      <c r="AC100" s="103"/>
      <c r="AD100" s="103"/>
      <c r="AG100" s="103"/>
      <c r="AH100" s="103"/>
      <c r="AI100" s="103"/>
    </row>
    <row r="101" spans="1:35" ht="14.45" customHeight="1" x14ac:dyDescent="0.25">
      <c r="A101" s="218"/>
      <c r="B101" s="219"/>
      <c r="C101" s="219"/>
      <c r="D101" s="215" t="s">
        <v>557</v>
      </c>
      <c r="E101" s="233">
        <v>40</v>
      </c>
      <c r="F101" s="273" t="s">
        <v>136</v>
      </c>
      <c r="G101" s="219"/>
      <c r="H101" s="219"/>
      <c r="I101" s="155"/>
      <c r="J101" s="156"/>
      <c r="K101" s="151"/>
      <c r="L101" s="151"/>
      <c r="M101" s="151"/>
      <c r="N101" s="151"/>
      <c r="O101" s="151"/>
      <c r="P101" s="151"/>
      <c r="Q101" s="190"/>
      <c r="R101" s="419"/>
      <c r="S101" s="103"/>
      <c r="T101" s="103"/>
      <c r="W101" s="103"/>
      <c r="X101" s="103"/>
      <c r="Y101" s="103"/>
      <c r="AB101" s="103"/>
      <c r="AC101" s="103"/>
      <c r="AD101" s="103"/>
      <c r="AG101" s="103"/>
      <c r="AH101" s="103"/>
      <c r="AI101" s="103"/>
    </row>
    <row r="102" spans="1:35" ht="14.45" customHeight="1" x14ac:dyDescent="0.25">
      <c r="A102" s="218"/>
      <c r="B102" s="219"/>
      <c r="C102" s="219"/>
      <c r="D102" s="215" t="s">
        <v>556</v>
      </c>
      <c r="E102" s="233">
        <v>25</v>
      </c>
      <c r="F102" s="273" t="s">
        <v>381</v>
      </c>
      <c r="G102" s="219"/>
      <c r="H102" s="219"/>
      <c r="I102" s="151"/>
      <c r="J102" s="151"/>
      <c r="K102" s="151"/>
      <c r="L102" s="151"/>
      <c r="M102" s="151"/>
      <c r="N102" s="151"/>
      <c r="O102" s="151"/>
      <c r="P102" s="151"/>
      <c r="Q102" s="190"/>
      <c r="R102" s="419"/>
      <c r="S102" s="103"/>
      <c r="T102" s="103"/>
      <c r="W102" s="103"/>
      <c r="X102" s="103"/>
      <c r="Y102" s="103"/>
      <c r="AB102" s="103"/>
      <c r="AC102" s="103"/>
      <c r="AD102" s="103"/>
      <c r="AG102" s="103"/>
      <c r="AH102" s="103"/>
      <c r="AI102" s="103"/>
    </row>
    <row r="103" spans="1:35" ht="18" customHeight="1" x14ac:dyDescent="0.2">
      <c r="A103" s="232"/>
      <c r="B103" s="231"/>
      <c r="C103" s="219"/>
      <c r="D103" s="339" t="s">
        <v>738</v>
      </c>
      <c r="E103" s="248"/>
      <c r="F103" s="273"/>
      <c r="G103" s="219"/>
      <c r="H103" s="219"/>
      <c r="I103" s="151"/>
      <c r="J103" s="151"/>
      <c r="K103" s="151"/>
      <c r="L103" s="151"/>
      <c r="M103" s="151"/>
      <c r="N103" s="151"/>
      <c r="O103" s="151"/>
      <c r="P103" s="151"/>
      <c r="Q103" s="190"/>
      <c r="R103" s="419"/>
      <c r="S103" s="103"/>
      <c r="T103" s="103"/>
      <c r="W103" s="103"/>
      <c r="X103" s="103"/>
      <c r="Y103" s="103"/>
      <c r="AB103" s="103"/>
      <c r="AC103" s="103"/>
      <c r="AD103" s="103"/>
      <c r="AG103" s="103"/>
      <c r="AH103" s="103"/>
      <c r="AI103" s="103"/>
    </row>
    <row r="104" spans="1:35" ht="14.45" customHeight="1" x14ac:dyDescent="0.25">
      <c r="A104" s="218"/>
      <c r="B104" s="219"/>
      <c r="C104" s="219"/>
      <c r="D104" s="215" t="s">
        <v>560</v>
      </c>
      <c r="E104" s="400">
        <v>0</v>
      </c>
      <c r="F104" s="273" t="s">
        <v>0</v>
      </c>
      <c r="G104" s="219"/>
      <c r="H104" s="219"/>
      <c r="I104" s="151"/>
      <c r="J104" s="151"/>
      <c r="K104" s="151"/>
      <c r="L104" s="151"/>
      <c r="M104" s="151"/>
      <c r="N104" s="151"/>
      <c r="O104" s="151"/>
      <c r="P104" s="151"/>
      <c r="Q104" s="190"/>
      <c r="R104" s="419"/>
      <c r="S104" s="103"/>
      <c r="T104" s="103"/>
      <c r="W104" s="103"/>
      <c r="X104" s="103"/>
      <c r="Y104" s="103"/>
      <c r="AB104" s="103"/>
      <c r="AC104" s="103"/>
      <c r="AD104" s="103"/>
      <c r="AG104" s="103"/>
      <c r="AH104" s="103"/>
      <c r="AI104" s="103"/>
    </row>
    <row r="105" spans="1:35" ht="14.45" customHeight="1" thickBot="1" x14ac:dyDescent="0.3">
      <c r="A105" s="269"/>
      <c r="B105" s="300"/>
      <c r="C105" s="300"/>
      <c r="D105" s="301" t="s">
        <v>558</v>
      </c>
      <c r="E105" s="401">
        <v>0</v>
      </c>
      <c r="F105" s="302" t="s">
        <v>136</v>
      </c>
      <c r="G105" s="219"/>
      <c r="H105" s="219"/>
      <c r="I105" s="151"/>
      <c r="J105" s="151"/>
      <c r="K105" s="151"/>
      <c r="L105" s="151"/>
      <c r="M105" s="151"/>
      <c r="N105" s="151"/>
      <c r="O105" s="151"/>
      <c r="P105" s="151"/>
      <c r="Q105" s="190"/>
      <c r="R105" s="419"/>
      <c r="S105" s="103"/>
      <c r="T105" s="103"/>
      <c r="W105" s="103"/>
      <c r="X105" s="103"/>
      <c r="Y105" s="103"/>
      <c r="AB105" s="103"/>
      <c r="AC105" s="103"/>
      <c r="AD105" s="103"/>
      <c r="AG105" s="103"/>
      <c r="AH105" s="103"/>
      <c r="AI105" s="103"/>
    </row>
    <row r="106" spans="1:35" ht="24" customHeight="1" thickBot="1" x14ac:dyDescent="0.25">
      <c r="A106" s="218"/>
      <c r="B106" s="219"/>
      <c r="C106" s="219"/>
      <c r="D106" s="215"/>
      <c r="E106" s="329"/>
      <c r="F106" s="219"/>
      <c r="G106" s="219"/>
      <c r="H106" s="219"/>
      <c r="I106" s="151"/>
      <c r="J106" s="151"/>
      <c r="K106" s="151"/>
      <c r="L106" s="151"/>
      <c r="M106" s="151"/>
      <c r="N106" s="151"/>
      <c r="O106" s="151"/>
      <c r="P106" s="151"/>
      <c r="Q106" s="190"/>
      <c r="R106" s="419"/>
      <c r="S106" s="103"/>
      <c r="T106" s="103"/>
      <c r="W106" s="103"/>
      <c r="X106" s="103"/>
      <c r="Y106" s="103"/>
      <c r="AB106" s="103"/>
      <c r="AC106" s="103"/>
      <c r="AD106" s="103"/>
      <c r="AG106" s="103"/>
      <c r="AH106" s="103"/>
      <c r="AI106" s="103"/>
    </row>
    <row r="107" spans="1:35" ht="15" thickBot="1" x14ac:dyDescent="0.25">
      <c r="A107" s="414"/>
      <c r="B107" s="415"/>
      <c r="C107" s="416"/>
      <c r="D107" s="416"/>
      <c r="E107" s="416"/>
      <c r="F107" s="416"/>
      <c r="G107" s="416"/>
      <c r="H107" s="416"/>
      <c r="I107" s="416"/>
      <c r="J107" s="416"/>
      <c r="K107" s="416"/>
      <c r="L107" s="416"/>
      <c r="M107" s="416"/>
      <c r="N107" s="416"/>
      <c r="O107" s="416"/>
      <c r="P107" s="416"/>
      <c r="Q107" s="416"/>
      <c r="R107" s="417"/>
      <c r="S107" s="103"/>
      <c r="T107" s="103"/>
      <c r="W107" s="103"/>
      <c r="X107" s="103"/>
      <c r="Y107" s="103"/>
      <c r="AB107" s="103"/>
      <c r="AC107" s="103"/>
      <c r="AD107" s="103"/>
      <c r="AG107" s="103"/>
      <c r="AH107" s="103"/>
      <c r="AI107" s="103"/>
    </row>
    <row r="108" spans="1:35" x14ac:dyDescent="0.2">
      <c r="B108" s="146"/>
      <c r="C108" s="146"/>
      <c r="D108" s="146"/>
      <c r="E108" s="146"/>
      <c r="F108" s="146"/>
      <c r="G108" s="146"/>
      <c r="H108" s="146"/>
      <c r="I108" s="146"/>
      <c r="J108" s="146"/>
      <c r="K108" s="146"/>
      <c r="L108" s="146"/>
      <c r="R108" s="103"/>
      <c r="S108" s="103"/>
      <c r="T108" s="103"/>
      <c r="W108" s="103"/>
      <c r="X108" s="103"/>
      <c r="Y108" s="103"/>
      <c r="AB108" s="103"/>
      <c r="AC108" s="103"/>
      <c r="AD108" s="103"/>
      <c r="AG108" s="103"/>
      <c r="AH108" s="103"/>
      <c r="AI108" s="103"/>
    </row>
    <row r="109" spans="1:35" x14ac:dyDescent="0.2">
      <c r="B109" s="146"/>
      <c r="C109" s="146"/>
      <c r="D109" s="146"/>
      <c r="E109" s="146"/>
      <c r="F109" s="146"/>
      <c r="G109" s="146"/>
      <c r="H109" s="146"/>
      <c r="I109" s="146"/>
      <c r="J109" s="146"/>
      <c r="K109" s="146"/>
      <c r="L109" s="146"/>
      <c r="R109" s="103"/>
      <c r="S109" s="103"/>
      <c r="T109" s="103"/>
      <c r="W109" s="103"/>
      <c r="X109" s="103"/>
      <c r="Y109" s="103"/>
      <c r="AB109" s="103"/>
      <c r="AC109" s="103"/>
      <c r="AD109" s="103"/>
      <c r="AG109" s="103"/>
      <c r="AH109" s="103"/>
      <c r="AI109" s="103"/>
    </row>
    <row r="110" spans="1:35" x14ac:dyDescent="0.2">
      <c r="B110" s="146"/>
      <c r="C110" s="146"/>
      <c r="D110" s="146"/>
      <c r="E110" s="146"/>
      <c r="F110" s="146"/>
      <c r="G110" s="146"/>
      <c r="H110" s="146"/>
      <c r="I110" s="146"/>
      <c r="J110" s="146"/>
      <c r="K110" s="146"/>
      <c r="L110" s="146"/>
      <c r="R110" s="103"/>
      <c r="S110" s="103"/>
      <c r="T110" s="103"/>
      <c r="W110" s="103"/>
      <c r="X110" s="103"/>
      <c r="Y110" s="103"/>
      <c r="AB110" s="103"/>
      <c r="AC110" s="103"/>
      <c r="AD110" s="103"/>
      <c r="AG110" s="103"/>
      <c r="AH110" s="103"/>
      <c r="AI110" s="103"/>
    </row>
    <row r="111" spans="1:35" x14ac:dyDescent="0.2">
      <c r="B111" s="146"/>
      <c r="C111" s="146"/>
      <c r="D111" s="146"/>
      <c r="E111" s="146"/>
      <c r="F111" s="146"/>
      <c r="G111" s="146"/>
      <c r="H111" s="146"/>
      <c r="I111" s="146"/>
      <c r="J111" s="146"/>
      <c r="K111" s="146"/>
      <c r="L111" s="146"/>
      <c r="R111" s="103"/>
      <c r="S111" s="103"/>
      <c r="T111" s="103"/>
      <c r="W111" s="103"/>
      <c r="X111" s="103"/>
      <c r="Y111" s="103"/>
      <c r="AB111" s="103"/>
      <c r="AC111" s="103"/>
      <c r="AD111" s="103"/>
      <c r="AG111" s="103"/>
      <c r="AH111" s="103"/>
      <c r="AI111" s="103"/>
    </row>
    <row r="112" spans="1:35" x14ac:dyDescent="0.2">
      <c r="B112" s="146"/>
      <c r="C112" s="146"/>
      <c r="D112" s="146"/>
      <c r="E112" s="146"/>
      <c r="F112" s="146"/>
      <c r="G112" s="146"/>
      <c r="H112" s="146"/>
      <c r="I112" s="146"/>
      <c r="J112" s="146"/>
      <c r="K112" s="146"/>
      <c r="L112" s="146"/>
      <c r="R112" s="103"/>
      <c r="S112" s="103"/>
      <c r="T112" s="103"/>
      <c r="W112" s="103"/>
      <c r="X112" s="103"/>
      <c r="Y112" s="103"/>
      <c r="AB112" s="103"/>
      <c r="AC112" s="103"/>
      <c r="AD112" s="103"/>
      <c r="AG112" s="103"/>
      <c r="AH112" s="103"/>
      <c r="AI112" s="103"/>
    </row>
    <row r="113" spans="2:35" x14ac:dyDescent="0.2">
      <c r="B113" s="146"/>
      <c r="C113" s="146"/>
      <c r="D113" s="146"/>
      <c r="E113" s="146"/>
      <c r="F113" s="146"/>
      <c r="G113" s="146"/>
      <c r="H113" s="146"/>
      <c r="I113" s="146"/>
      <c r="J113" s="146"/>
      <c r="K113" s="146"/>
      <c r="L113" s="146"/>
      <c r="R113" s="103"/>
      <c r="S113" s="103"/>
      <c r="T113" s="103"/>
      <c r="W113" s="103"/>
      <c r="X113" s="103"/>
      <c r="Y113" s="103"/>
      <c r="AB113" s="103"/>
      <c r="AC113" s="103"/>
      <c r="AD113" s="103"/>
      <c r="AG113" s="103"/>
      <c r="AH113" s="103"/>
      <c r="AI113" s="103"/>
    </row>
    <row r="114" spans="2:35" x14ac:dyDescent="0.2">
      <c r="B114" s="146"/>
      <c r="C114" s="146"/>
      <c r="D114" s="146"/>
      <c r="E114" s="146"/>
      <c r="F114" s="146"/>
      <c r="G114" s="146"/>
      <c r="H114" s="146"/>
      <c r="I114" s="146"/>
      <c r="J114" s="146"/>
      <c r="K114" s="146"/>
      <c r="L114" s="146"/>
      <c r="R114" s="103"/>
      <c r="S114" s="103"/>
      <c r="T114" s="103"/>
      <c r="W114" s="103"/>
      <c r="X114" s="103"/>
      <c r="Y114" s="103"/>
      <c r="AB114" s="103"/>
      <c r="AC114" s="103"/>
      <c r="AD114" s="103"/>
      <c r="AG114" s="103"/>
      <c r="AH114" s="103"/>
      <c r="AI114" s="103"/>
    </row>
    <row r="115" spans="2:35" x14ac:dyDescent="0.2">
      <c r="B115" s="146"/>
      <c r="C115" s="146"/>
      <c r="D115" s="146"/>
      <c r="E115" s="146"/>
      <c r="F115" s="146"/>
      <c r="G115" s="146"/>
      <c r="H115" s="146"/>
      <c r="I115" s="146"/>
      <c r="J115" s="146"/>
      <c r="K115" s="146"/>
      <c r="L115" s="146"/>
      <c r="R115" s="103"/>
      <c r="S115" s="103"/>
      <c r="T115" s="103"/>
      <c r="W115" s="103"/>
      <c r="X115" s="103"/>
      <c r="Y115" s="103"/>
      <c r="AB115" s="103"/>
      <c r="AC115" s="103"/>
      <c r="AD115" s="103"/>
      <c r="AG115" s="103"/>
      <c r="AH115" s="103"/>
      <c r="AI115" s="103"/>
    </row>
    <row r="116" spans="2:35" x14ac:dyDescent="0.2">
      <c r="B116" s="146"/>
      <c r="C116" s="146"/>
      <c r="D116" s="146"/>
      <c r="E116" s="146"/>
      <c r="F116" s="146"/>
      <c r="G116" s="146"/>
      <c r="H116" s="146"/>
      <c r="I116" s="146"/>
      <c r="J116" s="146"/>
      <c r="K116" s="146"/>
      <c r="L116" s="146"/>
      <c r="R116" s="103"/>
      <c r="S116" s="103"/>
      <c r="T116" s="103"/>
      <c r="W116" s="103"/>
      <c r="X116" s="103"/>
      <c r="Y116" s="103"/>
      <c r="AB116" s="103"/>
      <c r="AC116" s="103"/>
      <c r="AD116" s="103"/>
      <c r="AG116" s="103"/>
      <c r="AH116" s="103"/>
      <c r="AI116" s="103"/>
    </row>
    <row r="117" spans="2:35" x14ac:dyDescent="0.2">
      <c r="B117" s="146"/>
      <c r="C117" s="146"/>
      <c r="D117" s="146"/>
      <c r="E117" s="146"/>
      <c r="F117" s="146"/>
      <c r="G117" s="146"/>
      <c r="H117" s="146"/>
      <c r="I117" s="146"/>
      <c r="J117" s="146"/>
      <c r="K117" s="146"/>
      <c r="L117" s="146"/>
      <c r="R117" s="103"/>
      <c r="S117" s="103"/>
      <c r="T117" s="103"/>
      <c r="W117" s="103"/>
      <c r="X117" s="103"/>
      <c r="Y117" s="103"/>
      <c r="AB117" s="103"/>
      <c r="AC117" s="103"/>
      <c r="AD117" s="103"/>
      <c r="AG117" s="103"/>
      <c r="AH117" s="103"/>
      <c r="AI117" s="103"/>
    </row>
    <row r="118" spans="2:35" x14ac:dyDescent="0.2">
      <c r="B118" s="146"/>
      <c r="C118" s="146"/>
      <c r="D118" s="146"/>
      <c r="E118" s="146"/>
      <c r="F118" s="146"/>
      <c r="G118" s="146"/>
      <c r="H118" s="146"/>
      <c r="I118" s="146"/>
      <c r="J118" s="146"/>
      <c r="K118" s="146"/>
      <c r="L118" s="146"/>
      <c r="R118" s="157"/>
      <c r="S118" s="157"/>
      <c r="T118" s="157"/>
      <c r="W118" s="157"/>
      <c r="X118" s="157"/>
      <c r="Y118" s="157"/>
      <c r="AB118" s="157"/>
      <c r="AC118" s="157"/>
      <c r="AD118" s="157"/>
      <c r="AG118" s="157"/>
      <c r="AH118" s="157"/>
      <c r="AI118" s="157"/>
    </row>
    <row r="119" spans="2:35" x14ac:dyDescent="0.2">
      <c r="B119" s="146"/>
      <c r="C119" s="146"/>
      <c r="D119" s="146"/>
      <c r="E119" s="146"/>
      <c r="F119" s="146"/>
      <c r="G119" s="146"/>
      <c r="H119" s="146"/>
      <c r="I119" s="146"/>
      <c r="J119" s="146"/>
      <c r="K119" s="146"/>
      <c r="L119" s="146"/>
      <c r="R119" s="157"/>
      <c r="S119" s="157"/>
      <c r="T119" s="157"/>
      <c r="W119" s="157"/>
      <c r="X119" s="157"/>
      <c r="Y119" s="157"/>
      <c r="AB119" s="157"/>
      <c r="AC119" s="157"/>
      <c r="AD119" s="157"/>
      <c r="AG119" s="157"/>
      <c r="AH119" s="157"/>
      <c r="AI119" s="157"/>
    </row>
    <row r="120" spans="2:35" x14ac:dyDescent="0.2">
      <c r="B120" s="146"/>
      <c r="C120" s="146"/>
      <c r="D120" s="146"/>
      <c r="E120" s="146"/>
      <c r="F120" s="146"/>
      <c r="G120" s="146"/>
      <c r="H120" s="146"/>
      <c r="I120" s="146"/>
      <c r="J120" s="146"/>
      <c r="K120" s="146"/>
      <c r="L120" s="146"/>
      <c r="R120" s="157"/>
      <c r="S120" s="103"/>
      <c r="T120" s="103"/>
      <c r="W120" s="157"/>
      <c r="X120" s="103"/>
      <c r="Y120" s="103"/>
      <c r="AB120" s="157"/>
      <c r="AC120" s="103"/>
      <c r="AD120" s="103"/>
      <c r="AG120" s="157"/>
      <c r="AH120" s="103"/>
      <c r="AI120" s="103"/>
    </row>
    <row r="121" spans="2:35" x14ac:dyDescent="0.2">
      <c r="B121" s="146"/>
      <c r="C121" s="146"/>
      <c r="D121" s="146"/>
      <c r="E121" s="146"/>
      <c r="F121" s="146"/>
      <c r="G121" s="146"/>
      <c r="H121" s="146"/>
      <c r="I121" s="146"/>
      <c r="J121" s="146"/>
      <c r="K121" s="146"/>
      <c r="L121" s="146"/>
      <c r="R121" s="103"/>
      <c r="S121" s="103"/>
      <c r="T121" s="103"/>
      <c r="W121" s="103"/>
      <c r="X121" s="103"/>
      <c r="Y121" s="103"/>
      <c r="AB121" s="103"/>
      <c r="AC121" s="103"/>
      <c r="AD121" s="103"/>
      <c r="AG121" s="103"/>
      <c r="AH121" s="103"/>
      <c r="AI121" s="103"/>
    </row>
    <row r="122" spans="2:35" x14ac:dyDescent="0.2">
      <c r="B122" s="146"/>
      <c r="C122" s="146"/>
      <c r="D122" s="146"/>
      <c r="E122" s="146"/>
      <c r="F122" s="146"/>
      <c r="G122" s="146"/>
      <c r="H122" s="146"/>
      <c r="I122" s="146"/>
      <c r="J122" s="146"/>
      <c r="K122" s="146"/>
      <c r="L122" s="146"/>
      <c r="R122" s="103"/>
      <c r="S122" s="103"/>
      <c r="T122" s="103"/>
      <c r="W122" s="103"/>
      <c r="X122" s="103"/>
      <c r="Y122" s="103"/>
      <c r="AB122" s="103"/>
      <c r="AC122" s="103"/>
      <c r="AD122" s="103"/>
      <c r="AG122" s="103"/>
      <c r="AH122" s="103"/>
      <c r="AI122" s="103"/>
    </row>
    <row r="123" spans="2:35" x14ac:dyDescent="0.2">
      <c r="B123" s="146"/>
      <c r="C123" s="146"/>
      <c r="D123" s="146"/>
      <c r="E123" s="146"/>
      <c r="F123" s="146"/>
      <c r="G123" s="146"/>
      <c r="H123" s="146"/>
      <c r="I123" s="146"/>
      <c r="J123" s="146"/>
      <c r="K123" s="146"/>
      <c r="L123" s="146"/>
      <c r="R123" s="157"/>
      <c r="S123" s="157"/>
      <c r="T123" s="157"/>
      <c r="W123" s="157"/>
      <c r="X123" s="157"/>
      <c r="Y123" s="157"/>
      <c r="AB123" s="157"/>
      <c r="AC123" s="157"/>
      <c r="AD123" s="157"/>
      <c r="AG123" s="157"/>
      <c r="AH123" s="157"/>
      <c r="AI123" s="157"/>
    </row>
    <row r="124" spans="2:35" x14ac:dyDescent="0.2">
      <c r="B124" s="146"/>
      <c r="C124" s="146"/>
      <c r="D124" s="146"/>
      <c r="E124" s="146"/>
      <c r="F124" s="146"/>
      <c r="G124" s="146"/>
      <c r="H124" s="146"/>
      <c r="I124" s="146"/>
      <c r="J124" s="146"/>
      <c r="K124" s="146"/>
      <c r="L124" s="146"/>
      <c r="R124" s="157"/>
      <c r="S124" s="157"/>
      <c r="T124" s="157"/>
      <c r="W124" s="157"/>
      <c r="X124" s="157"/>
      <c r="Y124" s="157"/>
      <c r="AB124" s="157"/>
      <c r="AC124" s="157"/>
      <c r="AD124" s="157"/>
      <c r="AG124" s="157"/>
      <c r="AH124" s="157"/>
      <c r="AI124" s="157"/>
    </row>
    <row r="125" spans="2:35" x14ac:dyDescent="0.2">
      <c r="B125" s="146"/>
      <c r="C125" s="146"/>
      <c r="D125" s="146"/>
      <c r="E125" s="146"/>
      <c r="F125" s="146"/>
      <c r="G125" s="146"/>
      <c r="H125" s="146"/>
      <c r="I125" s="146"/>
      <c r="J125" s="146"/>
      <c r="K125" s="146"/>
      <c r="L125" s="146"/>
      <c r="R125" s="157"/>
      <c r="S125" s="157"/>
      <c r="T125" s="157"/>
      <c r="W125" s="157"/>
      <c r="X125" s="157"/>
      <c r="Y125" s="157"/>
      <c r="AB125" s="157"/>
      <c r="AC125" s="157"/>
      <c r="AD125" s="157"/>
      <c r="AG125" s="157"/>
      <c r="AH125" s="157"/>
      <c r="AI125" s="157"/>
    </row>
    <row r="126" spans="2:35" x14ac:dyDescent="0.2">
      <c r="B126" s="146"/>
      <c r="C126" s="146"/>
      <c r="D126" s="146"/>
      <c r="E126" s="146"/>
      <c r="F126" s="146"/>
      <c r="G126" s="146"/>
      <c r="H126" s="146"/>
      <c r="I126" s="146"/>
      <c r="J126" s="146"/>
      <c r="K126" s="146"/>
      <c r="L126" s="146"/>
      <c r="R126" s="157"/>
      <c r="S126" s="157"/>
      <c r="T126" s="157"/>
      <c r="W126" s="157"/>
      <c r="X126" s="157"/>
      <c r="Y126" s="157"/>
      <c r="AB126" s="157"/>
      <c r="AC126" s="157"/>
      <c r="AD126" s="157"/>
      <c r="AG126" s="157"/>
      <c r="AH126" s="157"/>
      <c r="AI126" s="157"/>
    </row>
    <row r="127" spans="2:35" x14ac:dyDescent="0.2">
      <c r="B127" s="146"/>
      <c r="C127" s="146"/>
      <c r="D127" s="146"/>
      <c r="E127" s="146"/>
      <c r="F127" s="146"/>
      <c r="G127" s="146"/>
      <c r="H127" s="146"/>
      <c r="I127" s="146"/>
      <c r="J127" s="146"/>
      <c r="K127" s="146"/>
      <c r="L127" s="146"/>
      <c r="R127" s="157"/>
      <c r="S127" s="157"/>
      <c r="T127" s="157"/>
      <c r="W127" s="157"/>
      <c r="X127" s="157"/>
      <c r="Y127" s="157"/>
      <c r="AB127" s="157"/>
      <c r="AC127" s="157"/>
      <c r="AD127" s="157"/>
      <c r="AG127" s="157"/>
      <c r="AH127" s="157"/>
      <c r="AI127" s="157"/>
    </row>
    <row r="128" spans="2:35" x14ac:dyDescent="0.2">
      <c r="B128" s="146"/>
      <c r="C128" s="146"/>
      <c r="D128" s="146"/>
      <c r="E128" s="146"/>
      <c r="F128" s="146"/>
      <c r="G128" s="146"/>
      <c r="H128" s="146"/>
      <c r="I128" s="146"/>
      <c r="J128" s="146"/>
      <c r="K128" s="146"/>
      <c r="L128" s="146"/>
      <c r="R128" s="157"/>
      <c r="S128" s="157"/>
      <c r="T128" s="157"/>
      <c r="W128" s="157"/>
      <c r="X128" s="157"/>
      <c r="Y128" s="157"/>
      <c r="AB128" s="157"/>
      <c r="AC128" s="157"/>
      <c r="AD128" s="157"/>
      <c r="AG128" s="157"/>
      <c r="AH128" s="157"/>
      <c r="AI128" s="157"/>
    </row>
    <row r="129" spans="2:35" x14ac:dyDescent="0.2">
      <c r="B129" s="146"/>
      <c r="C129" s="146"/>
      <c r="D129" s="146"/>
      <c r="E129" s="146"/>
      <c r="F129" s="146"/>
      <c r="G129" s="146"/>
      <c r="H129" s="146"/>
      <c r="I129" s="146"/>
      <c r="J129" s="146"/>
      <c r="K129" s="146"/>
      <c r="L129" s="146"/>
      <c r="R129" s="157"/>
      <c r="S129" s="157"/>
      <c r="T129" s="157"/>
      <c r="W129" s="157"/>
      <c r="X129" s="157"/>
      <c r="Y129" s="157"/>
      <c r="AB129" s="157"/>
      <c r="AC129" s="157"/>
      <c r="AD129" s="157"/>
      <c r="AG129" s="157"/>
      <c r="AH129" s="157"/>
      <c r="AI129" s="157"/>
    </row>
    <row r="130" spans="2:35" x14ac:dyDescent="0.2">
      <c r="B130" s="146"/>
      <c r="C130" s="146"/>
      <c r="D130" s="146"/>
      <c r="E130" s="146"/>
      <c r="F130" s="146"/>
      <c r="G130" s="146"/>
      <c r="H130" s="146"/>
      <c r="I130" s="146"/>
      <c r="J130" s="146"/>
      <c r="K130" s="146"/>
      <c r="L130" s="146"/>
      <c r="R130" s="157"/>
      <c r="S130" s="157"/>
      <c r="T130" s="157"/>
      <c r="W130" s="157"/>
      <c r="X130" s="157"/>
      <c r="Y130" s="157"/>
      <c r="AB130" s="157"/>
      <c r="AC130" s="157"/>
      <c r="AD130" s="157"/>
      <c r="AG130" s="157"/>
      <c r="AH130" s="157"/>
      <c r="AI130" s="157"/>
    </row>
    <row r="131" spans="2:35" x14ac:dyDescent="0.2">
      <c r="B131" s="146"/>
      <c r="C131" s="146"/>
      <c r="D131" s="146"/>
      <c r="E131" s="146"/>
      <c r="F131" s="146"/>
      <c r="G131" s="146"/>
      <c r="H131" s="146"/>
      <c r="I131" s="146"/>
      <c r="J131" s="146"/>
      <c r="K131" s="146"/>
      <c r="L131" s="146"/>
      <c r="R131" s="157"/>
      <c r="S131" s="157"/>
      <c r="T131" s="157"/>
      <c r="W131" s="157"/>
      <c r="X131" s="157"/>
      <c r="Y131" s="157"/>
      <c r="AB131" s="157"/>
      <c r="AC131" s="157"/>
      <c r="AD131" s="157"/>
      <c r="AG131" s="157"/>
      <c r="AH131" s="157"/>
      <c r="AI131" s="157"/>
    </row>
    <row r="132" spans="2:35" x14ac:dyDescent="0.2">
      <c r="B132" s="146"/>
      <c r="C132" s="146"/>
      <c r="D132" s="146"/>
      <c r="E132" s="146"/>
      <c r="F132" s="146"/>
      <c r="G132" s="146"/>
      <c r="H132" s="146"/>
      <c r="I132" s="146"/>
      <c r="J132" s="146"/>
      <c r="K132" s="146"/>
      <c r="L132" s="146"/>
      <c r="R132" s="157"/>
      <c r="S132" s="157"/>
      <c r="T132" s="157"/>
      <c r="W132" s="157"/>
      <c r="X132" s="157"/>
      <c r="Y132" s="157"/>
      <c r="AB132" s="157"/>
      <c r="AC132" s="157"/>
      <c r="AD132" s="157"/>
      <c r="AG132" s="157"/>
      <c r="AH132" s="157"/>
      <c r="AI132" s="157"/>
    </row>
    <row r="133" spans="2:35" x14ac:dyDescent="0.2">
      <c r="B133" s="146"/>
      <c r="C133" s="146"/>
      <c r="D133" s="146"/>
      <c r="E133" s="146"/>
      <c r="F133" s="146"/>
      <c r="G133" s="146"/>
      <c r="H133" s="146"/>
      <c r="I133" s="146"/>
      <c r="J133" s="146"/>
      <c r="K133" s="146"/>
      <c r="L133" s="146"/>
      <c r="R133" s="157"/>
      <c r="S133" s="157"/>
      <c r="T133" s="157"/>
      <c r="W133" s="157"/>
      <c r="X133" s="157"/>
      <c r="Y133" s="157"/>
      <c r="AB133" s="157"/>
      <c r="AC133" s="157"/>
      <c r="AD133" s="157"/>
      <c r="AG133" s="157"/>
      <c r="AH133" s="157"/>
      <c r="AI133" s="157"/>
    </row>
    <row r="134" spans="2:35" x14ac:dyDescent="0.2">
      <c r="B134" s="146"/>
      <c r="C134" s="146"/>
      <c r="D134" s="146"/>
      <c r="E134" s="146"/>
      <c r="F134" s="146"/>
      <c r="G134" s="146"/>
      <c r="H134" s="146"/>
      <c r="I134" s="146"/>
      <c r="J134" s="146"/>
      <c r="K134" s="146"/>
      <c r="L134" s="146"/>
      <c r="R134" s="157"/>
      <c r="S134" s="157"/>
      <c r="T134" s="157"/>
      <c r="W134" s="157"/>
      <c r="X134" s="157"/>
      <c r="Y134" s="157"/>
      <c r="AB134" s="157"/>
      <c r="AC134" s="157"/>
      <c r="AD134" s="157"/>
      <c r="AG134" s="157"/>
      <c r="AH134" s="157"/>
      <c r="AI134" s="157"/>
    </row>
    <row r="135" spans="2:35" x14ac:dyDescent="0.2">
      <c r="B135" s="146"/>
      <c r="C135" s="146"/>
      <c r="D135" s="146"/>
      <c r="E135" s="146"/>
      <c r="F135" s="146"/>
      <c r="G135" s="146"/>
      <c r="H135" s="146"/>
      <c r="I135" s="146"/>
      <c r="J135" s="146"/>
      <c r="K135" s="146"/>
      <c r="L135" s="146"/>
      <c r="R135" s="157"/>
      <c r="S135" s="157"/>
      <c r="T135" s="157"/>
      <c r="W135" s="157"/>
      <c r="X135" s="157"/>
      <c r="Y135" s="157"/>
      <c r="AB135" s="157"/>
      <c r="AC135" s="157"/>
      <c r="AD135" s="157"/>
      <c r="AG135" s="157"/>
      <c r="AH135" s="157"/>
      <c r="AI135" s="157"/>
    </row>
    <row r="136" spans="2:35" x14ac:dyDescent="0.2">
      <c r="B136" s="146"/>
      <c r="C136" s="146"/>
      <c r="D136" s="146"/>
      <c r="E136" s="146"/>
      <c r="F136" s="146"/>
      <c r="G136" s="146"/>
      <c r="H136" s="146"/>
      <c r="I136" s="146"/>
      <c r="J136" s="146"/>
      <c r="K136" s="146"/>
      <c r="L136" s="146"/>
      <c r="R136" s="157"/>
      <c r="S136" s="157"/>
      <c r="T136" s="157"/>
      <c r="W136" s="157"/>
      <c r="X136" s="157"/>
      <c r="Y136" s="157"/>
      <c r="AB136" s="157"/>
      <c r="AC136" s="157"/>
      <c r="AD136" s="157"/>
      <c r="AG136" s="157"/>
      <c r="AH136" s="157"/>
      <c r="AI136" s="157"/>
    </row>
    <row r="137" spans="2:35" x14ac:dyDescent="0.2">
      <c r="B137" s="146"/>
      <c r="C137" s="146"/>
      <c r="D137" s="146"/>
      <c r="E137" s="146"/>
      <c r="F137" s="146"/>
      <c r="G137" s="146"/>
      <c r="H137" s="146"/>
      <c r="I137" s="146"/>
      <c r="J137" s="146"/>
      <c r="K137" s="146"/>
      <c r="L137" s="146"/>
      <c r="R137" s="157"/>
      <c r="S137" s="157"/>
      <c r="T137" s="157"/>
      <c r="W137" s="157"/>
      <c r="X137" s="157"/>
      <c r="Y137" s="157"/>
      <c r="AB137" s="157"/>
      <c r="AC137" s="157"/>
      <c r="AD137" s="157"/>
      <c r="AG137" s="157"/>
      <c r="AH137" s="157"/>
      <c r="AI137" s="157"/>
    </row>
    <row r="138" spans="2:35" x14ac:dyDescent="0.2">
      <c r="B138" s="146"/>
      <c r="C138" s="146"/>
      <c r="D138" s="146"/>
      <c r="E138" s="146"/>
      <c r="F138" s="146"/>
      <c r="G138" s="146"/>
      <c r="H138" s="146"/>
      <c r="I138" s="146"/>
      <c r="J138" s="146"/>
      <c r="K138" s="146"/>
      <c r="L138" s="146"/>
      <c r="R138" s="157"/>
      <c r="S138" s="157"/>
      <c r="T138" s="157"/>
      <c r="W138" s="157"/>
      <c r="X138" s="157"/>
      <c r="Y138" s="157"/>
      <c r="AB138" s="157"/>
      <c r="AC138" s="157"/>
      <c r="AD138" s="157"/>
      <c r="AG138" s="157"/>
      <c r="AH138" s="157"/>
      <c r="AI138" s="157"/>
    </row>
    <row r="139" spans="2:35" x14ac:dyDescent="0.2">
      <c r="B139" s="146"/>
      <c r="C139" s="146"/>
      <c r="D139" s="146"/>
      <c r="E139" s="146"/>
      <c r="F139" s="146"/>
      <c r="G139" s="146"/>
      <c r="H139" s="146"/>
      <c r="I139" s="146"/>
      <c r="J139" s="146"/>
      <c r="K139" s="146"/>
      <c r="L139" s="146"/>
      <c r="R139" s="157"/>
      <c r="S139" s="157"/>
      <c r="T139" s="157"/>
      <c r="W139" s="157"/>
      <c r="X139" s="157"/>
      <c r="Y139" s="157"/>
      <c r="AB139" s="157"/>
      <c r="AC139" s="157"/>
      <c r="AD139" s="157"/>
      <c r="AG139" s="157"/>
      <c r="AH139" s="157"/>
      <c r="AI139" s="157"/>
    </row>
    <row r="140" spans="2:35" x14ac:dyDescent="0.2">
      <c r="B140" s="146"/>
      <c r="C140" s="146"/>
      <c r="D140" s="146"/>
      <c r="E140" s="146"/>
      <c r="F140" s="146"/>
      <c r="G140" s="146"/>
      <c r="H140" s="146"/>
      <c r="I140" s="146"/>
      <c r="J140" s="146"/>
      <c r="K140" s="146"/>
      <c r="L140" s="146"/>
      <c r="R140" s="157"/>
      <c r="S140" s="157"/>
      <c r="T140" s="157"/>
      <c r="W140" s="157"/>
      <c r="X140" s="157"/>
      <c r="Y140" s="157"/>
      <c r="AB140" s="157"/>
      <c r="AC140" s="157"/>
      <c r="AD140" s="157"/>
      <c r="AG140" s="157"/>
      <c r="AH140" s="157"/>
      <c r="AI140" s="157"/>
    </row>
    <row r="141" spans="2:35" x14ac:dyDescent="0.2">
      <c r="B141" s="146"/>
      <c r="C141" s="146"/>
      <c r="D141" s="146"/>
      <c r="E141" s="146"/>
      <c r="F141" s="146"/>
      <c r="G141" s="146"/>
      <c r="H141" s="146"/>
      <c r="I141" s="146"/>
      <c r="J141" s="146"/>
      <c r="K141" s="146"/>
      <c r="L141" s="146"/>
      <c r="R141" s="157"/>
      <c r="S141" s="157"/>
      <c r="T141" s="157"/>
      <c r="W141" s="157"/>
      <c r="X141" s="157"/>
      <c r="Y141" s="157"/>
      <c r="AB141" s="157"/>
      <c r="AC141" s="157"/>
      <c r="AD141" s="157"/>
      <c r="AG141" s="157"/>
      <c r="AH141" s="157"/>
      <c r="AI141" s="157"/>
    </row>
    <row r="142" spans="2:35" x14ac:dyDescent="0.2">
      <c r="B142" s="146"/>
      <c r="C142" s="146"/>
      <c r="D142" s="146"/>
      <c r="E142" s="146"/>
      <c r="F142" s="146"/>
      <c r="G142" s="146"/>
      <c r="H142" s="146"/>
      <c r="I142" s="146"/>
      <c r="J142" s="146"/>
      <c r="K142" s="146"/>
      <c r="L142" s="146"/>
      <c r="R142" s="157"/>
      <c r="S142" s="157"/>
      <c r="T142" s="157"/>
      <c r="W142" s="157"/>
      <c r="X142" s="157"/>
      <c r="Y142" s="157"/>
      <c r="AB142" s="157"/>
      <c r="AC142" s="157"/>
      <c r="AD142" s="157"/>
      <c r="AG142" s="157"/>
      <c r="AH142" s="157"/>
      <c r="AI142" s="157"/>
    </row>
    <row r="143" spans="2:35" x14ac:dyDescent="0.2">
      <c r="B143" s="146"/>
      <c r="C143" s="146"/>
      <c r="D143" s="146"/>
      <c r="E143" s="146"/>
      <c r="F143" s="146"/>
      <c r="G143" s="146"/>
      <c r="H143" s="146"/>
      <c r="I143" s="146"/>
      <c r="J143" s="146"/>
      <c r="K143" s="146"/>
      <c r="L143" s="146"/>
      <c r="R143" s="157"/>
      <c r="S143" s="157"/>
      <c r="T143" s="157"/>
      <c r="W143" s="157"/>
      <c r="X143" s="157"/>
      <c r="Y143" s="157"/>
      <c r="AB143" s="157"/>
      <c r="AC143" s="157"/>
      <c r="AD143" s="157"/>
      <c r="AG143" s="157"/>
      <c r="AH143" s="157"/>
      <c r="AI143" s="157"/>
    </row>
    <row r="144" spans="2:35" x14ac:dyDescent="0.2">
      <c r="B144" s="146"/>
      <c r="C144" s="146"/>
      <c r="D144" s="146"/>
      <c r="E144" s="146"/>
      <c r="F144" s="146"/>
      <c r="G144" s="146"/>
      <c r="H144" s="146"/>
      <c r="I144" s="146"/>
      <c r="J144" s="146"/>
      <c r="K144" s="146"/>
      <c r="L144" s="146"/>
      <c r="R144" s="157"/>
      <c r="S144" s="157"/>
      <c r="T144" s="157"/>
      <c r="W144" s="157"/>
      <c r="X144" s="157"/>
      <c r="Y144" s="157"/>
      <c r="AB144" s="157"/>
      <c r="AC144" s="157"/>
      <c r="AD144" s="157"/>
      <c r="AG144" s="157"/>
      <c r="AH144" s="157"/>
      <c r="AI144" s="157"/>
    </row>
    <row r="145" spans="2:35" x14ac:dyDescent="0.2">
      <c r="B145" s="146"/>
      <c r="C145" s="146"/>
      <c r="D145" s="146"/>
      <c r="E145" s="146"/>
      <c r="F145" s="146"/>
      <c r="G145" s="146"/>
      <c r="H145" s="146"/>
      <c r="I145" s="146"/>
      <c r="J145" s="146"/>
      <c r="K145" s="146"/>
      <c r="L145" s="146"/>
      <c r="R145" s="157"/>
      <c r="S145" s="157"/>
      <c r="T145" s="157"/>
      <c r="W145" s="157"/>
      <c r="X145" s="157"/>
      <c r="Y145" s="157"/>
      <c r="AB145" s="157"/>
      <c r="AC145" s="157"/>
      <c r="AD145" s="157"/>
      <c r="AG145" s="157"/>
      <c r="AH145" s="157"/>
      <c r="AI145" s="157"/>
    </row>
    <row r="146" spans="2:35" x14ac:dyDescent="0.2">
      <c r="B146" s="146"/>
      <c r="C146" s="146"/>
      <c r="D146" s="146"/>
      <c r="E146" s="146"/>
      <c r="F146" s="146"/>
      <c r="G146" s="146"/>
      <c r="H146" s="146"/>
      <c r="I146" s="146"/>
      <c r="J146" s="146"/>
      <c r="K146" s="146"/>
      <c r="L146" s="146"/>
      <c r="R146" s="157"/>
      <c r="S146" s="157"/>
      <c r="T146" s="157"/>
      <c r="W146" s="157"/>
      <c r="X146" s="157"/>
      <c r="Y146" s="157"/>
      <c r="AB146" s="157"/>
      <c r="AC146" s="157"/>
      <c r="AD146" s="157"/>
      <c r="AG146" s="157"/>
      <c r="AH146" s="157"/>
      <c r="AI146" s="157"/>
    </row>
    <row r="147" spans="2:35" x14ac:dyDescent="0.2">
      <c r="B147" s="146"/>
      <c r="C147" s="146"/>
      <c r="D147" s="146"/>
      <c r="E147" s="146"/>
      <c r="F147" s="146"/>
      <c r="G147" s="146"/>
      <c r="H147" s="146"/>
      <c r="I147" s="146"/>
      <c r="J147" s="146"/>
      <c r="K147" s="146"/>
      <c r="L147" s="146"/>
      <c r="R147" s="157"/>
      <c r="S147" s="157"/>
      <c r="T147" s="157"/>
      <c r="W147" s="157"/>
      <c r="X147" s="157"/>
      <c r="Y147" s="157"/>
      <c r="AB147" s="157"/>
      <c r="AC147" s="157"/>
      <c r="AD147" s="157"/>
      <c r="AG147" s="157"/>
      <c r="AH147" s="157"/>
      <c r="AI147" s="157"/>
    </row>
    <row r="148" spans="2:35" x14ac:dyDescent="0.2">
      <c r="B148" s="146"/>
      <c r="C148" s="146"/>
      <c r="D148" s="146"/>
      <c r="E148" s="146"/>
      <c r="F148" s="146"/>
      <c r="G148" s="146"/>
      <c r="H148" s="146"/>
      <c r="I148" s="146"/>
      <c r="J148" s="146"/>
      <c r="K148" s="146"/>
      <c r="L148" s="146"/>
      <c r="R148" s="157"/>
      <c r="S148" s="157"/>
      <c r="T148" s="157"/>
      <c r="W148" s="157"/>
      <c r="X148" s="157"/>
      <c r="Y148" s="157"/>
      <c r="AB148" s="157"/>
      <c r="AC148" s="157"/>
      <c r="AD148" s="157"/>
      <c r="AG148" s="157"/>
      <c r="AH148" s="157"/>
      <c r="AI148" s="157"/>
    </row>
    <row r="149" spans="2:35" x14ac:dyDescent="0.2">
      <c r="B149" s="146"/>
      <c r="C149" s="146"/>
      <c r="D149" s="146"/>
      <c r="E149" s="146"/>
      <c r="F149" s="146"/>
      <c r="G149" s="146"/>
      <c r="H149" s="146"/>
      <c r="I149" s="146"/>
      <c r="J149" s="146"/>
      <c r="K149" s="146"/>
      <c r="L149" s="146"/>
      <c r="R149" s="157"/>
      <c r="S149" s="157"/>
      <c r="T149" s="157"/>
      <c r="W149" s="157"/>
      <c r="X149" s="157"/>
      <c r="Y149" s="157"/>
      <c r="AB149" s="157"/>
      <c r="AC149" s="157"/>
      <c r="AD149" s="157"/>
      <c r="AG149" s="157"/>
      <c r="AH149" s="157"/>
      <c r="AI149" s="157"/>
    </row>
    <row r="150" spans="2:35" x14ac:dyDescent="0.2">
      <c r="B150" s="146"/>
      <c r="C150" s="146"/>
      <c r="D150" s="146"/>
      <c r="E150" s="146"/>
      <c r="F150" s="146"/>
      <c r="G150" s="146"/>
      <c r="H150" s="146"/>
      <c r="I150" s="146"/>
      <c r="J150" s="146"/>
      <c r="K150" s="146"/>
      <c r="L150" s="146"/>
      <c r="R150" s="157"/>
      <c r="S150" s="157"/>
      <c r="T150" s="157"/>
      <c r="W150" s="157"/>
      <c r="X150" s="157"/>
      <c r="Y150" s="157"/>
      <c r="AB150" s="157"/>
      <c r="AC150" s="157"/>
      <c r="AD150" s="157"/>
      <c r="AG150" s="157"/>
      <c r="AH150" s="157"/>
      <c r="AI150" s="157"/>
    </row>
    <row r="151" spans="2:35" x14ac:dyDescent="0.2">
      <c r="B151" s="146"/>
      <c r="C151" s="146"/>
      <c r="D151" s="146"/>
      <c r="E151" s="146"/>
      <c r="F151" s="146"/>
      <c r="G151" s="146"/>
      <c r="H151" s="146"/>
      <c r="I151" s="146"/>
      <c r="J151" s="146"/>
      <c r="K151" s="146"/>
      <c r="L151" s="146"/>
      <c r="R151" s="157"/>
      <c r="S151" s="157"/>
      <c r="T151" s="157"/>
      <c r="W151" s="157"/>
      <c r="X151" s="157"/>
      <c r="Y151" s="157"/>
      <c r="AB151" s="157"/>
      <c r="AC151" s="157"/>
      <c r="AD151" s="157"/>
      <c r="AG151" s="157"/>
      <c r="AH151" s="157"/>
      <c r="AI151" s="157"/>
    </row>
    <row r="152" spans="2:35" x14ac:dyDescent="0.2">
      <c r="B152" s="146"/>
      <c r="C152" s="146"/>
      <c r="D152" s="146"/>
      <c r="E152" s="146"/>
      <c r="F152" s="146"/>
      <c r="G152" s="146"/>
      <c r="H152" s="146"/>
      <c r="I152" s="146"/>
      <c r="J152" s="146"/>
      <c r="K152" s="146"/>
      <c r="L152" s="146"/>
      <c r="R152" s="157"/>
      <c r="S152" s="157"/>
      <c r="T152" s="157"/>
      <c r="W152" s="157"/>
      <c r="X152" s="157"/>
      <c r="Y152" s="157"/>
      <c r="AB152" s="157"/>
      <c r="AC152" s="157"/>
      <c r="AD152" s="157"/>
      <c r="AG152" s="157"/>
      <c r="AH152" s="157"/>
      <c r="AI152" s="157"/>
    </row>
    <row r="153" spans="2:35" x14ac:dyDescent="0.2">
      <c r="B153" s="146"/>
      <c r="C153" s="146"/>
      <c r="D153" s="146"/>
      <c r="E153" s="146"/>
      <c r="F153" s="146"/>
      <c r="G153" s="146"/>
      <c r="H153" s="146"/>
      <c r="I153" s="146"/>
      <c r="J153" s="146"/>
      <c r="K153" s="146"/>
      <c r="L153" s="146"/>
      <c r="R153" s="157"/>
      <c r="S153" s="157"/>
      <c r="T153" s="157"/>
      <c r="W153" s="157"/>
      <c r="X153" s="157"/>
      <c r="Y153" s="157"/>
      <c r="AB153" s="157"/>
      <c r="AC153" s="157"/>
      <c r="AD153" s="157"/>
      <c r="AG153" s="157"/>
      <c r="AH153" s="157"/>
      <c r="AI153" s="157"/>
    </row>
    <row r="154" spans="2:35" x14ac:dyDescent="0.2">
      <c r="B154" s="146"/>
      <c r="C154" s="146"/>
      <c r="D154" s="146"/>
      <c r="E154" s="146"/>
      <c r="F154" s="146"/>
      <c r="G154" s="146"/>
      <c r="H154" s="146"/>
      <c r="I154" s="146"/>
      <c r="J154" s="146"/>
      <c r="K154" s="146"/>
      <c r="L154" s="146"/>
      <c r="R154" s="157"/>
      <c r="S154" s="157"/>
      <c r="T154" s="157"/>
      <c r="W154" s="157"/>
      <c r="X154" s="157"/>
      <c r="Y154" s="157"/>
      <c r="AB154" s="157"/>
      <c r="AC154" s="157"/>
      <c r="AD154" s="157"/>
      <c r="AG154" s="157"/>
      <c r="AH154" s="157"/>
      <c r="AI154" s="157"/>
    </row>
    <row r="155" spans="2:35" x14ac:dyDescent="0.2">
      <c r="B155" s="146"/>
      <c r="C155" s="146"/>
      <c r="D155" s="146"/>
      <c r="E155" s="146"/>
      <c r="F155" s="146"/>
      <c r="G155" s="146"/>
      <c r="H155" s="146"/>
      <c r="I155" s="146"/>
      <c r="J155" s="146"/>
      <c r="K155" s="146"/>
      <c r="L155" s="146"/>
      <c r="R155" s="157"/>
      <c r="S155" s="157"/>
      <c r="T155" s="157"/>
      <c r="W155" s="157"/>
      <c r="X155" s="157"/>
      <c r="Y155" s="157"/>
      <c r="AB155" s="157"/>
      <c r="AC155" s="157"/>
      <c r="AD155" s="157"/>
      <c r="AG155" s="157"/>
      <c r="AH155" s="157"/>
      <c r="AI155" s="157"/>
    </row>
    <row r="156" spans="2:35" x14ac:dyDescent="0.2">
      <c r="B156" s="146"/>
      <c r="C156" s="146"/>
      <c r="D156" s="146"/>
      <c r="E156" s="146"/>
      <c r="F156" s="146"/>
      <c r="G156" s="146"/>
      <c r="H156" s="146"/>
      <c r="I156" s="146"/>
      <c r="J156" s="146"/>
      <c r="K156" s="146"/>
      <c r="L156" s="146"/>
      <c r="R156" s="157"/>
      <c r="S156" s="157"/>
      <c r="T156" s="157"/>
      <c r="W156" s="157"/>
      <c r="X156" s="157"/>
      <c r="Y156" s="157"/>
      <c r="AB156" s="157"/>
      <c r="AC156" s="157"/>
      <c r="AD156" s="157"/>
      <c r="AG156" s="157"/>
      <c r="AH156" s="157"/>
      <c r="AI156" s="157"/>
    </row>
    <row r="157" spans="2:35" x14ac:dyDescent="0.2">
      <c r="B157" s="146"/>
      <c r="C157" s="146"/>
      <c r="D157" s="146"/>
      <c r="E157" s="146"/>
      <c r="F157" s="146"/>
      <c r="G157" s="146"/>
      <c r="H157" s="146"/>
      <c r="I157" s="146"/>
      <c r="J157" s="146"/>
      <c r="K157" s="146"/>
      <c r="L157" s="146"/>
      <c r="R157" s="157"/>
      <c r="S157" s="157"/>
      <c r="T157" s="157"/>
      <c r="W157" s="157"/>
      <c r="X157" s="157"/>
      <c r="Y157" s="157"/>
      <c r="AB157" s="157"/>
      <c r="AC157" s="157"/>
      <c r="AD157" s="157"/>
      <c r="AG157" s="157"/>
      <c r="AH157" s="157"/>
      <c r="AI157" s="157"/>
    </row>
    <row r="158" spans="2:35" x14ac:dyDescent="0.2">
      <c r="B158" s="146"/>
      <c r="C158" s="146"/>
      <c r="D158" s="146"/>
      <c r="E158" s="146"/>
      <c r="F158" s="146"/>
      <c r="G158" s="146"/>
      <c r="H158" s="146"/>
      <c r="I158" s="146"/>
      <c r="J158" s="146"/>
      <c r="K158" s="146"/>
      <c r="L158" s="146"/>
      <c r="R158" s="157"/>
      <c r="S158" s="157"/>
      <c r="T158" s="157"/>
      <c r="W158" s="157"/>
      <c r="X158" s="157"/>
      <c r="Y158" s="157"/>
      <c r="AB158" s="157"/>
      <c r="AC158" s="157"/>
      <c r="AD158" s="157"/>
      <c r="AG158" s="157"/>
      <c r="AH158" s="157"/>
      <c r="AI158" s="157"/>
    </row>
    <row r="159" spans="2:35" x14ac:dyDescent="0.2">
      <c r="B159" s="146"/>
      <c r="C159" s="146"/>
      <c r="D159" s="146"/>
      <c r="E159" s="146"/>
      <c r="F159" s="146"/>
      <c r="G159" s="146"/>
      <c r="H159" s="146"/>
      <c r="I159" s="146"/>
      <c r="J159" s="146"/>
      <c r="K159" s="146"/>
      <c r="L159" s="146"/>
      <c r="R159" s="157"/>
      <c r="S159" s="157"/>
      <c r="T159" s="157"/>
      <c r="W159" s="157"/>
      <c r="X159" s="157"/>
      <c r="Y159" s="157"/>
      <c r="AB159" s="157"/>
      <c r="AC159" s="157"/>
      <c r="AD159" s="157"/>
      <c r="AG159" s="157"/>
      <c r="AH159" s="157"/>
      <c r="AI159" s="157"/>
    </row>
    <row r="160" spans="2:35" x14ac:dyDescent="0.2">
      <c r="B160" s="146"/>
      <c r="C160" s="146"/>
      <c r="D160" s="146"/>
      <c r="E160" s="146"/>
      <c r="F160" s="146"/>
      <c r="G160" s="146"/>
      <c r="H160" s="146"/>
      <c r="I160" s="146"/>
      <c r="J160" s="146"/>
      <c r="K160" s="146"/>
      <c r="L160" s="146"/>
      <c r="R160" s="157"/>
      <c r="S160" s="157"/>
      <c r="T160" s="157"/>
      <c r="W160" s="157"/>
      <c r="X160" s="157"/>
      <c r="Y160" s="157"/>
      <c r="AB160" s="157"/>
      <c r="AC160" s="157"/>
      <c r="AD160" s="157"/>
      <c r="AG160" s="157"/>
      <c r="AH160" s="157"/>
      <c r="AI160" s="157"/>
    </row>
    <row r="161" spans="2:35" x14ac:dyDescent="0.2">
      <c r="B161" s="146"/>
      <c r="C161" s="146"/>
      <c r="D161" s="146"/>
      <c r="E161" s="146"/>
      <c r="F161" s="146"/>
      <c r="G161" s="146"/>
      <c r="H161" s="146"/>
      <c r="I161" s="146"/>
      <c r="J161" s="146"/>
      <c r="K161" s="146"/>
      <c r="L161" s="146"/>
      <c r="R161" s="157"/>
      <c r="S161" s="157"/>
      <c r="T161" s="157"/>
      <c r="W161" s="157"/>
      <c r="X161" s="157"/>
      <c r="Y161" s="157"/>
      <c r="AB161" s="157"/>
      <c r="AC161" s="157"/>
      <c r="AD161" s="157"/>
      <c r="AG161" s="157"/>
      <c r="AH161" s="157"/>
      <c r="AI161" s="157"/>
    </row>
    <row r="162" spans="2:35" x14ac:dyDescent="0.2">
      <c r="B162" s="146"/>
      <c r="C162" s="146"/>
      <c r="D162" s="146"/>
      <c r="E162" s="146"/>
      <c r="F162" s="146"/>
      <c r="G162" s="146"/>
      <c r="H162" s="146"/>
      <c r="I162" s="146"/>
      <c r="J162" s="146"/>
      <c r="K162" s="146"/>
      <c r="L162" s="146"/>
      <c r="R162" s="157"/>
      <c r="S162" s="157"/>
      <c r="T162" s="157"/>
      <c r="W162" s="157"/>
      <c r="X162" s="157"/>
      <c r="Y162" s="157"/>
      <c r="AB162" s="157"/>
      <c r="AC162" s="157"/>
      <c r="AD162" s="157"/>
      <c r="AG162" s="157"/>
      <c r="AH162" s="157"/>
      <c r="AI162" s="157"/>
    </row>
    <row r="163" spans="2:35" x14ac:dyDescent="0.2">
      <c r="B163" s="146"/>
      <c r="C163" s="146"/>
      <c r="D163" s="146"/>
      <c r="E163" s="146"/>
      <c r="F163" s="146"/>
      <c r="G163" s="146"/>
      <c r="H163" s="146"/>
      <c r="I163" s="146"/>
      <c r="J163" s="146"/>
      <c r="K163" s="146"/>
      <c r="L163" s="146"/>
      <c r="R163" s="157"/>
      <c r="S163" s="157"/>
      <c r="T163" s="157"/>
      <c r="W163" s="157"/>
      <c r="X163" s="157"/>
      <c r="Y163" s="157"/>
      <c r="AB163" s="157"/>
      <c r="AC163" s="157"/>
      <c r="AD163" s="157"/>
      <c r="AG163" s="157"/>
      <c r="AH163" s="157"/>
      <c r="AI163" s="157"/>
    </row>
    <row r="164" spans="2:35" x14ac:dyDescent="0.2">
      <c r="B164" s="146"/>
      <c r="C164" s="146"/>
      <c r="D164" s="146"/>
      <c r="E164" s="146"/>
      <c r="F164" s="146"/>
      <c r="G164" s="146"/>
      <c r="H164" s="146"/>
      <c r="I164" s="146"/>
      <c r="J164" s="146"/>
      <c r="K164" s="146"/>
      <c r="L164" s="146"/>
      <c r="R164" s="157"/>
      <c r="S164" s="157"/>
      <c r="T164" s="157"/>
      <c r="W164" s="157"/>
      <c r="X164" s="157"/>
      <c r="Y164" s="157"/>
      <c r="AB164" s="157"/>
      <c r="AC164" s="157"/>
      <c r="AD164" s="157"/>
      <c r="AG164" s="157"/>
      <c r="AH164" s="157"/>
      <c r="AI164" s="157"/>
    </row>
    <row r="165" spans="2:35" x14ac:dyDescent="0.2">
      <c r="B165" s="146"/>
      <c r="C165" s="146"/>
      <c r="D165" s="146"/>
      <c r="E165" s="146"/>
      <c r="F165" s="146"/>
      <c r="G165" s="146"/>
      <c r="H165" s="146"/>
      <c r="I165" s="146"/>
      <c r="J165" s="146"/>
      <c r="K165" s="146"/>
      <c r="L165" s="146"/>
      <c r="R165" s="157"/>
      <c r="S165" s="157"/>
      <c r="T165" s="157"/>
      <c r="W165" s="157"/>
      <c r="X165" s="157"/>
      <c r="Y165" s="157"/>
      <c r="AB165" s="157"/>
      <c r="AC165" s="157"/>
      <c r="AD165" s="157"/>
      <c r="AG165" s="157"/>
      <c r="AH165" s="157"/>
      <c r="AI165" s="157"/>
    </row>
    <row r="166" spans="2:35" x14ac:dyDescent="0.2">
      <c r="B166" s="146"/>
      <c r="C166" s="146"/>
      <c r="D166" s="146"/>
      <c r="E166" s="146"/>
      <c r="F166" s="146"/>
      <c r="G166" s="146"/>
      <c r="H166" s="146"/>
      <c r="I166" s="146"/>
      <c r="J166" s="146"/>
      <c r="K166" s="146"/>
      <c r="L166" s="146"/>
      <c r="R166" s="157"/>
      <c r="S166" s="157"/>
      <c r="T166" s="157"/>
      <c r="W166" s="157"/>
      <c r="X166" s="157"/>
      <c r="Y166" s="157"/>
      <c r="AB166" s="157"/>
      <c r="AC166" s="157"/>
      <c r="AD166" s="157"/>
      <c r="AG166" s="157"/>
      <c r="AH166" s="157"/>
      <c r="AI166" s="157"/>
    </row>
    <row r="167" spans="2:35" x14ac:dyDescent="0.2">
      <c r="B167" s="146"/>
      <c r="C167" s="146"/>
      <c r="D167" s="146"/>
      <c r="E167" s="146"/>
      <c r="F167" s="146"/>
      <c r="G167" s="146"/>
      <c r="H167" s="146"/>
      <c r="I167" s="146"/>
      <c r="J167" s="146"/>
      <c r="K167" s="146"/>
      <c r="L167" s="146"/>
      <c r="R167" s="157"/>
      <c r="S167" s="157"/>
      <c r="T167" s="157"/>
      <c r="W167" s="157"/>
      <c r="X167" s="157"/>
      <c r="Y167" s="157"/>
      <c r="AB167" s="157"/>
      <c r="AC167" s="157"/>
      <c r="AD167" s="157"/>
      <c r="AG167" s="157"/>
      <c r="AH167" s="157"/>
      <c r="AI167" s="157"/>
    </row>
    <row r="168" spans="2:35" x14ac:dyDescent="0.2">
      <c r="B168" s="146"/>
      <c r="C168" s="146"/>
      <c r="D168" s="146"/>
      <c r="E168" s="146"/>
      <c r="F168" s="146"/>
      <c r="G168" s="146"/>
      <c r="H168" s="146"/>
      <c r="I168" s="146"/>
      <c r="J168" s="146"/>
      <c r="K168" s="146"/>
      <c r="L168" s="146"/>
      <c r="R168" s="157"/>
      <c r="S168" s="157"/>
      <c r="T168" s="157"/>
      <c r="W168" s="157"/>
      <c r="X168" s="157"/>
      <c r="Y168" s="157"/>
      <c r="AB168" s="157"/>
      <c r="AC168" s="157"/>
      <c r="AD168" s="157"/>
      <c r="AG168" s="157"/>
      <c r="AH168" s="157"/>
      <c r="AI168" s="157"/>
    </row>
    <row r="169" spans="2:35" x14ac:dyDescent="0.2">
      <c r="B169" s="146"/>
      <c r="C169" s="146"/>
      <c r="D169" s="146"/>
      <c r="E169" s="146"/>
      <c r="F169" s="146"/>
      <c r="G169" s="146"/>
      <c r="H169" s="146"/>
      <c r="I169" s="146"/>
      <c r="J169" s="146"/>
      <c r="K169" s="146"/>
      <c r="L169" s="146"/>
      <c r="R169" s="157"/>
      <c r="S169" s="157"/>
      <c r="T169" s="157"/>
      <c r="W169" s="157"/>
      <c r="X169" s="157"/>
      <c r="Y169" s="157"/>
      <c r="AB169" s="157"/>
      <c r="AC169" s="157"/>
      <c r="AD169" s="157"/>
      <c r="AG169" s="157"/>
      <c r="AH169" s="157"/>
      <c r="AI169" s="157"/>
    </row>
    <row r="170" spans="2:35" x14ac:dyDescent="0.2">
      <c r="B170" s="146"/>
      <c r="C170" s="146"/>
      <c r="D170" s="146"/>
      <c r="E170" s="146"/>
      <c r="F170" s="146"/>
      <c r="G170" s="146"/>
      <c r="H170" s="146"/>
      <c r="I170" s="146"/>
      <c r="J170" s="146"/>
      <c r="K170" s="146"/>
      <c r="L170" s="146"/>
      <c r="R170" s="157"/>
      <c r="S170" s="157"/>
      <c r="T170" s="157"/>
      <c r="W170" s="157"/>
      <c r="X170" s="157"/>
      <c r="Y170" s="157"/>
      <c r="AB170" s="157"/>
      <c r="AC170" s="157"/>
      <c r="AD170" s="157"/>
      <c r="AG170" s="157"/>
      <c r="AH170" s="157"/>
      <c r="AI170" s="157"/>
    </row>
    <row r="171" spans="2:35" x14ac:dyDescent="0.2">
      <c r="B171" s="146"/>
      <c r="C171" s="146"/>
      <c r="D171" s="146"/>
      <c r="E171" s="146"/>
      <c r="F171" s="146"/>
      <c r="G171" s="146"/>
      <c r="H171" s="146"/>
      <c r="I171" s="146"/>
      <c r="J171" s="146"/>
      <c r="K171" s="146"/>
      <c r="L171" s="146"/>
      <c r="R171" s="157"/>
      <c r="S171" s="157"/>
      <c r="T171" s="157"/>
      <c r="W171" s="157"/>
      <c r="X171" s="157"/>
      <c r="Y171" s="157"/>
      <c r="AB171" s="157"/>
      <c r="AC171" s="157"/>
      <c r="AD171" s="157"/>
      <c r="AG171" s="157"/>
      <c r="AH171" s="157"/>
      <c r="AI171" s="157"/>
    </row>
    <row r="172" spans="2:35" x14ac:dyDescent="0.2">
      <c r="B172" s="146"/>
      <c r="C172" s="146"/>
      <c r="D172" s="146"/>
      <c r="E172" s="146"/>
      <c r="F172" s="146"/>
      <c r="G172" s="146"/>
      <c r="H172" s="146"/>
      <c r="I172" s="146"/>
      <c r="J172" s="146"/>
      <c r="K172" s="146"/>
      <c r="L172" s="146"/>
      <c r="R172" s="157"/>
      <c r="S172" s="157"/>
      <c r="T172" s="157"/>
      <c r="W172" s="157"/>
      <c r="X172" s="157"/>
      <c r="Y172" s="157"/>
      <c r="AB172" s="157"/>
      <c r="AC172" s="157"/>
      <c r="AD172" s="157"/>
      <c r="AG172" s="157"/>
      <c r="AH172" s="157"/>
      <c r="AI172" s="157"/>
    </row>
    <row r="173" spans="2:35" x14ac:dyDescent="0.2">
      <c r="B173" s="146"/>
      <c r="C173" s="146"/>
      <c r="D173" s="146"/>
      <c r="E173" s="146"/>
      <c r="F173" s="146"/>
      <c r="G173" s="146"/>
      <c r="H173" s="146"/>
      <c r="I173" s="146"/>
      <c r="J173" s="146"/>
      <c r="K173" s="146"/>
      <c r="L173" s="146"/>
      <c r="R173" s="157"/>
      <c r="S173" s="157"/>
      <c r="T173" s="157"/>
      <c r="W173" s="157"/>
      <c r="X173" s="157"/>
      <c r="Y173" s="157"/>
      <c r="AB173" s="157"/>
      <c r="AC173" s="157"/>
      <c r="AD173" s="157"/>
      <c r="AG173" s="157"/>
      <c r="AH173" s="157"/>
      <c r="AI173" s="157"/>
    </row>
    <row r="174" spans="2:35" x14ac:dyDescent="0.2">
      <c r="B174" s="146"/>
      <c r="C174" s="146"/>
      <c r="D174" s="146"/>
      <c r="E174" s="146"/>
      <c r="F174" s="146"/>
      <c r="G174" s="146"/>
      <c r="H174" s="146"/>
      <c r="I174" s="146"/>
      <c r="J174" s="146"/>
      <c r="K174" s="146"/>
      <c r="L174" s="146"/>
      <c r="R174" s="157"/>
      <c r="S174" s="157"/>
      <c r="T174" s="157"/>
      <c r="W174" s="157"/>
      <c r="X174" s="157"/>
      <c r="Y174" s="157"/>
      <c r="AB174" s="157"/>
      <c r="AC174" s="157"/>
      <c r="AD174" s="157"/>
      <c r="AG174" s="157"/>
      <c r="AH174" s="157"/>
      <c r="AI174" s="157"/>
    </row>
    <row r="175" spans="2:35" x14ac:dyDescent="0.2">
      <c r="B175" s="146"/>
      <c r="C175" s="146"/>
      <c r="D175" s="146"/>
      <c r="E175" s="146"/>
      <c r="F175" s="146"/>
      <c r="G175" s="146"/>
      <c r="H175" s="146"/>
      <c r="I175" s="146"/>
      <c r="J175" s="146"/>
      <c r="K175" s="146"/>
      <c r="L175" s="146"/>
      <c r="R175" s="157"/>
      <c r="S175" s="157"/>
      <c r="T175" s="157"/>
      <c r="W175" s="157"/>
      <c r="X175" s="157"/>
      <c r="Y175" s="157"/>
      <c r="AB175" s="157"/>
      <c r="AC175" s="157"/>
      <c r="AD175" s="157"/>
      <c r="AG175" s="157"/>
      <c r="AH175" s="157"/>
      <c r="AI175" s="157"/>
    </row>
    <row r="176" spans="2:35" x14ac:dyDescent="0.2">
      <c r="B176" s="146"/>
      <c r="C176" s="146"/>
      <c r="D176" s="146"/>
      <c r="E176" s="146"/>
      <c r="F176" s="146"/>
      <c r="G176" s="146"/>
      <c r="H176" s="146"/>
      <c r="I176" s="146"/>
      <c r="J176" s="146"/>
      <c r="K176" s="146"/>
      <c r="L176" s="146"/>
      <c r="R176" s="157"/>
      <c r="S176" s="157"/>
      <c r="T176" s="157"/>
      <c r="W176" s="157"/>
      <c r="X176" s="157"/>
      <c r="Y176" s="157"/>
      <c r="AB176" s="157"/>
      <c r="AC176" s="157"/>
      <c r="AD176" s="157"/>
      <c r="AG176" s="157"/>
      <c r="AH176" s="157"/>
      <c r="AI176" s="157"/>
    </row>
    <row r="177" spans="2:35" x14ac:dyDescent="0.2">
      <c r="B177" s="146"/>
      <c r="C177" s="146"/>
      <c r="D177" s="146"/>
      <c r="E177" s="146"/>
      <c r="F177" s="146"/>
      <c r="G177" s="146"/>
      <c r="H177" s="146"/>
      <c r="I177" s="146"/>
      <c r="J177" s="146"/>
      <c r="K177" s="146"/>
      <c r="L177" s="146"/>
      <c r="R177" s="157"/>
      <c r="S177" s="157"/>
      <c r="T177" s="157"/>
      <c r="W177" s="157"/>
      <c r="X177" s="157"/>
      <c r="Y177" s="157"/>
      <c r="AB177" s="157"/>
      <c r="AC177" s="157"/>
      <c r="AD177" s="157"/>
      <c r="AG177" s="157"/>
      <c r="AH177" s="157"/>
      <c r="AI177" s="157"/>
    </row>
    <row r="178" spans="2:35" x14ac:dyDescent="0.2">
      <c r="B178" s="146"/>
      <c r="C178" s="146"/>
      <c r="D178" s="146"/>
      <c r="E178" s="146"/>
      <c r="F178" s="146"/>
      <c r="G178" s="146"/>
      <c r="H178" s="146"/>
      <c r="I178" s="146"/>
      <c r="J178" s="146"/>
      <c r="K178" s="146"/>
      <c r="L178" s="146"/>
      <c r="R178" s="157"/>
      <c r="S178" s="157"/>
      <c r="T178" s="157"/>
      <c r="W178" s="157"/>
      <c r="X178" s="157"/>
      <c r="Y178" s="157"/>
      <c r="AB178" s="157"/>
      <c r="AC178" s="157"/>
      <c r="AD178" s="157"/>
      <c r="AG178" s="157"/>
      <c r="AH178" s="157"/>
      <c r="AI178" s="157"/>
    </row>
    <row r="179" spans="2:35" x14ac:dyDescent="0.2">
      <c r="B179" s="146"/>
      <c r="C179" s="146"/>
      <c r="D179" s="146"/>
      <c r="E179" s="146"/>
      <c r="F179" s="146"/>
      <c r="G179" s="146"/>
      <c r="H179" s="146"/>
      <c r="I179" s="146"/>
      <c r="J179" s="146"/>
      <c r="K179" s="146"/>
      <c r="L179" s="146"/>
      <c r="R179" s="157"/>
      <c r="S179" s="157"/>
      <c r="T179" s="157"/>
      <c r="W179" s="157"/>
      <c r="X179" s="157"/>
      <c r="Y179" s="157"/>
      <c r="AB179" s="157"/>
      <c r="AC179" s="157"/>
      <c r="AD179" s="157"/>
      <c r="AG179" s="157"/>
      <c r="AH179" s="157"/>
      <c r="AI179" s="157"/>
    </row>
    <row r="180" spans="2:35" x14ac:dyDescent="0.2">
      <c r="B180" s="146"/>
      <c r="C180" s="146"/>
      <c r="D180" s="146"/>
      <c r="E180" s="146"/>
      <c r="F180" s="146"/>
      <c r="G180" s="146"/>
      <c r="H180" s="146"/>
      <c r="I180" s="146"/>
      <c r="J180" s="146"/>
      <c r="K180" s="146"/>
      <c r="L180" s="146"/>
      <c r="R180" s="157"/>
      <c r="S180" s="157"/>
      <c r="T180" s="157"/>
      <c r="W180" s="157"/>
      <c r="X180" s="157"/>
      <c r="Y180" s="157"/>
      <c r="AB180" s="157"/>
      <c r="AC180" s="157"/>
      <c r="AD180" s="157"/>
      <c r="AG180" s="157"/>
      <c r="AH180" s="157"/>
      <c r="AI180" s="157"/>
    </row>
    <row r="181" spans="2:35" x14ac:dyDescent="0.2">
      <c r="B181" s="146"/>
      <c r="C181" s="146"/>
      <c r="D181" s="146"/>
      <c r="E181" s="146"/>
      <c r="F181" s="146"/>
      <c r="G181" s="146"/>
      <c r="H181" s="146"/>
      <c r="I181" s="146"/>
      <c r="J181" s="146"/>
      <c r="K181" s="146"/>
      <c r="L181" s="146"/>
      <c r="R181" s="157"/>
      <c r="S181" s="157"/>
      <c r="T181" s="157"/>
      <c r="W181" s="157"/>
      <c r="X181" s="157"/>
      <c r="Y181" s="157"/>
      <c r="AB181" s="157"/>
      <c r="AC181" s="157"/>
      <c r="AD181" s="157"/>
      <c r="AG181" s="157"/>
      <c r="AH181" s="157"/>
      <c r="AI181" s="157"/>
    </row>
    <row r="182" spans="2:35" x14ac:dyDescent="0.2">
      <c r="B182" s="146"/>
      <c r="C182" s="146"/>
      <c r="D182" s="146"/>
      <c r="E182" s="146"/>
      <c r="F182" s="146"/>
      <c r="G182" s="146"/>
      <c r="H182" s="146"/>
      <c r="I182" s="146"/>
      <c r="J182" s="146"/>
      <c r="K182" s="146"/>
      <c r="L182" s="146"/>
      <c r="R182" s="157"/>
      <c r="S182" s="157"/>
      <c r="T182" s="157"/>
      <c r="W182" s="157"/>
      <c r="X182" s="157"/>
      <c r="Y182" s="157"/>
      <c r="AB182" s="157"/>
      <c r="AC182" s="157"/>
      <c r="AD182" s="157"/>
      <c r="AG182" s="157"/>
      <c r="AH182" s="157"/>
      <c r="AI182" s="157"/>
    </row>
    <row r="183" spans="2:35" x14ac:dyDescent="0.2">
      <c r="B183" s="146"/>
      <c r="C183" s="146"/>
      <c r="D183" s="146"/>
      <c r="E183" s="146"/>
      <c r="F183" s="146"/>
      <c r="G183" s="146"/>
      <c r="H183" s="146"/>
      <c r="I183" s="146"/>
      <c r="J183" s="146"/>
      <c r="K183" s="146"/>
      <c r="L183" s="146"/>
      <c r="R183" s="157"/>
      <c r="S183" s="157"/>
      <c r="T183" s="157"/>
      <c r="W183" s="157"/>
      <c r="X183" s="157"/>
      <c r="Y183" s="157"/>
      <c r="AB183" s="157"/>
      <c r="AC183" s="157"/>
      <c r="AD183" s="157"/>
      <c r="AG183" s="157"/>
      <c r="AH183" s="157"/>
      <c r="AI183" s="157"/>
    </row>
    <row r="184" spans="2:35" x14ac:dyDescent="0.2">
      <c r="B184" s="146"/>
      <c r="C184" s="146"/>
      <c r="D184" s="146"/>
      <c r="E184" s="146"/>
      <c r="F184" s="146"/>
      <c r="G184" s="146"/>
      <c r="H184" s="146"/>
      <c r="I184" s="146"/>
      <c r="J184" s="146"/>
      <c r="K184" s="146"/>
      <c r="L184" s="146"/>
      <c r="R184" s="157"/>
      <c r="S184" s="157"/>
      <c r="T184" s="157"/>
      <c r="W184" s="157"/>
      <c r="X184" s="157"/>
      <c r="Y184" s="157"/>
      <c r="AB184" s="157"/>
      <c r="AC184" s="157"/>
      <c r="AD184" s="157"/>
      <c r="AG184" s="157"/>
      <c r="AH184" s="157"/>
      <c r="AI184" s="157"/>
    </row>
    <row r="185" spans="2:35" x14ac:dyDescent="0.2">
      <c r="B185" s="146"/>
      <c r="C185" s="146"/>
      <c r="D185" s="146"/>
      <c r="E185" s="146"/>
      <c r="F185" s="146"/>
      <c r="G185" s="146"/>
      <c r="H185" s="146"/>
      <c r="I185" s="146"/>
      <c r="J185" s="146"/>
      <c r="K185" s="146"/>
      <c r="L185" s="146"/>
      <c r="R185" s="157"/>
      <c r="S185" s="157"/>
      <c r="T185" s="157"/>
      <c r="W185" s="157"/>
      <c r="X185" s="157"/>
      <c r="Y185" s="157"/>
      <c r="AB185" s="157"/>
      <c r="AC185" s="157"/>
      <c r="AD185" s="157"/>
      <c r="AG185" s="157"/>
      <c r="AH185" s="157"/>
      <c r="AI185" s="157"/>
    </row>
    <row r="186" spans="2:35" x14ac:dyDescent="0.2">
      <c r="B186" s="146"/>
      <c r="C186" s="146"/>
      <c r="D186" s="146"/>
      <c r="E186" s="146"/>
      <c r="F186" s="146"/>
      <c r="G186" s="146"/>
      <c r="H186" s="146"/>
      <c r="I186" s="146"/>
      <c r="J186" s="146"/>
      <c r="K186" s="146"/>
      <c r="L186" s="146"/>
      <c r="R186" s="157"/>
      <c r="S186" s="157"/>
      <c r="T186" s="157"/>
      <c r="W186" s="157"/>
      <c r="X186" s="157"/>
      <c r="Y186" s="157"/>
      <c r="AB186" s="157"/>
      <c r="AC186" s="157"/>
      <c r="AD186" s="157"/>
      <c r="AG186" s="157"/>
      <c r="AH186" s="157"/>
      <c r="AI186" s="157"/>
    </row>
    <row r="187" spans="2:35" x14ac:dyDescent="0.2">
      <c r="B187" s="146"/>
      <c r="C187" s="146"/>
      <c r="D187" s="146"/>
      <c r="E187" s="146"/>
      <c r="F187" s="146"/>
      <c r="G187" s="146"/>
      <c r="H187" s="146"/>
      <c r="I187" s="146"/>
      <c r="J187" s="146"/>
      <c r="K187" s="146"/>
      <c r="L187" s="146"/>
      <c r="R187" s="157"/>
      <c r="S187" s="157"/>
      <c r="T187" s="157"/>
      <c r="W187" s="157"/>
      <c r="X187" s="157"/>
      <c r="Y187" s="157"/>
      <c r="AB187" s="157"/>
      <c r="AC187" s="157"/>
      <c r="AD187" s="157"/>
      <c r="AG187" s="157"/>
      <c r="AH187" s="157"/>
      <c r="AI187" s="157"/>
    </row>
    <row r="188" spans="2:35" x14ac:dyDescent="0.2">
      <c r="B188" s="146"/>
      <c r="C188" s="146"/>
      <c r="D188" s="146"/>
      <c r="E188" s="146"/>
      <c r="F188" s="146"/>
      <c r="G188" s="146"/>
      <c r="H188" s="146"/>
      <c r="I188" s="146"/>
      <c r="J188" s="146"/>
      <c r="K188" s="146"/>
      <c r="L188" s="146"/>
      <c r="R188" s="157"/>
      <c r="S188" s="157"/>
      <c r="T188" s="157"/>
      <c r="W188" s="157"/>
      <c r="X188" s="157"/>
      <c r="Y188" s="157"/>
      <c r="AB188" s="157"/>
      <c r="AC188" s="157"/>
      <c r="AD188" s="157"/>
      <c r="AG188" s="157"/>
      <c r="AH188" s="157"/>
      <c r="AI188" s="157"/>
    </row>
    <row r="189" spans="2:35" x14ac:dyDescent="0.2">
      <c r="B189" s="146"/>
      <c r="C189" s="146"/>
      <c r="D189" s="146"/>
      <c r="E189" s="146"/>
      <c r="F189" s="146"/>
      <c r="G189" s="146"/>
      <c r="H189" s="146"/>
      <c r="I189" s="146"/>
      <c r="J189" s="146"/>
      <c r="K189" s="146"/>
      <c r="L189" s="146"/>
      <c r="R189" s="157"/>
      <c r="S189" s="157"/>
      <c r="T189" s="157"/>
      <c r="W189" s="157"/>
      <c r="X189" s="157"/>
      <c r="Y189" s="157"/>
      <c r="AB189" s="157"/>
      <c r="AC189" s="157"/>
      <c r="AD189" s="157"/>
      <c r="AG189" s="157"/>
      <c r="AH189" s="157"/>
      <c r="AI189" s="157"/>
    </row>
    <row r="190" spans="2:35" x14ac:dyDescent="0.2">
      <c r="B190" s="146"/>
      <c r="C190" s="146"/>
      <c r="D190" s="146"/>
      <c r="E190" s="146"/>
      <c r="F190" s="146"/>
      <c r="G190" s="146"/>
      <c r="H190" s="146"/>
      <c r="I190" s="146"/>
      <c r="J190" s="146"/>
      <c r="K190" s="146"/>
      <c r="L190" s="146"/>
      <c r="R190" s="157"/>
      <c r="S190" s="157"/>
      <c r="T190" s="157"/>
      <c r="W190" s="157"/>
      <c r="X190" s="157"/>
      <c r="Y190" s="157"/>
      <c r="AB190" s="157"/>
      <c r="AC190" s="157"/>
      <c r="AD190" s="157"/>
      <c r="AG190" s="157"/>
      <c r="AH190" s="157"/>
      <c r="AI190" s="157"/>
    </row>
    <row r="191" spans="2:35" x14ac:dyDescent="0.2">
      <c r="B191" s="146"/>
      <c r="C191" s="146"/>
      <c r="D191" s="146"/>
      <c r="E191" s="146"/>
      <c r="F191" s="146"/>
      <c r="G191" s="146"/>
      <c r="H191" s="146"/>
      <c r="I191" s="146"/>
      <c r="J191" s="146"/>
      <c r="K191" s="146"/>
      <c r="L191" s="146"/>
      <c r="R191" s="157"/>
      <c r="S191" s="157"/>
      <c r="T191" s="157"/>
      <c r="W191" s="157"/>
      <c r="X191" s="157"/>
      <c r="Y191" s="157"/>
      <c r="AB191" s="157"/>
      <c r="AC191" s="157"/>
      <c r="AD191" s="157"/>
      <c r="AG191" s="157"/>
      <c r="AH191" s="157"/>
      <c r="AI191" s="157"/>
    </row>
    <row r="192" spans="2:35" x14ac:dyDescent="0.2">
      <c r="B192" s="146"/>
      <c r="C192" s="146"/>
      <c r="D192" s="146"/>
      <c r="E192" s="146"/>
      <c r="F192" s="146"/>
      <c r="G192" s="146"/>
      <c r="H192" s="146"/>
      <c r="I192" s="146"/>
      <c r="J192" s="146"/>
      <c r="K192" s="146"/>
      <c r="L192" s="146"/>
      <c r="R192" s="157"/>
      <c r="S192" s="157"/>
      <c r="T192" s="157"/>
      <c r="W192" s="157"/>
      <c r="X192" s="157"/>
      <c r="Y192" s="157"/>
      <c r="AB192" s="157"/>
      <c r="AC192" s="157"/>
      <c r="AD192" s="157"/>
      <c r="AG192" s="157"/>
      <c r="AH192" s="157"/>
      <c r="AI192" s="157"/>
    </row>
    <row r="193" spans="2:35" x14ac:dyDescent="0.2">
      <c r="B193" s="146"/>
      <c r="C193" s="146"/>
      <c r="D193" s="146"/>
      <c r="E193" s="146"/>
      <c r="F193" s="146"/>
      <c r="G193" s="146"/>
      <c r="H193" s="146"/>
      <c r="I193" s="146"/>
      <c r="J193" s="146"/>
      <c r="K193" s="146"/>
      <c r="L193" s="146"/>
      <c r="R193" s="157"/>
      <c r="S193" s="157"/>
      <c r="T193" s="157"/>
      <c r="W193" s="157"/>
      <c r="X193" s="157"/>
      <c r="Y193" s="157"/>
      <c r="AB193" s="157"/>
      <c r="AC193" s="157"/>
      <c r="AD193" s="157"/>
      <c r="AG193" s="157"/>
      <c r="AH193" s="157"/>
      <c r="AI193" s="157"/>
    </row>
    <row r="194" spans="2:35" x14ac:dyDescent="0.2">
      <c r="B194" s="146"/>
      <c r="C194" s="146"/>
      <c r="D194" s="146"/>
      <c r="E194" s="146"/>
      <c r="F194" s="146"/>
      <c r="G194" s="146"/>
      <c r="H194" s="146"/>
      <c r="I194" s="146"/>
      <c r="J194" s="146"/>
      <c r="K194" s="146"/>
      <c r="L194" s="146"/>
      <c r="R194" s="157"/>
      <c r="S194" s="157"/>
      <c r="T194" s="157"/>
      <c r="W194" s="157"/>
      <c r="X194" s="157"/>
      <c r="Y194" s="157"/>
      <c r="AB194" s="157"/>
      <c r="AC194" s="157"/>
      <c r="AD194" s="157"/>
      <c r="AG194" s="157"/>
      <c r="AH194" s="157"/>
      <c r="AI194" s="157"/>
    </row>
    <row r="195" spans="2:35" x14ac:dyDescent="0.2">
      <c r="B195" s="146"/>
      <c r="C195" s="146"/>
      <c r="D195" s="146"/>
      <c r="E195" s="146"/>
      <c r="F195" s="146"/>
      <c r="G195" s="146"/>
      <c r="H195" s="146"/>
      <c r="I195" s="146"/>
      <c r="J195" s="146"/>
      <c r="K195" s="146"/>
      <c r="L195" s="146"/>
      <c r="R195" s="157"/>
      <c r="S195" s="157"/>
      <c r="T195" s="157"/>
      <c r="W195" s="157"/>
      <c r="X195" s="157"/>
      <c r="Y195" s="157"/>
      <c r="AB195" s="157"/>
      <c r="AC195" s="157"/>
      <c r="AD195" s="157"/>
      <c r="AG195" s="157"/>
      <c r="AH195" s="157"/>
      <c r="AI195" s="157"/>
    </row>
    <row r="196" spans="2:35" x14ac:dyDescent="0.2">
      <c r="B196" s="146"/>
      <c r="C196" s="146"/>
      <c r="D196" s="146"/>
      <c r="E196" s="146"/>
      <c r="F196" s="146"/>
      <c r="G196" s="146"/>
      <c r="H196" s="146"/>
      <c r="I196" s="146"/>
      <c r="J196" s="146"/>
      <c r="K196" s="146"/>
      <c r="L196" s="146"/>
      <c r="R196" s="157"/>
      <c r="S196" s="157"/>
      <c r="T196" s="157"/>
      <c r="W196" s="157"/>
      <c r="X196" s="157"/>
      <c r="Y196" s="157"/>
      <c r="AB196" s="157"/>
      <c r="AC196" s="157"/>
      <c r="AD196" s="157"/>
      <c r="AG196" s="157"/>
      <c r="AH196" s="157"/>
      <c r="AI196" s="157"/>
    </row>
    <row r="197" spans="2:35" x14ac:dyDescent="0.2">
      <c r="B197" s="146"/>
      <c r="C197" s="146"/>
      <c r="D197" s="146"/>
      <c r="E197" s="146"/>
      <c r="F197" s="146"/>
      <c r="G197" s="146"/>
      <c r="H197" s="146"/>
      <c r="I197" s="146"/>
      <c r="J197" s="146"/>
      <c r="K197" s="146"/>
      <c r="L197" s="146"/>
      <c r="R197" s="157"/>
      <c r="S197" s="157"/>
      <c r="T197" s="157"/>
      <c r="W197" s="157"/>
      <c r="X197" s="157"/>
      <c r="Y197" s="157"/>
      <c r="AB197" s="157"/>
      <c r="AC197" s="157"/>
      <c r="AD197" s="157"/>
      <c r="AG197" s="157"/>
      <c r="AH197" s="157"/>
      <c r="AI197" s="157"/>
    </row>
    <row r="198" spans="2:35" x14ac:dyDescent="0.2">
      <c r="B198" s="146"/>
      <c r="C198" s="146"/>
      <c r="D198" s="146"/>
      <c r="E198" s="146"/>
      <c r="F198" s="146"/>
      <c r="G198" s="146"/>
      <c r="H198" s="146"/>
      <c r="I198" s="146"/>
      <c r="J198" s="146"/>
      <c r="K198" s="146"/>
      <c r="L198" s="146"/>
      <c r="R198" s="157"/>
      <c r="S198" s="157"/>
      <c r="T198" s="157"/>
      <c r="W198" s="157"/>
      <c r="X198" s="157"/>
      <c r="Y198" s="157"/>
      <c r="AB198" s="157"/>
      <c r="AC198" s="157"/>
      <c r="AD198" s="157"/>
      <c r="AG198" s="157"/>
      <c r="AH198" s="157"/>
      <c r="AI198" s="157"/>
    </row>
    <row r="199" spans="2:35" x14ac:dyDescent="0.2">
      <c r="B199" s="146"/>
      <c r="C199" s="146"/>
      <c r="D199" s="146"/>
      <c r="E199" s="146"/>
      <c r="F199" s="146"/>
      <c r="G199" s="146"/>
      <c r="H199" s="146"/>
      <c r="I199" s="146"/>
      <c r="J199" s="146"/>
      <c r="K199" s="146"/>
      <c r="L199" s="146"/>
      <c r="R199" s="157"/>
      <c r="S199" s="157"/>
      <c r="T199" s="157"/>
      <c r="W199" s="157"/>
      <c r="X199" s="157"/>
      <c r="Y199" s="157"/>
      <c r="AB199" s="157"/>
      <c r="AC199" s="157"/>
      <c r="AD199" s="157"/>
      <c r="AG199" s="157"/>
      <c r="AH199" s="157"/>
      <c r="AI199" s="157"/>
    </row>
    <row r="200" spans="2:35" x14ac:dyDescent="0.2">
      <c r="B200" s="146"/>
      <c r="C200" s="146"/>
      <c r="D200" s="146"/>
      <c r="E200" s="146"/>
      <c r="F200" s="146"/>
      <c r="G200" s="146"/>
      <c r="H200" s="146"/>
      <c r="I200" s="146"/>
      <c r="J200" s="146"/>
      <c r="K200" s="146"/>
      <c r="L200" s="146"/>
      <c r="R200" s="157"/>
      <c r="S200" s="157"/>
      <c r="T200" s="157"/>
      <c r="W200" s="157"/>
      <c r="X200" s="157"/>
      <c r="Y200" s="157"/>
      <c r="AB200" s="157"/>
      <c r="AC200" s="157"/>
      <c r="AD200" s="157"/>
      <c r="AG200" s="157"/>
      <c r="AH200" s="157"/>
      <c r="AI200" s="157"/>
    </row>
    <row r="201" spans="2:35" x14ac:dyDescent="0.2">
      <c r="B201" s="146"/>
      <c r="C201" s="146"/>
      <c r="D201" s="146"/>
      <c r="E201" s="146"/>
      <c r="F201" s="146"/>
      <c r="G201" s="146"/>
      <c r="H201" s="146"/>
      <c r="I201" s="146"/>
      <c r="J201" s="146"/>
      <c r="K201" s="146"/>
      <c r="L201" s="146"/>
      <c r="R201" s="157"/>
      <c r="S201" s="157"/>
      <c r="T201" s="157"/>
      <c r="W201" s="157"/>
      <c r="X201" s="157"/>
      <c r="Y201" s="157"/>
      <c r="AB201" s="157"/>
      <c r="AC201" s="157"/>
      <c r="AD201" s="157"/>
      <c r="AG201" s="157"/>
      <c r="AH201" s="157"/>
      <c r="AI201" s="157"/>
    </row>
    <row r="202" spans="2:35" x14ac:dyDescent="0.2">
      <c r="B202" s="146"/>
      <c r="C202" s="146"/>
      <c r="D202" s="146"/>
      <c r="E202" s="146"/>
      <c r="F202" s="146"/>
      <c r="G202" s="146"/>
      <c r="H202" s="146"/>
      <c r="I202" s="146"/>
      <c r="J202" s="146"/>
      <c r="K202" s="146"/>
      <c r="L202" s="146"/>
      <c r="R202" s="157"/>
      <c r="S202" s="157"/>
      <c r="T202" s="157"/>
      <c r="W202" s="157"/>
      <c r="X202" s="157"/>
      <c r="Y202" s="157"/>
      <c r="AB202" s="157"/>
      <c r="AC202" s="157"/>
      <c r="AD202" s="157"/>
      <c r="AG202" s="157"/>
      <c r="AH202" s="157"/>
      <c r="AI202" s="157"/>
    </row>
    <row r="203" spans="2:35" x14ac:dyDescent="0.2">
      <c r="B203" s="146"/>
      <c r="C203" s="146"/>
      <c r="D203" s="146"/>
      <c r="E203" s="146"/>
      <c r="F203" s="146"/>
      <c r="G203" s="146"/>
      <c r="H203" s="146"/>
      <c r="I203" s="146"/>
      <c r="J203" s="146"/>
      <c r="K203" s="146"/>
      <c r="L203" s="146"/>
      <c r="R203" s="157"/>
      <c r="S203" s="157"/>
      <c r="T203" s="157"/>
      <c r="W203" s="157"/>
      <c r="X203" s="157"/>
      <c r="Y203" s="157"/>
      <c r="AB203" s="157"/>
      <c r="AC203" s="157"/>
      <c r="AD203" s="157"/>
      <c r="AG203" s="157"/>
      <c r="AH203" s="157"/>
      <c r="AI203" s="157"/>
    </row>
    <row r="204" spans="2:35" x14ac:dyDescent="0.2">
      <c r="B204" s="146"/>
      <c r="C204" s="146"/>
      <c r="D204" s="146"/>
      <c r="E204" s="146"/>
      <c r="F204" s="146"/>
      <c r="G204" s="146"/>
      <c r="H204" s="146"/>
      <c r="I204" s="146"/>
      <c r="J204" s="146"/>
      <c r="K204" s="146"/>
      <c r="L204" s="146"/>
      <c r="R204" s="157"/>
      <c r="S204" s="157"/>
      <c r="T204" s="157"/>
      <c r="W204" s="157"/>
      <c r="X204" s="157"/>
      <c r="Y204" s="157"/>
      <c r="AB204" s="157"/>
      <c r="AC204" s="157"/>
      <c r="AD204" s="157"/>
      <c r="AG204" s="157"/>
      <c r="AH204" s="157"/>
      <c r="AI204" s="157"/>
    </row>
    <row r="205" spans="2:35" x14ac:dyDescent="0.2">
      <c r="B205" s="146"/>
      <c r="C205" s="146"/>
      <c r="D205" s="146"/>
      <c r="E205" s="146"/>
      <c r="F205" s="146"/>
      <c r="G205" s="146"/>
      <c r="H205" s="146"/>
      <c r="I205" s="146"/>
      <c r="J205" s="146"/>
      <c r="K205" s="146"/>
      <c r="L205" s="146"/>
      <c r="R205" s="157"/>
      <c r="S205" s="157"/>
      <c r="T205" s="157"/>
      <c r="W205" s="157"/>
      <c r="X205" s="157"/>
      <c r="Y205" s="157"/>
      <c r="AB205" s="157"/>
      <c r="AC205" s="157"/>
      <c r="AD205" s="157"/>
      <c r="AG205" s="157"/>
      <c r="AH205" s="157"/>
      <c r="AI205" s="157"/>
    </row>
    <row r="206" spans="2:35" x14ac:dyDescent="0.2">
      <c r="B206" s="146"/>
      <c r="C206" s="146"/>
      <c r="D206" s="146"/>
      <c r="E206" s="146"/>
      <c r="F206" s="146"/>
      <c r="G206" s="146"/>
      <c r="H206" s="146"/>
      <c r="I206" s="146"/>
      <c r="J206" s="146"/>
      <c r="K206" s="146"/>
      <c r="L206" s="146"/>
      <c r="R206" s="157"/>
      <c r="S206" s="157"/>
      <c r="T206" s="157"/>
      <c r="W206" s="157"/>
      <c r="X206" s="157"/>
      <c r="Y206" s="157"/>
      <c r="AB206" s="157"/>
      <c r="AC206" s="157"/>
      <c r="AD206" s="157"/>
      <c r="AG206" s="157"/>
      <c r="AH206" s="157"/>
      <c r="AI206" s="157"/>
    </row>
    <row r="207" spans="2:35" x14ac:dyDescent="0.2">
      <c r="B207" s="146"/>
      <c r="C207" s="146"/>
      <c r="D207" s="146"/>
      <c r="E207" s="146"/>
      <c r="F207" s="146"/>
      <c r="G207" s="146"/>
      <c r="H207" s="146"/>
      <c r="I207" s="146"/>
      <c r="J207" s="146"/>
      <c r="K207" s="146"/>
      <c r="L207" s="146"/>
      <c r="R207" s="157"/>
      <c r="S207" s="157"/>
      <c r="T207" s="157"/>
      <c r="W207" s="157"/>
      <c r="X207" s="157"/>
      <c r="Y207" s="157"/>
      <c r="AB207" s="157"/>
      <c r="AC207" s="157"/>
      <c r="AD207" s="157"/>
      <c r="AG207" s="157"/>
      <c r="AH207" s="157"/>
      <c r="AI207" s="157"/>
    </row>
    <row r="208" spans="2:35" x14ac:dyDescent="0.2">
      <c r="B208" s="146"/>
      <c r="C208" s="146"/>
      <c r="D208" s="146"/>
      <c r="E208" s="146"/>
      <c r="F208" s="146"/>
      <c r="G208" s="146"/>
      <c r="H208" s="146"/>
      <c r="I208" s="146"/>
      <c r="J208" s="146"/>
      <c r="K208" s="146"/>
      <c r="L208" s="146"/>
      <c r="R208" s="157"/>
      <c r="S208" s="157"/>
      <c r="T208" s="157"/>
      <c r="W208" s="157"/>
      <c r="X208" s="157"/>
      <c r="Y208" s="157"/>
      <c r="AB208" s="157"/>
      <c r="AC208" s="157"/>
      <c r="AD208" s="157"/>
      <c r="AG208" s="157"/>
      <c r="AH208" s="157"/>
      <c r="AI208" s="157"/>
    </row>
    <row r="209" spans="2:35" x14ac:dyDescent="0.2">
      <c r="B209" s="146"/>
      <c r="C209" s="146"/>
      <c r="D209" s="146"/>
      <c r="E209" s="146"/>
      <c r="F209" s="146"/>
      <c r="G209" s="146"/>
      <c r="H209" s="146"/>
      <c r="I209" s="146"/>
      <c r="J209" s="146"/>
      <c r="K209" s="146"/>
      <c r="L209" s="146"/>
      <c r="R209" s="157"/>
      <c r="S209" s="157"/>
      <c r="T209" s="157"/>
      <c r="W209" s="157"/>
      <c r="X209" s="157"/>
      <c r="Y209" s="157"/>
      <c r="AB209" s="157"/>
      <c r="AC209" s="157"/>
      <c r="AD209" s="157"/>
      <c r="AG209" s="157"/>
      <c r="AH209" s="157"/>
      <c r="AI209" s="157"/>
    </row>
    <row r="210" spans="2:35" x14ac:dyDescent="0.2">
      <c r="B210" s="146"/>
      <c r="C210" s="146"/>
      <c r="D210" s="146"/>
      <c r="E210" s="146"/>
      <c r="F210" s="146"/>
      <c r="G210" s="146"/>
      <c r="H210" s="146"/>
      <c r="I210" s="146"/>
      <c r="J210" s="146"/>
      <c r="K210" s="146"/>
      <c r="L210" s="146"/>
      <c r="R210" s="157"/>
      <c r="S210" s="157"/>
      <c r="T210" s="157"/>
      <c r="W210" s="157"/>
      <c r="X210" s="157"/>
      <c r="Y210" s="157"/>
      <c r="AB210" s="157"/>
      <c r="AC210" s="157"/>
      <c r="AD210" s="157"/>
      <c r="AG210" s="157"/>
      <c r="AH210" s="157"/>
      <c r="AI210" s="157"/>
    </row>
    <row r="211" spans="2:35" x14ac:dyDescent="0.2">
      <c r="B211" s="146"/>
      <c r="C211" s="146"/>
      <c r="D211" s="146"/>
      <c r="E211" s="146"/>
      <c r="F211" s="146"/>
      <c r="G211" s="146"/>
      <c r="H211" s="146"/>
      <c r="I211" s="146"/>
      <c r="J211" s="146"/>
      <c r="K211" s="146"/>
      <c r="L211" s="146"/>
      <c r="R211" s="157"/>
      <c r="S211" s="157"/>
      <c r="T211" s="157"/>
      <c r="W211" s="157"/>
      <c r="X211" s="157"/>
      <c r="Y211" s="157"/>
      <c r="AB211" s="157"/>
      <c r="AC211" s="157"/>
      <c r="AD211" s="157"/>
      <c r="AG211" s="157"/>
      <c r="AH211" s="157"/>
      <c r="AI211" s="157"/>
    </row>
    <row r="212" spans="2:35" x14ac:dyDescent="0.2">
      <c r="B212" s="146"/>
      <c r="C212" s="146"/>
      <c r="D212" s="146"/>
      <c r="E212" s="146"/>
      <c r="F212" s="146"/>
      <c r="G212" s="146"/>
      <c r="H212" s="146"/>
      <c r="I212" s="146"/>
      <c r="J212" s="146"/>
      <c r="K212" s="146"/>
      <c r="L212" s="146"/>
      <c r="R212" s="157"/>
      <c r="S212" s="157"/>
      <c r="T212" s="157"/>
      <c r="W212" s="157"/>
      <c r="X212" s="157"/>
      <c r="Y212" s="157"/>
      <c r="AB212" s="157"/>
      <c r="AC212" s="157"/>
      <c r="AD212" s="157"/>
      <c r="AG212" s="157"/>
      <c r="AH212" s="157"/>
      <c r="AI212" s="157"/>
    </row>
    <row r="213" spans="2:35" x14ac:dyDescent="0.2">
      <c r="B213" s="146"/>
      <c r="C213" s="146"/>
      <c r="D213" s="146"/>
      <c r="E213" s="146"/>
      <c r="F213" s="146"/>
      <c r="G213" s="146"/>
      <c r="H213" s="146"/>
      <c r="I213" s="146"/>
      <c r="J213" s="146"/>
      <c r="K213" s="146"/>
      <c r="L213" s="146"/>
      <c r="R213" s="157"/>
      <c r="S213" s="157"/>
      <c r="T213" s="157"/>
      <c r="W213" s="157"/>
      <c r="X213" s="157"/>
      <c r="Y213" s="157"/>
      <c r="AB213" s="157"/>
      <c r="AC213" s="157"/>
      <c r="AD213" s="157"/>
      <c r="AG213" s="157"/>
      <c r="AH213" s="157"/>
      <c r="AI213" s="157"/>
    </row>
    <row r="214" spans="2:35" x14ac:dyDescent="0.2">
      <c r="B214" s="146"/>
      <c r="C214" s="146"/>
      <c r="D214" s="146"/>
      <c r="E214" s="146"/>
      <c r="F214" s="146"/>
      <c r="G214" s="146"/>
      <c r="H214" s="146"/>
      <c r="I214" s="146"/>
      <c r="J214" s="146"/>
      <c r="K214" s="146"/>
      <c r="L214" s="146"/>
      <c r="R214" s="157"/>
      <c r="S214" s="157"/>
      <c r="T214" s="157"/>
      <c r="W214" s="157"/>
      <c r="X214" s="157"/>
      <c r="Y214" s="157"/>
      <c r="AB214" s="157"/>
      <c r="AC214" s="157"/>
      <c r="AD214" s="157"/>
      <c r="AG214" s="157"/>
      <c r="AH214" s="157"/>
      <c r="AI214" s="157"/>
    </row>
    <row r="215" spans="2:35" x14ac:dyDescent="0.2">
      <c r="B215" s="146"/>
      <c r="C215" s="146"/>
      <c r="D215" s="146"/>
      <c r="E215" s="146"/>
      <c r="F215" s="146"/>
      <c r="G215" s="146"/>
      <c r="H215" s="146"/>
      <c r="I215" s="146"/>
      <c r="J215" s="146"/>
      <c r="K215" s="146"/>
      <c r="L215" s="146"/>
      <c r="R215" s="157"/>
      <c r="S215" s="157"/>
      <c r="T215" s="157"/>
      <c r="W215" s="157"/>
      <c r="X215" s="157"/>
      <c r="Y215" s="157"/>
      <c r="AB215" s="157"/>
      <c r="AC215" s="157"/>
      <c r="AD215" s="157"/>
      <c r="AG215" s="157"/>
      <c r="AH215" s="157"/>
      <c r="AI215" s="157"/>
    </row>
    <row r="216" spans="2:35" x14ac:dyDescent="0.2">
      <c r="B216" s="146"/>
      <c r="C216" s="146"/>
      <c r="D216" s="146"/>
      <c r="E216" s="146"/>
      <c r="F216" s="146"/>
      <c r="G216" s="146"/>
      <c r="H216" s="146"/>
      <c r="I216" s="146"/>
      <c r="J216" s="146"/>
      <c r="K216" s="146"/>
      <c r="L216" s="146"/>
      <c r="R216" s="157"/>
      <c r="S216" s="157"/>
      <c r="T216" s="157"/>
      <c r="W216" s="157"/>
      <c r="X216" s="157"/>
      <c r="Y216" s="157"/>
      <c r="AB216" s="157"/>
      <c r="AC216" s="157"/>
      <c r="AD216" s="157"/>
      <c r="AG216" s="157"/>
      <c r="AH216" s="157"/>
      <c r="AI216" s="157"/>
    </row>
    <row r="217" spans="2:35" x14ac:dyDescent="0.2">
      <c r="B217" s="146"/>
      <c r="C217" s="146"/>
      <c r="D217" s="146"/>
      <c r="E217" s="146"/>
      <c r="F217" s="146"/>
      <c r="G217" s="146"/>
      <c r="H217" s="146"/>
      <c r="I217" s="146"/>
      <c r="J217" s="146"/>
      <c r="K217" s="146"/>
      <c r="L217" s="146"/>
      <c r="R217" s="157"/>
      <c r="S217" s="157"/>
      <c r="T217" s="157"/>
      <c r="W217" s="157"/>
      <c r="X217" s="157"/>
      <c r="Y217" s="157"/>
      <c r="AB217" s="157"/>
      <c r="AC217" s="157"/>
      <c r="AD217" s="157"/>
      <c r="AG217" s="157"/>
      <c r="AH217" s="157"/>
      <c r="AI217" s="157"/>
    </row>
    <row r="218" spans="2:35" x14ac:dyDescent="0.2">
      <c r="B218" s="146"/>
      <c r="C218" s="146"/>
      <c r="D218" s="146"/>
      <c r="E218" s="146"/>
      <c r="F218" s="146"/>
      <c r="G218" s="146"/>
      <c r="H218" s="146"/>
      <c r="I218" s="146"/>
      <c r="J218" s="146"/>
      <c r="K218" s="146"/>
      <c r="L218" s="146"/>
      <c r="R218" s="157"/>
      <c r="S218" s="157"/>
      <c r="T218" s="157"/>
      <c r="W218" s="157"/>
      <c r="X218" s="157"/>
      <c r="Y218" s="157"/>
      <c r="AB218" s="157"/>
      <c r="AC218" s="157"/>
      <c r="AD218" s="157"/>
      <c r="AG218" s="157"/>
      <c r="AH218" s="157"/>
      <c r="AI218" s="157"/>
    </row>
    <row r="219" spans="2:35" x14ac:dyDescent="0.2">
      <c r="B219" s="146"/>
      <c r="C219" s="146"/>
      <c r="D219" s="146"/>
      <c r="E219" s="146"/>
      <c r="F219" s="146"/>
      <c r="G219" s="146"/>
      <c r="H219" s="146"/>
      <c r="I219" s="146"/>
      <c r="J219" s="146"/>
      <c r="K219" s="146"/>
      <c r="L219" s="146"/>
      <c r="R219" s="157"/>
      <c r="S219" s="157"/>
      <c r="T219" s="157"/>
      <c r="W219" s="157"/>
      <c r="X219" s="157"/>
      <c r="Y219" s="157"/>
      <c r="AB219" s="157"/>
      <c r="AC219" s="157"/>
      <c r="AD219" s="157"/>
      <c r="AG219" s="157"/>
      <c r="AH219" s="157"/>
      <c r="AI219" s="157"/>
    </row>
    <row r="220" spans="2:35" x14ac:dyDescent="0.2">
      <c r="B220" s="146"/>
      <c r="C220" s="146"/>
      <c r="D220" s="146"/>
      <c r="E220" s="146"/>
      <c r="F220" s="146"/>
      <c r="G220" s="146"/>
      <c r="H220" s="146"/>
      <c r="I220" s="146"/>
      <c r="J220" s="146"/>
      <c r="K220" s="146"/>
      <c r="L220" s="146"/>
      <c r="R220" s="157"/>
      <c r="S220" s="157"/>
      <c r="T220" s="157"/>
      <c r="W220" s="157"/>
      <c r="X220" s="157"/>
      <c r="Y220" s="157"/>
      <c r="AB220" s="157"/>
      <c r="AC220" s="157"/>
      <c r="AD220" s="157"/>
      <c r="AG220" s="157"/>
      <c r="AH220" s="157"/>
      <c r="AI220" s="157"/>
    </row>
    <row r="221" spans="2:35" x14ac:dyDescent="0.2">
      <c r="B221" s="146"/>
      <c r="C221" s="146"/>
      <c r="D221" s="146"/>
      <c r="E221" s="146"/>
      <c r="F221" s="146"/>
      <c r="G221" s="146"/>
      <c r="H221" s="146"/>
      <c r="I221" s="146"/>
      <c r="J221" s="146"/>
      <c r="K221" s="146"/>
      <c r="L221" s="146"/>
      <c r="R221" s="157"/>
      <c r="S221" s="157"/>
      <c r="T221" s="157"/>
      <c r="W221" s="157"/>
      <c r="X221" s="157"/>
      <c r="Y221" s="157"/>
      <c r="AB221" s="157"/>
      <c r="AC221" s="157"/>
      <c r="AD221" s="157"/>
      <c r="AG221" s="157"/>
      <c r="AH221" s="157"/>
      <c r="AI221" s="157"/>
    </row>
    <row r="222" spans="2:35" x14ac:dyDescent="0.2">
      <c r="B222" s="146"/>
      <c r="C222" s="146"/>
      <c r="D222" s="146"/>
      <c r="E222" s="146"/>
      <c r="F222" s="146"/>
      <c r="G222" s="146"/>
      <c r="H222" s="146"/>
      <c r="I222" s="146"/>
      <c r="J222" s="146"/>
      <c r="K222" s="146"/>
      <c r="L222" s="146"/>
      <c r="R222" s="157"/>
      <c r="S222" s="157"/>
      <c r="T222" s="157"/>
      <c r="W222" s="157"/>
      <c r="X222" s="157"/>
      <c r="Y222" s="157"/>
      <c r="AB222" s="157"/>
      <c r="AC222" s="157"/>
      <c r="AD222" s="157"/>
      <c r="AG222" s="157"/>
      <c r="AH222" s="157"/>
      <c r="AI222" s="157"/>
    </row>
    <row r="223" spans="2:35" x14ac:dyDescent="0.2">
      <c r="B223" s="146"/>
      <c r="C223" s="146"/>
      <c r="D223" s="146"/>
      <c r="E223" s="146"/>
      <c r="F223" s="146"/>
      <c r="G223" s="146"/>
      <c r="H223" s="146"/>
      <c r="I223" s="146"/>
      <c r="J223" s="146"/>
      <c r="K223" s="146"/>
      <c r="L223" s="146"/>
      <c r="R223" s="157"/>
      <c r="S223" s="157"/>
      <c r="T223" s="157"/>
      <c r="W223" s="157"/>
      <c r="X223" s="157"/>
      <c r="Y223" s="157"/>
      <c r="AB223" s="157"/>
      <c r="AC223" s="157"/>
      <c r="AD223" s="157"/>
      <c r="AG223" s="157"/>
      <c r="AH223" s="157"/>
      <c r="AI223" s="157"/>
    </row>
    <row r="224" spans="2:35" x14ac:dyDescent="0.2">
      <c r="B224" s="146"/>
      <c r="C224" s="146"/>
      <c r="D224" s="146"/>
      <c r="E224" s="146"/>
      <c r="F224" s="146"/>
      <c r="G224" s="146"/>
      <c r="H224" s="146"/>
      <c r="I224" s="146"/>
      <c r="J224" s="146"/>
      <c r="K224" s="146"/>
      <c r="L224" s="146"/>
      <c r="R224" s="157"/>
      <c r="S224" s="157"/>
      <c r="T224" s="157"/>
      <c r="W224" s="157"/>
      <c r="X224" s="157"/>
      <c r="Y224" s="157"/>
      <c r="AB224" s="157"/>
      <c r="AC224" s="157"/>
      <c r="AD224" s="157"/>
      <c r="AG224" s="157"/>
      <c r="AH224" s="157"/>
      <c r="AI224" s="157"/>
    </row>
    <row r="225" spans="2:35" x14ac:dyDescent="0.2">
      <c r="B225" s="146"/>
      <c r="C225" s="146"/>
      <c r="D225" s="146"/>
      <c r="E225" s="146"/>
      <c r="F225" s="146"/>
      <c r="G225" s="146"/>
      <c r="H225" s="146"/>
      <c r="I225" s="146"/>
      <c r="J225" s="146"/>
      <c r="K225" s="146"/>
      <c r="L225" s="146"/>
      <c r="R225" s="157"/>
      <c r="S225" s="157"/>
      <c r="T225" s="157"/>
      <c r="W225" s="157"/>
      <c r="X225" s="157"/>
      <c r="Y225" s="157"/>
      <c r="AB225" s="157"/>
      <c r="AC225" s="157"/>
      <c r="AD225" s="157"/>
      <c r="AG225" s="157"/>
      <c r="AH225" s="157"/>
      <c r="AI225" s="157"/>
    </row>
    <row r="226" spans="2:35" x14ac:dyDescent="0.2">
      <c r="B226" s="146"/>
      <c r="C226" s="146"/>
      <c r="D226" s="146"/>
      <c r="E226" s="146"/>
      <c r="F226" s="146"/>
      <c r="G226" s="146"/>
      <c r="H226" s="146"/>
      <c r="I226" s="146"/>
      <c r="J226" s="146"/>
      <c r="K226" s="146"/>
      <c r="L226" s="146"/>
      <c r="R226" s="157"/>
      <c r="S226" s="157"/>
      <c r="T226" s="157"/>
      <c r="W226" s="157"/>
      <c r="X226" s="157"/>
      <c r="Y226" s="157"/>
      <c r="AB226" s="157"/>
      <c r="AC226" s="157"/>
      <c r="AD226" s="157"/>
      <c r="AG226" s="157"/>
      <c r="AH226" s="157"/>
      <c r="AI226" s="157"/>
    </row>
    <row r="227" spans="2:35" x14ac:dyDescent="0.2">
      <c r="B227" s="146"/>
      <c r="C227" s="146"/>
      <c r="D227" s="146"/>
      <c r="E227" s="146"/>
      <c r="F227" s="146"/>
      <c r="G227" s="146"/>
      <c r="H227" s="146"/>
      <c r="I227" s="146"/>
      <c r="J227" s="146"/>
      <c r="K227" s="146"/>
      <c r="L227" s="146"/>
      <c r="R227" s="157"/>
      <c r="S227" s="157"/>
      <c r="T227" s="157"/>
      <c r="W227" s="157"/>
      <c r="X227" s="157"/>
      <c r="Y227" s="157"/>
      <c r="AB227" s="157"/>
      <c r="AC227" s="157"/>
      <c r="AD227" s="157"/>
      <c r="AG227" s="157"/>
      <c r="AH227" s="157"/>
      <c r="AI227" s="157"/>
    </row>
    <row r="228" spans="2:35" x14ac:dyDescent="0.2">
      <c r="B228" s="146"/>
      <c r="C228" s="146"/>
      <c r="D228" s="146"/>
      <c r="E228" s="146"/>
      <c r="F228" s="146"/>
      <c r="G228" s="146"/>
      <c r="H228" s="146"/>
      <c r="I228" s="146"/>
      <c r="J228" s="146"/>
      <c r="K228" s="146"/>
      <c r="L228" s="146"/>
      <c r="R228" s="157"/>
      <c r="S228" s="157"/>
      <c r="T228" s="157"/>
      <c r="W228" s="157"/>
      <c r="X228" s="157"/>
      <c r="Y228" s="157"/>
      <c r="AB228" s="157"/>
      <c r="AC228" s="157"/>
      <c r="AD228" s="157"/>
      <c r="AG228" s="157"/>
      <c r="AH228" s="157"/>
      <c r="AI228" s="157"/>
    </row>
    <row r="229" spans="2:35" x14ac:dyDescent="0.2">
      <c r="B229" s="146"/>
      <c r="C229" s="146"/>
      <c r="D229" s="146"/>
      <c r="E229" s="146"/>
      <c r="F229" s="146"/>
      <c r="G229" s="146"/>
      <c r="H229" s="146"/>
      <c r="I229" s="146"/>
      <c r="J229" s="146"/>
      <c r="K229" s="146"/>
      <c r="L229" s="146"/>
      <c r="R229" s="157"/>
      <c r="S229" s="157"/>
      <c r="T229" s="157"/>
      <c r="W229" s="157"/>
      <c r="X229" s="157"/>
      <c r="Y229" s="157"/>
      <c r="AB229" s="157"/>
      <c r="AC229" s="157"/>
      <c r="AD229" s="157"/>
      <c r="AG229" s="157"/>
      <c r="AH229" s="157"/>
      <c r="AI229" s="157"/>
    </row>
    <row r="230" spans="2:35" x14ac:dyDescent="0.2">
      <c r="B230" s="146"/>
      <c r="C230" s="146"/>
      <c r="D230" s="146"/>
      <c r="E230" s="146"/>
      <c r="F230" s="146"/>
      <c r="G230" s="146"/>
      <c r="H230" s="146"/>
      <c r="I230" s="146"/>
      <c r="J230" s="146"/>
      <c r="K230" s="146"/>
      <c r="L230" s="146"/>
      <c r="R230" s="157"/>
      <c r="S230" s="157"/>
      <c r="T230" s="157"/>
      <c r="W230" s="157"/>
      <c r="X230" s="157"/>
      <c r="Y230" s="157"/>
      <c r="AB230" s="157"/>
      <c r="AC230" s="157"/>
      <c r="AD230" s="157"/>
      <c r="AG230" s="157"/>
      <c r="AH230" s="157"/>
      <c r="AI230" s="157"/>
    </row>
    <row r="231" spans="2:35" x14ac:dyDescent="0.2">
      <c r="B231" s="146"/>
      <c r="C231" s="146"/>
      <c r="D231" s="146"/>
      <c r="E231" s="146"/>
      <c r="F231" s="146"/>
      <c r="G231" s="146"/>
      <c r="H231" s="146"/>
      <c r="I231" s="146"/>
      <c r="J231" s="146"/>
      <c r="K231" s="146"/>
      <c r="L231" s="146"/>
      <c r="R231" s="157"/>
      <c r="S231" s="157"/>
      <c r="T231" s="157"/>
      <c r="W231" s="157"/>
      <c r="X231" s="157"/>
      <c r="Y231" s="157"/>
      <c r="AB231" s="157"/>
      <c r="AC231" s="157"/>
      <c r="AD231" s="157"/>
      <c r="AG231" s="157"/>
      <c r="AH231" s="157"/>
      <c r="AI231" s="157"/>
    </row>
    <row r="232" spans="2:35" x14ac:dyDescent="0.2">
      <c r="B232" s="146"/>
      <c r="C232" s="146"/>
      <c r="D232" s="146"/>
      <c r="E232" s="146"/>
      <c r="F232" s="146"/>
      <c r="G232" s="146"/>
      <c r="H232" s="146"/>
      <c r="I232" s="146"/>
      <c r="J232" s="146"/>
      <c r="K232" s="146"/>
      <c r="L232" s="146"/>
      <c r="R232" s="157"/>
      <c r="S232" s="157"/>
      <c r="T232" s="157"/>
      <c r="W232" s="157"/>
      <c r="X232" s="157"/>
      <c r="Y232" s="157"/>
      <c r="AB232" s="157"/>
      <c r="AC232" s="157"/>
      <c r="AD232" s="157"/>
      <c r="AG232" s="157"/>
      <c r="AH232" s="157"/>
      <c r="AI232" s="157"/>
    </row>
    <row r="233" spans="2:35" x14ac:dyDescent="0.2">
      <c r="B233" s="146"/>
      <c r="C233" s="146"/>
      <c r="D233" s="146"/>
      <c r="E233" s="146"/>
      <c r="F233" s="146"/>
      <c r="G233" s="146"/>
      <c r="H233" s="146"/>
      <c r="I233" s="146"/>
      <c r="J233" s="146"/>
      <c r="K233" s="146"/>
      <c r="L233" s="146"/>
      <c r="R233" s="157"/>
      <c r="S233" s="157"/>
      <c r="T233" s="157"/>
      <c r="W233" s="157"/>
      <c r="X233" s="157"/>
      <c r="Y233" s="157"/>
      <c r="AB233" s="157"/>
      <c r="AC233" s="157"/>
      <c r="AD233" s="157"/>
      <c r="AG233" s="157"/>
      <c r="AH233" s="157"/>
      <c r="AI233" s="157"/>
    </row>
    <row r="234" spans="2:35" x14ac:dyDescent="0.2">
      <c r="B234" s="146"/>
      <c r="C234" s="146"/>
      <c r="D234" s="146"/>
      <c r="E234" s="146"/>
      <c r="F234" s="146"/>
      <c r="G234" s="146"/>
      <c r="H234" s="146"/>
      <c r="I234" s="146"/>
      <c r="J234" s="146"/>
      <c r="K234" s="146"/>
      <c r="L234" s="146"/>
      <c r="R234" s="157"/>
      <c r="S234" s="157"/>
      <c r="T234" s="157"/>
      <c r="W234" s="157"/>
      <c r="X234" s="157"/>
      <c r="Y234" s="157"/>
      <c r="AB234" s="157"/>
      <c r="AC234" s="157"/>
      <c r="AD234" s="157"/>
      <c r="AG234" s="157"/>
      <c r="AH234" s="157"/>
      <c r="AI234" s="157"/>
    </row>
    <row r="235" spans="2:35" x14ac:dyDescent="0.2">
      <c r="B235" s="146"/>
      <c r="C235" s="146"/>
      <c r="D235" s="146"/>
      <c r="E235" s="146"/>
      <c r="F235" s="146"/>
      <c r="G235" s="146"/>
      <c r="H235" s="146"/>
      <c r="I235" s="146"/>
      <c r="J235" s="146"/>
      <c r="K235" s="146"/>
      <c r="L235" s="146"/>
      <c r="R235" s="157"/>
      <c r="S235" s="157"/>
      <c r="T235" s="157"/>
      <c r="W235" s="157"/>
      <c r="X235" s="157"/>
      <c r="Y235" s="157"/>
      <c r="AB235" s="157"/>
      <c r="AC235" s="157"/>
      <c r="AD235" s="157"/>
      <c r="AG235" s="157"/>
      <c r="AH235" s="157"/>
      <c r="AI235" s="157"/>
    </row>
    <row r="236" spans="2:35" x14ac:dyDescent="0.2">
      <c r="B236" s="146"/>
      <c r="C236" s="146"/>
      <c r="D236" s="146"/>
      <c r="E236" s="146"/>
      <c r="F236" s="146"/>
      <c r="G236" s="146"/>
      <c r="H236" s="146"/>
      <c r="I236" s="146"/>
      <c r="J236" s="146"/>
      <c r="K236" s="146"/>
      <c r="L236" s="146"/>
      <c r="R236" s="157"/>
      <c r="S236" s="157"/>
      <c r="T236" s="157"/>
      <c r="W236" s="157"/>
      <c r="X236" s="157"/>
      <c r="Y236" s="157"/>
      <c r="AB236" s="157"/>
      <c r="AC236" s="157"/>
      <c r="AD236" s="157"/>
      <c r="AG236" s="157"/>
      <c r="AH236" s="157"/>
      <c r="AI236" s="157"/>
    </row>
    <row r="237" spans="2:35" x14ac:dyDescent="0.2">
      <c r="B237" s="146"/>
      <c r="C237" s="146"/>
      <c r="D237" s="146"/>
      <c r="E237" s="146"/>
      <c r="F237" s="146"/>
      <c r="G237" s="146"/>
      <c r="H237" s="146"/>
      <c r="I237" s="146"/>
      <c r="J237" s="146"/>
      <c r="K237" s="146"/>
      <c r="L237" s="146"/>
      <c r="R237" s="157"/>
      <c r="S237" s="157"/>
      <c r="T237" s="157"/>
      <c r="W237" s="157"/>
      <c r="X237" s="157"/>
      <c r="Y237" s="157"/>
      <c r="AB237" s="157"/>
      <c r="AC237" s="157"/>
      <c r="AD237" s="157"/>
      <c r="AG237" s="157"/>
      <c r="AH237" s="157"/>
      <c r="AI237" s="157"/>
    </row>
    <row r="238" spans="2:35" x14ac:dyDescent="0.2">
      <c r="B238" s="146"/>
      <c r="C238" s="146"/>
      <c r="D238" s="146"/>
      <c r="E238" s="146"/>
      <c r="F238" s="146"/>
      <c r="G238" s="146"/>
      <c r="H238" s="146"/>
      <c r="I238" s="146"/>
      <c r="J238" s="146"/>
      <c r="K238" s="146"/>
      <c r="L238" s="146"/>
      <c r="R238" s="157"/>
      <c r="S238" s="157"/>
      <c r="T238" s="157"/>
      <c r="W238" s="157"/>
      <c r="X238" s="157"/>
      <c r="Y238" s="157"/>
      <c r="AB238" s="157"/>
      <c r="AC238" s="157"/>
      <c r="AD238" s="157"/>
      <c r="AG238" s="157"/>
      <c r="AH238" s="157"/>
      <c r="AI238" s="157"/>
    </row>
    <row r="239" spans="2:35" x14ac:dyDescent="0.2">
      <c r="B239" s="146"/>
      <c r="C239" s="146"/>
      <c r="D239" s="146"/>
      <c r="E239" s="146"/>
      <c r="F239" s="146"/>
      <c r="G239" s="146"/>
      <c r="H239" s="146"/>
      <c r="I239" s="146"/>
      <c r="J239" s="146"/>
      <c r="K239" s="146"/>
      <c r="L239" s="146"/>
      <c r="R239" s="157"/>
      <c r="S239" s="157"/>
      <c r="T239" s="157"/>
      <c r="W239" s="157"/>
      <c r="X239" s="157"/>
      <c r="Y239" s="157"/>
      <c r="AB239" s="157"/>
      <c r="AC239" s="157"/>
      <c r="AD239" s="157"/>
      <c r="AG239" s="157"/>
      <c r="AH239" s="157"/>
      <c r="AI239" s="157"/>
    </row>
    <row r="240" spans="2:35" x14ac:dyDescent="0.2">
      <c r="B240" s="146"/>
      <c r="C240" s="146"/>
      <c r="D240" s="146"/>
      <c r="E240" s="146"/>
      <c r="F240" s="146"/>
      <c r="G240" s="146"/>
      <c r="H240" s="146"/>
      <c r="I240" s="146"/>
      <c r="J240" s="146"/>
      <c r="K240" s="146"/>
      <c r="L240" s="146"/>
      <c r="R240" s="157"/>
      <c r="S240" s="157"/>
      <c r="T240" s="157"/>
      <c r="W240" s="157"/>
      <c r="X240" s="157"/>
      <c r="Y240" s="157"/>
      <c r="AB240" s="157"/>
      <c r="AC240" s="157"/>
      <c r="AD240" s="157"/>
      <c r="AG240" s="157"/>
      <c r="AH240" s="157"/>
      <c r="AI240" s="157"/>
    </row>
    <row r="241" spans="2:35" x14ac:dyDescent="0.2">
      <c r="B241" s="146"/>
      <c r="C241" s="146"/>
      <c r="D241" s="146"/>
      <c r="E241" s="146"/>
      <c r="F241" s="146"/>
      <c r="G241" s="146"/>
      <c r="H241" s="146"/>
      <c r="I241" s="146"/>
      <c r="J241" s="146"/>
      <c r="K241" s="146"/>
      <c r="L241" s="146"/>
      <c r="R241" s="157"/>
      <c r="S241" s="157"/>
      <c r="T241" s="157"/>
      <c r="W241" s="157"/>
      <c r="X241" s="157"/>
      <c r="Y241" s="157"/>
      <c r="AB241" s="157"/>
      <c r="AC241" s="157"/>
      <c r="AD241" s="157"/>
      <c r="AG241" s="157"/>
      <c r="AH241" s="157"/>
      <c r="AI241" s="157"/>
    </row>
    <row r="242" spans="2:35" x14ac:dyDescent="0.2">
      <c r="B242" s="146"/>
      <c r="C242" s="146"/>
      <c r="D242" s="146"/>
      <c r="E242" s="146"/>
      <c r="F242" s="146"/>
      <c r="G242" s="146"/>
      <c r="H242" s="146"/>
      <c r="I242" s="146"/>
      <c r="J242" s="146"/>
      <c r="K242" s="146"/>
      <c r="L242" s="146"/>
      <c r="R242" s="157"/>
      <c r="S242" s="157"/>
      <c r="T242" s="157"/>
      <c r="W242" s="157"/>
      <c r="X242" s="157"/>
      <c r="Y242" s="157"/>
      <c r="AB242" s="157"/>
      <c r="AC242" s="157"/>
      <c r="AD242" s="157"/>
      <c r="AG242" s="157"/>
      <c r="AH242" s="157"/>
      <c r="AI242" s="157"/>
    </row>
    <row r="243" spans="2:35" x14ac:dyDescent="0.2">
      <c r="B243" s="146"/>
      <c r="C243" s="146"/>
      <c r="D243" s="146"/>
      <c r="E243" s="146"/>
      <c r="F243" s="146"/>
      <c r="G243" s="146"/>
      <c r="H243" s="146"/>
      <c r="I243" s="146"/>
      <c r="J243" s="146"/>
      <c r="K243" s="146"/>
      <c r="L243" s="146"/>
      <c r="R243" s="157"/>
      <c r="S243" s="157"/>
      <c r="T243" s="157"/>
      <c r="W243" s="157"/>
      <c r="X243" s="157"/>
      <c r="Y243" s="157"/>
      <c r="AB243" s="157"/>
      <c r="AC243" s="157"/>
      <c r="AD243" s="157"/>
      <c r="AG243" s="157"/>
      <c r="AH243" s="157"/>
      <c r="AI243" s="157"/>
    </row>
    <row r="244" spans="2:35" x14ac:dyDescent="0.2">
      <c r="B244" s="146"/>
      <c r="C244" s="146"/>
      <c r="D244" s="146"/>
      <c r="E244" s="146"/>
      <c r="F244" s="146"/>
      <c r="G244" s="146"/>
      <c r="H244" s="146"/>
      <c r="I244" s="146"/>
      <c r="J244" s="146"/>
      <c r="K244" s="146"/>
      <c r="L244" s="146"/>
      <c r="R244" s="157"/>
      <c r="S244" s="157"/>
      <c r="T244" s="157"/>
      <c r="W244" s="157"/>
      <c r="X244" s="157"/>
      <c r="Y244" s="157"/>
      <c r="AB244" s="157"/>
      <c r="AC244" s="157"/>
      <c r="AD244" s="157"/>
      <c r="AG244" s="157"/>
      <c r="AH244" s="157"/>
      <c r="AI244" s="157"/>
    </row>
    <row r="245" spans="2:35" x14ac:dyDescent="0.2">
      <c r="B245" s="146"/>
      <c r="C245" s="146"/>
      <c r="D245" s="146"/>
      <c r="E245" s="146"/>
      <c r="F245" s="146"/>
      <c r="G245" s="146"/>
      <c r="H245" s="146"/>
      <c r="I245" s="146"/>
      <c r="J245" s="146"/>
      <c r="K245" s="146"/>
      <c r="L245" s="146"/>
      <c r="R245" s="157"/>
      <c r="S245" s="157"/>
      <c r="T245" s="157"/>
      <c r="W245" s="157"/>
      <c r="X245" s="157"/>
      <c r="Y245" s="157"/>
      <c r="AB245" s="157"/>
      <c r="AC245" s="157"/>
      <c r="AD245" s="157"/>
      <c r="AG245" s="157"/>
      <c r="AH245" s="157"/>
      <c r="AI245" s="157"/>
    </row>
    <row r="246" spans="2:35" x14ac:dyDescent="0.2">
      <c r="B246" s="146"/>
      <c r="C246" s="146"/>
      <c r="D246" s="146"/>
      <c r="E246" s="146"/>
      <c r="F246" s="146"/>
      <c r="G246" s="146"/>
      <c r="H246" s="146"/>
      <c r="I246" s="146"/>
      <c r="J246" s="146"/>
      <c r="K246" s="146"/>
      <c r="L246" s="146"/>
      <c r="R246" s="157"/>
      <c r="S246" s="157"/>
      <c r="T246" s="157"/>
      <c r="W246" s="157"/>
      <c r="X246" s="157"/>
      <c r="Y246" s="157"/>
      <c r="AB246" s="157"/>
      <c r="AC246" s="157"/>
      <c r="AD246" s="157"/>
      <c r="AG246" s="157"/>
      <c r="AH246" s="157"/>
      <c r="AI246" s="157"/>
    </row>
    <row r="247" spans="2:35" x14ac:dyDescent="0.2">
      <c r="B247" s="146"/>
      <c r="C247" s="146"/>
      <c r="D247" s="146"/>
      <c r="E247" s="146"/>
      <c r="F247" s="146"/>
      <c r="G247" s="146"/>
      <c r="H247" s="146"/>
      <c r="I247" s="146"/>
      <c r="J247" s="146"/>
      <c r="K247" s="146"/>
      <c r="L247" s="146"/>
      <c r="R247" s="157"/>
      <c r="S247" s="157"/>
      <c r="T247" s="157"/>
      <c r="W247" s="157"/>
      <c r="X247" s="157"/>
      <c r="Y247" s="157"/>
      <c r="AB247" s="157"/>
      <c r="AC247" s="157"/>
      <c r="AD247" s="157"/>
      <c r="AG247" s="157"/>
      <c r="AH247" s="157"/>
      <c r="AI247" s="157"/>
    </row>
    <row r="248" spans="2:35" x14ac:dyDescent="0.2">
      <c r="B248" s="146"/>
      <c r="C248" s="146"/>
      <c r="D248" s="146"/>
      <c r="E248" s="146"/>
      <c r="F248" s="146"/>
      <c r="G248" s="146"/>
      <c r="H248" s="146"/>
      <c r="I248" s="146"/>
      <c r="J248" s="146"/>
      <c r="K248" s="146"/>
      <c r="L248" s="146"/>
      <c r="R248" s="157"/>
      <c r="S248" s="157"/>
      <c r="T248" s="157"/>
      <c r="W248" s="157"/>
      <c r="X248" s="157"/>
      <c r="Y248" s="157"/>
      <c r="AB248" s="157"/>
      <c r="AC248" s="157"/>
      <c r="AD248" s="157"/>
      <c r="AG248" s="157"/>
      <c r="AH248" s="157"/>
      <c r="AI248" s="157"/>
    </row>
    <row r="249" spans="2:35" x14ac:dyDescent="0.2">
      <c r="B249" s="146"/>
      <c r="C249" s="146"/>
      <c r="D249" s="146"/>
      <c r="E249" s="146"/>
      <c r="F249" s="146"/>
      <c r="G249" s="146"/>
      <c r="H249" s="146"/>
      <c r="I249" s="146"/>
      <c r="J249" s="146"/>
      <c r="K249" s="146"/>
      <c r="L249" s="146"/>
      <c r="R249" s="157"/>
      <c r="S249" s="157"/>
      <c r="T249" s="157"/>
      <c r="W249" s="157"/>
      <c r="X249" s="157"/>
      <c r="Y249" s="157"/>
      <c r="AB249" s="157"/>
      <c r="AC249" s="157"/>
      <c r="AD249" s="157"/>
      <c r="AG249" s="157"/>
      <c r="AH249" s="157"/>
      <c r="AI249" s="157"/>
    </row>
    <row r="250" spans="2:35" x14ac:dyDescent="0.2">
      <c r="B250" s="146"/>
      <c r="C250" s="146"/>
      <c r="D250" s="146"/>
      <c r="E250" s="146"/>
      <c r="F250" s="146"/>
      <c r="G250" s="146"/>
      <c r="H250" s="146"/>
      <c r="I250" s="146"/>
      <c r="J250" s="146"/>
      <c r="K250" s="146"/>
      <c r="L250" s="146"/>
      <c r="R250" s="157"/>
      <c r="S250" s="157"/>
      <c r="T250" s="157"/>
      <c r="W250" s="157"/>
      <c r="X250" s="157"/>
      <c r="Y250" s="157"/>
      <c r="AB250" s="157"/>
      <c r="AC250" s="157"/>
      <c r="AD250" s="157"/>
      <c r="AG250" s="157"/>
      <c r="AH250" s="157"/>
      <c r="AI250" s="157"/>
    </row>
    <row r="251" spans="2:35" x14ac:dyDescent="0.2">
      <c r="B251" s="146"/>
      <c r="C251" s="146"/>
      <c r="D251" s="146"/>
      <c r="E251" s="146"/>
      <c r="F251" s="146"/>
      <c r="G251" s="146"/>
      <c r="H251" s="146"/>
      <c r="I251" s="146"/>
      <c r="J251" s="146"/>
      <c r="K251" s="146"/>
      <c r="L251" s="146"/>
      <c r="R251" s="157"/>
      <c r="S251" s="157"/>
      <c r="T251" s="157"/>
      <c r="W251" s="157"/>
      <c r="X251" s="157"/>
      <c r="Y251" s="157"/>
      <c r="AB251" s="157"/>
      <c r="AC251" s="157"/>
      <c r="AD251" s="157"/>
      <c r="AG251" s="157"/>
      <c r="AH251" s="157"/>
      <c r="AI251" s="157"/>
    </row>
    <row r="252" spans="2:35" x14ac:dyDescent="0.2">
      <c r="B252" s="146"/>
      <c r="C252" s="146"/>
      <c r="D252" s="146"/>
      <c r="E252" s="146"/>
      <c r="F252" s="146"/>
      <c r="G252" s="146"/>
      <c r="H252" s="146"/>
      <c r="I252" s="146"/>
      <c r="J252" s="146"/>
      <c r="K252" s="146"/>
      <c r="L252" s="146"/>
      <c r="R252" s="157"/>
      <c r="S252" s="157"/>
      <c r="T252" s="157"/>
      <c r="W252" s="157"/>
      <c r="X252" s="157"/>
      <c r="Y252" s="157"/>
      <c r="AB252" s="157"/>
      <c r="AC252" s="157"/>
      <c r="AD252" s="157"/>
      <c r="AG252" s="157"/>
      <c r="AH252" s="157"/>
      <c r="AI252" s="157"/>
    </row>
    <row r="253" spans="2:35" x14ac:dyDescent="0.2">
      <c r="B253" s="146"/>
      <c r="C253" s="146"/>
      <c r="D253" s="146"/>
      <c r="E253" s="146"/>
      <c r="F253" s="146"/>
      <c r="G253" s="146"/>
      <c r="H253" s="146"/>
      <c r="I253" s="146"/>
      <c r="J253" s="146"/>
      <c r="K253" s="146"/>
      <c r="L253" s="146"/>
      <c r="R253" s="157"/>
      <c r="S253" s="157"/>
      <c r="T253" s="157"/>
      <c r="W253" s="157"/>
      <c r="X253" s="157"/>
      <c r="Y253" s="157"/>
      <c r="AB253" s="157"/>
      <c r="AC253" s="157"/>
      <c r="AD253" s="157"/>
      <c r="AG253" s="157"/>
      <c r="AH253" s="157"/>
      <c r="AI253" s="157"/>
    </row>
    <row r="254" spans="2:35" x14ac:dyDescent="0.2">
      <c r="B254" s="146"/>
      <c r="C254" s="146"/>
      <c r="D254" s="146"/>
      <c r="E254" s="146"/>
      <c r="F254" s="146"/>
      <c r="G254" s="146"/>
      <c r="H254" s="146"/>
      <c r="I254" s="146"/>
      <c r="J254" s="146"/>
      <c r="K254" s="146"/>
      <c r="L254" s="146"/>
      <c r="R254" s="157"/>
      <c r="S254" s="157"/>
      <c r="T254" s="157"/>
      <c r="W254" s="157"/>
      <c r="X254" s="157"/>
      <c r="Y254" s="157"/>
      <c r="AB254" s="157"/>
      <c r="AC254" s="157"/>
      <c r="AD254" s="157"/>
      <c r="AG254" s="157"/>
      <c r="AH254" s="157"/>
      <c r="AI254" s="157"/>
    </row>
    <row r="255" spans="2:35" x14ac:dyDescent="0.2">
      <c r="B255" s="146"/>
      <c r="C255" s="146"/>
      <c r="D255" s="146"/>
      <c r="E255" s="146"/>
      <c r="F255" s="146"/>
      <c r="G255" s="146"/>
      <c r="H255" s="146"/>
      <c r="I255" s="146"/>
      <c r="J255" s="146"/>
      <c r="K255" s="146"/>
      <c r="L255" s="146"/>
      <c r="R255" s="157"/>
      <c r="S255" s="157"/>
      <c r="T255" s="157"/>
      <c r="W255" s="157"/>
      <c r="X255" s="157"/>
      <c r="Y255" s="157"/>
      <c r="AB255" s="157"/>
      <c r="AC255" s="157"/>
      <c r="AD255" s="157"/>
      <c r="AG255" s="157"/>
      <c r="AH255" s="157"/>
      <c r="AI255" s="157"/>
    </row>
    <row r="256" spans="2:35" x14ac:dyDescent="0.2">
      <c r="B256" s="146"/>
      <c r="C256" s="146"/>
      <c r="D256" s="146"/>
      <c r="E256" s="146"/>
      <c r="F256" s="146"/>
      <c r="G256" s="146"/>
      <c r="H256" s="146"/>
      <c r="I256" s="146"/>
      <c r="J256" s="146"/>
      <c r="K256" s="146"/>
      <c r="L256" s="146"/>
      <c r="R256" s="157"/>
      <c r="S256" s="157"/>
      <c r="T256" s="157"/>
      <c r="W256" s="157"/>
      <c r="X256" s="157"/>
      <c r="Y256" s="157"/>
      <c r="AB256" s="157"/>
      <c r="AC256" s="157"/>
      <c r="AD256" s="157"/>
      <c r="AG256" s="157"/>
      <c r="AH256" s="157"/>
      <c r="AI256" s="157"/>
    </row>
    <row r="257" spans="2:35" x14ac:dyDescent="0.2">
      <c r="B257" s="146"/>
      <c r="C257" s="146"/>
      <c r="D257" s="146"/>
      <c r="E257" s="146"/>
      <c r="F257" s="146"/>
      <c r="G257" s="146"/>
      <c r="H257" s="146"/>
      <c r="I257" s="146"/>
      <c r="J257" s="146"/>
      <c r="K257" s="146"/>
      <c r="L257" s="146"/>
      <c r="R257" s="157"/>
      <c r="S257" s="157"/>
      <c r="T257" s="157"/>
      <c r="W257" s="157"/>
      <c r="X257" s="157"/>
      <c r="Y257" s="157"/>
      <c r="AB257" s="157"/>
      <c r="AC257" s="157"/>
      <c r="AD257" s="157"/>
      <c r="AG257" s="157"/>
      <c r="AH257" s="157"/>
      <c r="AI257" s="157"/>
    </row>
    <row r="258" spans="2:35" x14ac:dyDescent="0.2">
      <c r="B258" s="146"/>
      <c r="C258" s="146"/>
      <c r="D258" s="146"/>
      <c r="E258" s="146"/>
      <c r="F258" s="146"/>
      <c r="G258" s="146"/>
      <c r="H258" s="146"/>
      <c r="I258" s="146"/>
      <c r="J258" s="146"/>
      <c r="K258" s="146"/>
      <c r="L258" s="146"/>
      <c r="R258" s="157"/>
      <c r="S258" s="157"/>
      <c r="T258" s="157"/>
      <c r="W258" s="157"/>
      <c r="X258" s="157"/>
      <c r="Y258" s="157"/>
      <c r="AB258" s="157"/>
      <c r="AC258" s="157"/>
      <c r="AD258" s="157"/>
      <c r="AG258" s="157"/>
      <c r="AH258" s="157"/>
      <c r="AI258" s="157"/>
    </row>
    <row r="259" spans="2:35" x14ac:dyDescent="0.2">
      <c r="B259" s="146"/>
      <c r="C259" s="146"/>
      <c r="D259" s="146"/>
      <c r="E259" s="146"/>
      <c r="F259" s="146"/>
      <c r="G259" s="146"/>
      <c r="H259" s="146"/>
      <c r="I259" s="146"/>
      <c r="J259" s="146"/>
      <c r="K259" s="146"/>
      <c r="L259" s="146"/>
      <c r="R259" s="157"/>
      <c r="S259" s="157"/>
      <c r="T259" s="157"/>
      <c r="W259" s="157"/>
      <c r="X259" s="157"/>
      <c r="Y259" s="157"/>
      <c r="AB259" s="157"/>
      <c r="AC259" s="157"/>
      <c r="AD259" s="157"/>
      <c r="AG259" s="157"/>
      <c r="AH259" s="157"/>
      <c r="AI259" s="157"/>
    </row>
    <row r="260" spans="2:35" x14ac:dyDescent="0.2">
      <c r="B260" s="146"/>
      <c r="C260" s="146"/>
      <c r="D260" s="146"/>
      <c r="E260" s="146"/>
      <c r="F260" s="146"/>
      <c r="G260" s="146"/>
      <c r="H260" s="146"/>
      <c r="I260" s="146"/>
      <c r="J260" s="146"/>
      <c r="K260" s="146"/>
      <c r="L260" s="146"/>
      <c r="R260" s="157"/>
      <c r="S260" s="157"/>
      <c r="T260" s="157"/>
      <c r="W260" s="157"/>
      <c r="X260" s="157"/>
      <c r="Y260" s="157"/>
      <c r="AB260" s="157"/>
      <c r="AC260" s="157"/>
      <c r="AD260" s="157"/>
      <c r="AG260" s="157"/>
      <c r="AH260" s="157"/>
      <c r="AI260" s="157"/>
    </row>
    <row r="261" spans="2:35" x14ac:dyDescent="0.2">
      <c r="B261" s="146"/>
      <c r="C261" s="146"/>
      <c r="D261" s="146"/>
      <c r="E261" s="146"/>
      <c r="F261" s="146"/>
      <c r="G261" s="146"/>
      <c r="H261" s="146"/>
      <c r="I261" s="146"/>
      <c r="J261" s="146"/>
      <c r="K261" s="146"/>
      <c r="L261" s="146"/>
      <c r="R261" s="157"/>
      <c r="S261" s="157"/>
      <c r="T261" s="157"/>
      <c r="W261" s="157"/>
      <c r="X261" s="157"/>
      <c r="Y261" s="157"/>
      <c r="AB261" s="157"/>
      <c r="AC261" s="157"/>
      <c r="AD261" s="157"/>
      <c r="AG261" s="157"/>
      <c r="AH261" s="157"/>
      <c r="AI261" s="157"/>
    </row>
    <row r="262" spans="2:35" x14ac:dyDescent="0.2">
      <c r="B262" s="146"/>
      <c r="C262" s="146"/>
      <c r="D262" s="146"/>
      <c r="E262" s="146"/>
      <c r="F262" s="146"/>
      <c r="G262" s="146"/>
      <c r="H262" s="146"/>
      <c r="I262" s="146"/>
      <c r="J262" s="146"/>
      <c r="K262" s="146"/>
      <c r="L262" s="146"/>
      <c r="R262" s="157"/>
      <c r="S262" s="157"/>
      <c r="T262" s="157"/>
      <c r="W262" s="157"/>
      <c r="X262" s="157"/>
      <c r="Y262" s="157"/>
      <c r="AB262" s="157"/>
      <c r="AC262" s="157"/>
      <c r="AD262" s="157"/>
      <c r="AG262" s="157"/>
      <c r="AH262" s="157"/>
      <c r="AI262" s="157"/>
    </row>
    <row r="263" spans="2:35" x14ac:dyDescent="0.2">
      <c r="B263" s="146"/>
      <c r="C263" s="146"/>
      <c r="D263" s="146"/>
      <c r="E263" s="146"/>
      <c r="F263" s="146"/>
      <c r="G263" s="146"/>
      <c r="H263" s="146"/>
      <c r="I263" s="146"/>
      <c r="J263" s="146"/>
      <c r="K263" s="146"/>
      <c r="L263" s="146"/>
      <c r="R263" s="157"/>
      <c r="S263" s="157"/>
      <c r="T263" s="157"/>
      <c r="W263" s="157"/>
      <c r="X263" s="157"/>
      <c r="Y263" s="157"/>
      <c r="AB263" s="157"/>
      <c r="AC263" s="157"/>
      <c r="AD263" s="157"/>
      <c r="AG263" s="157"/>
      <c r="AH263" s="157"/>
      <c r="AI263" s="157"/>
    </row>
    <row r="264" spans="2:35" x14ac:dyDescent="0.2">
      <c r="B264" s="146"/>
      <c r="C264" s="146"/>
      <c r="D264" s="146"/>
      <c r="E264" s="146"/>
      <c r="F264" s="146"/>
      <c r="G264" s="146"/>
      <c r="H264" s="146"/>
      <c r="I264" s="146"/>
      <c r="J264" s="146"/>
      <c r="K264" s="146"/>
      <c r="L264" s="146"/>
      <c r="R264" s="157"/>
      <c r="S264" s="157"/>
      <c r="T264" s="157"/>
      <c r="W264" s="157"/>
      <c r="X264" s="157"/>
      <c r="Y264" s="157"/>
      <c r="AB264" s="157"/>
      <c r="AC264" s="157"/>
      <c r="AD264" s="157"/>
      <c r="AG264" s="157"/>
      <c r="AH264" s="157"/>
      <c r="AI264" s="157"/>
    </row>
    <row r="265" spans="2:35" x14ac:dyDescent="0.2">
      <c r="B265" s="146"/>
      <c r="C265" s="146"/>
      <c r="D265" s="146"/>
      <c r="E265" s="146"/>
      <c r="F265" s="146"/>
      <c r="G265" s="146"/>
      <c r="H265" s="146"/>
      <c r="I265" s="146"/>
      <c r="J265" s="146"/>
      <c r="K265" s="146"/>
      <c r="L265" s="146"/>
      <c r="R265" s="157"/>
      <c r="S265" s="157"/>
      <c r="T265" s="157"/>
      <c r="W265" s="157"/>
      <c r="X265" s="157"/>
      <c r="Y265" s="157"/>
      <c r="AB265" s="157"/>
      <c r="AC265" s="157"/>
      <c r="AD265" s="157"/>
      <c r="AG265" s="157"/>
      <c r="AH265" s="157"/>
      <c r="AI265" s="157"/>
    </row>
    <row r="266" spans="2:35" x14ac:dyDescent="0.2">
      <c r="B266" s="146"/>
      <c r="C266" s="146"/>
      <c r="D266" s="146"/>
      <c r="E266" s="146"/>
      <c r="F266" s="146"/>
      <c r="G266" s="146"/>
      <c r="H266" s="146"/>
      <c r="I266" s="146"/>
      <c r="J266" s="146"/>
      <c r="K266" s="146"/>
      <c r="L266" s="146"/>
      <c r="R266" s="157"/>
      <c r="S266" s="157"/>
      <c r="T266" s="157"/>
      <c r="W266" s="157"/>
      <c r="X266" s="157"/>
      <c r="Y266" s="157"/>
      <c r="AB266" s="157"/>
      <c r="AC266" s="157"/>
      <c r="AD266" s="157"/>
      <c r="AG266" s="157"/>
      <c r="AH266" s="157"/>
      <c r="AI266" s="157"/>
    </row>
    <row r="267" spans="2:35" x14ac:dyDescent="0.2">
      <c r="B267" s="146"/>
      <c r="C267" s="146"/>
      <c r="D267" s="146"/>
      <c r="E267" s="146"/>
      <c r="F267" s="146"/>
      <c r="G267" s="146"/>
      <c r="H267" s="146"/>
      <c r="I267" s="146"/>
      <c r="J267" s="146"/>
      <c r="K267" s="146"/>
      <c r="L267" s="146"/>
      <c r="R267" s="157"/>
      <c r="S267" s="157"/>
      <c r="T267" s="157"/>
      <c r="W267" s="157"/>
      <c r="X267" s="157"/>
      <c r="Y267" s="157"/>
      <c r="AB267" s="157"/>
      <c r="AC267" s="157"/>
      <c r="AD267" s="157"/>
      <c r="AG267" s="157"/>
      <c r="AH267" s="157"/>
      <c r="AI267" s="157"/>
    </row>
    <row r="268" spans="2:35" x14ac:dyDescent="0.2">
      <c r="B268" s="146"/>
      <c r="C268" s="146"/>
      <c r="D268" s="146"/>
      <c r="E268" s="146"/>
      <c r="F268" s="146"/>
      <c r="G268" s="146"/>
      <c r="H268" s="146"/>
      <c r="I268" s="146"/>
      <c r="J268" s="146"/>
      <c r="K268" s="146"/>
      <c r="L268" s="146"/>
      <c r="R268" s="157"/>
      <c r="S268" s="157"/>
      <c r="T268" s="157"/>
      <c r="W268" s="157"/>
      <c r="X268" s="157"/>
      <c r="Y268" s="157"/>
      <c r="AB268" s="157"/>
      <c r="AC268" s="157"/>
      <c r="AD268" s="157"/>
      <c r="AG268" s="157"/>
      <c r="AH268" s="157"/>
      <c r="AI268" s="157"/>
    </row>
    <row r="269" spans="2:35" x14ac:dyDescent="0.2">
      <c r="B269" s="146"/>
      <c r="C269" s="146"/>
      <c r="D269" s="146"/>
      <c r="E269" s="146"/>
      <c r="F269" s="146"/>
      <c r="G269" s="146"/>
      <c r="H269" s="146"/>
      <c r="I269" s="146"/>
      <c r="J269" s="146"/>
      <c r="K269" s="146"/>
      <c r="L269" s="146"/>
      <c r="R269" s="157"/>
      <c r="S269" s="157"/>
      <c r="T269" s="157"/>
      <c r="W269" s="157"/>
      <c r="X269" s="157"/>
      <c r="Y269" s="157"/>
      <c r="AB269" s="157"/>
      <c r="AC269" s="157"/>
      <c r="AD269" s="157"/>
      <c r="AG269" s="157"/>
      <c r="AH269" s="157"/>
      <c r="AI269" s="157"/>
    </row>
    <row r="270" spans="2:35" x14ac:dyDescent="0.2">
      <c r="B270" s="146"/>
      <c r="C270" s="146"/>
      <c r="D270" s="146"/>
      <c r="E270" s="146"/>
      <c r="F270" s="146"/>
      <c r="G270" s="146"/>
      <c r="H270" s="146"/>
      <c r="I270" s="146"/>
      <c r="J270" s="146"/>
      <c r="K270" s="146"/>
      <c r="L270" s="146"/>
      <c r="R270" s="157"/>
      <c r="S270" s="157"/>
      <c r="T270" s="157"/>
      <c r="W270" s="157"/>
      <c r="X270" s="157"/>
      <c r="Y270" s="157"/>
      <c r="AB270" s="157"/>
      <c r="AC270" s="157"/>
      <c r="AD270" s="157"/>
      <c r="AG270" s="157"/>
      <c r="AH270" s="157"/>
      <c r="AI270" s="157"/>
    </row>
    <row r="271" spans="2:35" x14ac:dyDescent="0.2">
      <c r="B271" s="146"/>
      <c r="C271" s="146"/>
      <c r="D271" s="146"/>
      <c r="E271" s="146"/>
      <c r="F271" s="146"/>
      <c r="G271" s="146"/>
      <c r="H271" s="146"/>
      <c r="I271" s="146"/>
      <c r="J271" s="146"/>
      <c r="K271" s="146"/>
      <c r="L271" s="146"/>
      <c r="R271" s="157"/>
      <c r="S271" s="157"/>
      <c r="T271" s="157"/>
      <c r="W271" s="157"/>
      <c r="X271" s="157"/>
      <c r="Y271" s="157"/>
      <c r="AB271" s="157"/>
      <c r="AC271" s="157"/>
      <c r="AD271" s="157"/>
      <c r="AG271" s="157"/>
      <c r="AH271" s="157"/>
      <c r="AI271" s="157"/>
    </row>
    <row r="272" spans="2:35" x14ac:dyDescent="0.2">
      <c r="B272" s="146"/>
      <c r="C272" s="146"/>
      <c r="D272" s="146"/>
      <c r="E272" s="146"/>
      <c r="F272" s="146"/>
      <c r="G272" s="146"/>
      <c r="H272" s="146"/>
      <c r="I272" s="146"/>
      <c r="J272" s="146"/>
      <c r="K272" s="146"/>
      <c r="L272" s="146"/>
      <c r="R272" s="157"/>
      <c r="S272" s="157"/>
      <c r="T272" s="157"/>
      <c r="W272" s="157"/>
      <c r="X272" s="157"/>
      <c r="Y272" s="157"/>
      <c r="AB272" s="157"/>
      <c r="AC272" s="157"/>
      <c r="AD272" s="157"/>
      <c r="AG272" s="157"/>
      <c r="AH272" s="157"/>
      <c r="AI272" s="157"/>
    </row>
    <row r="273" spans="2:35" x14ac:dyDescent="0.2">
      <c r="B273" s="146"/>
      <c r="C273" s="146"/>
      <c r="D273" s="146"/>
      <c r="E273" s="146"/>
      <c r="F273" s="146"/>
      <c r="G273" s="146"/>
      <c r="H273" s="146"/>
      <c r="I273" s="146"/>
      <c r="J273" s="146"/>
      <c r="K273" s="146"/>
      <c r="L273" s="146"/>
      <c r="R273" s="157"/>
      <c r="S273" s="157"/>
      <c r="T273" s="157"/>
      <c r="W273" s="157"/>
      <c r="X273" s="157"/>
      <c r="Y273" s="157"/>
      <c r="AB273" s="157"/>
      <c r="AC273" s="157"/>
      <c r="AD273" s="157"/>
      <c r="AG273" s="157"/>
      <c r="AH273" s="157"/>
      <c r="AI273" s="157"/>
    </row>
    <row r="274" spans="2:35" x14ac:dyDescent="0.2">
      <c r="B274" s="146"/>
      <c r="C274" s="146"/>
      <c r="D274" s="146"/>
      <c r="E274" s="146"/>
      <c r="F274" s="146"/>
      <c r="G274" s="146"/>
      <c r="H274" s="146"/>
      <c r="I274" s="146"/>
      <c r="J274" s="146"/>
      <c r="K274" s="146"/>
      <c r="L274" s="146"/>
      <c r="R274" s="157"/>
      <c r="S274" s="157"/>
      <c r="T274" s="157"/>
      <c r="W274" s="157"/>
      <c r="X274" s="157"/>
      <c r="Y274" s="157"/>
      <c r="AB274" s="157"/>
      <c r="AC274" s="157"/>
      <c r="AD274" s="157"/>
      <c r="AG274" s="157"/>
      <c r="AH274" s="157"/>
      <c r="AI274" s="157"/>
    </row>
    <row r="275" spans="2:35" x14ac:dyDescent="0.2">
      <c r="B275" s="146"/>
      <c r="C275" s="146"/>
      <c r="D275" s="146"/>
      <c r="E275" s="146"/>
      <c r="F275" s="146"/>
      <c r="G275" s="146"/>
      <c r="H275" s="146"/>
      <c r="I275" s="146"/>
      <c r="J275" s="146"/>
      <c r="K275" s="146"/>
      <c r="L275" s="146"/>
      <c r="R275" s="157"/>
      <c r="S275" s="157"/>
      <c r="T275" s="157"/>
      <c r="W275" s="157"/>
      <c r="X275" s="157"/>
      <c r="Y275" s="157"/>
      <c r="AB275" s="157"/>
      <c r="AC275" s="157"/>
      <c r="AD275" s="157"/>
      <c r="AG275" s="157"/>
      <c r="AH275" s="157"/>
      <c r="AI275" s="157"/>
    </row>
    <row r="276" spans="2:35" x14ac:dyDescent="0.2">
      <c r="B276" s="146"/>
      <c r="C276" s="146"/>
      <c r="D276" s="146"/>
      <c r="E276" s="146"/>
      <c r="F276" s="146"/>
      <c r="G276" s="146"/>
      <c r="H276" s="146"/>
      <c r="I276" s="146"/>
      <c r="J276" s="146"/>
      <c r="K276" s="146"/>
      <c r="L276" s="146"/>
      <c r="R276" s="157"/>
      <c r="S276" s="157"/>
      <c r="T276" s="157"/>
      <c r="W276" s="157"/>
      <c r="X276" s="157"/>
      <c r="Y276" s="157"/>
      <c r="AB276" s="157"/>
      <c r="AC276" s="157"/>
      <c r="AD276" s="157"/>
      <c r="AG276" s="157"/>
      <c r="AH276" s="157"/>
      <c r="AI276" s="157"/>
    </row>
    <row r="277" spans="2:35" x14ac:dyDescent="0.2">
      <c r="B277" s="146"/>
      <c r="C277" s="146"/>
      <c r="D277" s="146"/>
      <c r="E277" s="146"/>
      <c r="F277" s="146"/>
      <c r="G277" s="146"/>
      <c r="H277" s="146"/>
      <c r="I277" s="146"/>
      <c r="J277" s="146"/>
      <c r="K277" s="146"/>
      <c r="L277" s="146"/>
      <c r="R277" s="157"/>
      <c r="S277" s="157"/>
      <c r="T277" s="157"/>
      <c r="W277" s="157"/>
      <c r="X277" s="157"/>
      <c r="Y277" s="157"/>
      <c r="AB277" s="157"/>
      <c r="AC277" s="157"/>
      <c r="AD277" s="157"/>
      <c r="AG277" s="157"/>
      <c r="AH277" s="157"/>
      <c r="AI277" s="157"/>
    </row>
    <row r="278" spans="2:35" x14ac:dyDescent="0.2">
      <c r="B278" s="146"/>
      <c r="C278" s="146"/>
      <c r="D278" s="146"/>
      <c r="E278" s="146"/>
      <c r="F278" s="146"/>
      <c r="G278" s="146"/>
      <c r="H278" s="146"/>
      <c r="I278" s="146"/>
      <c r="J278" s="146"/>
      <c r="K278" s="146"/>
      <c r="L278" s="146"/>
      <c r="R278" s="157"/>
      <c r="S278" s="157"/>
      <c r="T278" s="157"/>
      <c r="W278" s="157"/>
      <c r="X278" s="157"/>
      <c r="Y278" s="157"/>
      <c r="AB278" s="157"/>
      <c r="AC278" s="157"/>
      <c r="AD278" s="157"/>
      <c r="AG278" s="157"/>
      <c r="AH278" s="157"/>
      <c r="AI278" s="157"/>
    </row>
    <row r="279" spans="2:35" x14ac:dyDescent="0.2">
      <c r="B279" s="146"/>
      <c r="C279" s="146"/>
      <c r="D279" s="146"/>
      <c r="E279" s="146"/>
      <c r="F279" s="146"/>
      <c r="G279" s="146"/>
      <c r="H279" s="146"/>
      <c r="I279" s="146"/>
      <c r="J279" s="146"/>
      <c r="K279" s="146"/>
      <c r="L279" s="146"/>
      <c r="R279" s="157"/>
      <c r="S279" s="157"/>
      <c r="T279" s="157"/>
      <c r="W279" s="157"/>
      <c r="X279" s="157"/>
      <c r="Y279" s="157"/>
      <c r="AB279" s="157"/>
      <c r="AC279" s="157"/>
      <c r="AD279" s="157"/>
      <c r="AG279" s="157"/>
      <c r="AH279" s="157"/>
      <c r="AI279" s="157"/>
    </row>
    <row r="280" spans="2:35" x14ac:dyDescent="0.2">
      <c r="B280" s="146"/>
      <c r="C280" s="146"/>
      <c r="D280" s="146"/>
      <c r="E280" s="146"/>
      <c r="F280" s="146"/>
      <c r="G280" s="146"/>
      <c r="H280" s="146"/>
      <c r="I280" s="146"/>
      <c r="J280" s="146"/>
      <c r="K280" s="146"/>
      <c r="L280" s="146"/>
      <c r="R280" s="157"/>
      <c r="S280" s="157"/>
      <c r="T280" s="157"/>
      <c r="W280" s="157"/>
      <c r="X280" s="157"/>
      <c r="Y280" s="157"/>
      <c r="AB280" s="157"/>
      <c r="AC280" s="157"/>
      <c r="AD280" s="157"/>
      <c r="AG280" s="157"/>
      <c r="AH280" s="157"/>
      <c r="AI280" s="157"/>
    </row>
    <row r="281" spans="2:35" x14ac:dyDescent="0.2">
      <c r="B281" s="146"/>
      <c r="C281" s="146"/>
      <c r="D281" s="146"/>
      <c r="E281" s="146"/>
      <c r="F281" s="146"/>
      <c r="G281" s="146"/>
      <c r="H281" s="146"/>
      <c r="I281" s="146"/>
      <c r="J281" s="146"/>
      <c r="K281" s="146"/>
      <c r="L281" s="146"/>
      <c r="R281" s="157"/>
      <c r="S281" s="157"/>
      <c r="T281" s="157"/>
      <c r="W281" s="157"/>
      <c r="X281" s="157"/>
      <c r="Y281" s="157"/>
      <c r="AB281" s="157"/>
      <c r="AC281" s="157"/>
      <c r="AD281" s="157"/>
      <c r="AG281" s="157"/>
      <c r="AH281" s="157"/>
      <c r="AI281" s="157"/>
    </row>
    <row r="282" spans="2:35" x14ac:dyDescent="0.2">
      <c r="B282" s="146"/>
      <c r="C282" s="146"/>
      <c r="D282" s="146"/>
      <c r="E282" s="146"/>
      <c r="F282" s="146"/>
      <c r="G282" s="146"/>
      <c r="H282" s="146"/>
      <c r="I282" s="146"/>
      <c r="J282" s="146"/>
      <c r="K282" s="146"/>
      <c r="L282" s="146"/>
      <c r="R282" s="157"/>
      <c r="S282" s="157"/>
      <c r="T282" s="157"/>
      <c r="W282" s="157"/>
      <c r="X282" s="157"/>
      <c r="Y282" s="157"/>
      <c r="AB282" s="157"/>
      <c r="AC282" s="157"/>
      <c r="AD282" s="157"/>
      <c r="AG282" s="157"/>
      <c r="AH282" s="157"/>
      <c r="AI282" s="157"/>
    </row>
    <row r="283" spans="2:35" x14ac:dyDescent="0.2">
      <c r="B283" s="146"/>
      <c r="C283" s="146"/>
      <c r="D283" s="146"/>
      <c r="E283" s="146"/>
      <c r="F283" s="146"/>
      <c r="G283" s="146"/>
      <c r="H283" s="146"/>
      <c r="I283" s="146"/>
      <c r="J283" s="146"/>
      <c r="K283" s="146"/>
      <c r="L283" s="146"/>
      <c r="R283" s="157"/>
      <c r="S283" s="157"/>
      <c r="T283" s="157"/>
      <c r="W283" s="157"/>
      <c r="X283" s="157"/>
      <c r="Y283" s="157"/>
      <c r="AB283" s="157"/>
      <c r="AC283" s="157"/>
      <c r="AD283" s="157"/>
      <c r="AG283" s="157"/>
      <c r="AH283" s="157"/>
      <c r="AI283" s="157"/>
    </row>
    <row r="284" spans="2:35" x14ac:dyDescent="0.2">
      <c r="B284" s="146"/>
      <c r="C284" s="146"/>
      <c r="D284" s="146"/>
      <c r="E284" s="146"/>
      <c r="F284" s="146"/>
      <c r="G284" s="146"/>
      <c r="H284" s="146"/>
      <c r="I284" s="146"/>
      <c r="J284" s="146"/>
      <c r="K284" s="146"/>
      <c r="L284" s="146"/>
      <c r="R284" s="157"/>
      <c r="S284" s="157"/>
      <c r="T284" s="157"/>
      <c r="W284" s="157"/>
      <c r="X284" s="157"/>
      <c r="Y284" s="157"/>
      <c r="AB284" s="157"/>
      <c r="AC284" s="157"/>
      <c r="AD284" s="157"/>
      <c r="AG284" s="157"/>
      <c r="AH284" s="157"/>
      <c r="AI284" s="157"/>
    </row>
    <row r="285" spans="2:35" x14ac:dyDescent="0.2">
      <c r="B285" s="146"/>
      <c r="C285" s="146"/>
      <c r="D285" s="146"/>
      <c r="E285" s="146"/>
      <c r="F285" s="146"/>
      <c r="G285" s="146"/>
      <c r="H285" s="146"/>
      <c r="I285" s="146"/>
      <c r="J285" s="146"/>
      <c r="K285" s="146"/>
      <c r="L285" s="146"/>
      <c r="R285" s="157"/>
      <c r="S285" s="157"/>
      <c r="T285" s="157"/>
      <c r="W285" s="157"/>
      <c r="X285" s="157"/>
      <c r="Y285" s="157"/>
      <c r="AB285" s="157"/>
      <c r="AC285" s="157"/>
      <c r="AD285" s="157"/>
      <c r="AG285" s="157"/>
      <c r="AH285" s="157"/>
      <c r="AI285" s="157"/>
    </row>
    <row r="286" spans="2:35" x14ac:dyDescent="0.2">
      <c r="B286" s="146"/>
      <c r="C286" s="146"/>
      <c r="D286" s="146"/>
      <c r="E286" s="146"/>
      <c r="F286" s="146"/>
      <c r="G286" s="146"/>
      <c r="H286" s="146"/>
      <c r="I286" s="146"/>
      <c r="J286" s="146"/>
      <c r="K286" s="146"/>
      <c r="L286" s="146"/>
      <c r="R286" s="157"/>
      <c r="S286" s="157"/>
      <c r="T286" s="157"/>
      <c r="W286" s="157"/>
      <c r="X286" s="157"/>
      <c r="Y286" s="157"/>
      <c r="AB286" s="157"/>
      <c r="AC286" s="157"/>
      <c r="AD286" s="157"/>
      <c r="AG286" s="157"/>
      <c r="AH286" s="157"/>
      <c r="AI286" s="157"/>
    </row>
    <row r="287" spans="2:35" x14ac:dyDescent="0.2">
      <c r="B287" s="146"/>
      <c r="C287" s="146"/>
      <c r="D287" s="146"/>
      <c r="E287" s="146"/>
      <c r="F287" s="146"/>
      <c r="G287" s="146"/>
      <c r="H287" s="146"/>
      <c r="I287" s="146"/>
      <c r="J287" s="146"/>
      <c r="K287" s="146"/>
      <c r="L287" s="146"/>
      <c r="R287" s="157"/>
      <c r="S287" s="157"/>
      <c r="T287" s="157"/>
      <c r="W287" s="157"/>
      <c r="X287" s="157"/>
      <c r="Y287" s="157"/>
      <c r="AB287" s="157"/>
      <c r="AC287" s="157"/>
      <c r="AD287" s="157"/>
      <c r="AG287" s="157"/>
      <c r="AH287" s="157"/>
      <c r="AI287" s="157"/>
    </row>
    <row r="288" spans="2:35" x14ac:dyDescent="0.2">
      <c r="B288" s="146"/>
      <c r="C288" s="146"/>
      <c r="D288" s="146"/>
      <c r="E288" s="146"/>
      <c r="F288" s="146"/>
      <c r="G288" s="146"/>
      <c r="H288" s="146"/>
      <c r="I288" s="146"/>
      <c r="J288" s="146"/>
      <c r="K288" s="146"/>
      <c r="L288" s="146"/>
      <c r="R288" s="157"/>
      <c r="S288" s="157"/>
      <c r="T288" s="157"/>
      <c r="W288" s="157"/>
      <c r="X288" s="157"/>
      <c r="Y288" s="157"/>
      <c r="AB288" s="157"/>
      <c r="AC288" s="157"/>
      <c r="AD288" s="157"/>
      <c r="AG288" s="157"/>
      <c r="AH288" s="157"/>
      <c r="AI288" s="157"/>
    </row>
    <row r="289" spans="2:35" x14ac:dyDescent="0.2">
      <c r="B289" s="146"/>
      <c r="C289" s="146"/>
      <c r="D289" s="146"/>
      <c r="E289" s="146"/>
      <c r="F289" s="146"/>
      <c r="G289" s="146"/>
      <c r="H289" s="146"/>
      <c r="I289" s="146"/>
      <c r="J289" s="146"/>
      <c r="K289" s="146"/>
      <c r="L289" s="146"/>
      <c r="R289" s="157"/>
      <c r="S289" s="157"/>
      <c r="T289" s="157"/>
      <c r="W289" s="157"/>
      <c r="X289" s="157"/>
      <c r="Y289" s="157"/>
      <c r="AB289" s="157"/>
      <c r="AC289" s="157"/>
      <c r="AD289" s="157"/>
      <c r="AG289" s="157"/>
      <c r="AH289" s="157"/>
      <c r="AI289" s="157"/>
    </row>
    <row r="290" spans="2:35" x14ac:dyDescent="0.2">
      <c r="B290" s="146"/>
      <c r="C290" s="146"/>
      <c r="D290" s="146"/>
      <c r="E290" s="146"/>
      <c r="F290" s="146"/>
      <c r="G290" s="146"/>
      <c r="H290" s="146"/>
      <c r="I290" s="146"/>
      <c r="J290" s="146"/>
      <c r="K290" s="146"/>
      <c r="L290" s="146"/>
      <c r="R290" s="157"/>
      <c r="S290" s="157"/>
      <c r="T290" s="157"/>
      <c r="W290" s="157"/>
      <c r="X290" s="157"/>
      <c r="Y290" s="157"/>
      <c r="AB290" s="157"/>
      <c r="AC290" s="157"/>
      <c r="AD290" s="157"/>
      <c r="AG290" s="157"/>
      <c r="AH290" s="157"/>
      <c r="AI290" s="157"/>
    </row>
    <row r="291" spans="2:35" x14ac:dyDescent="0.2">
      <c r="B291" s="146"/>
      <c r="C291" s="146"/>
      <c r="D291" s="146"/>
      <c r="E291" s="146"/>
      <c r="F291" s="146"/>
      <c r="G291" s="146"/>
      <c r="H291" s="146"/>
      <c r="I291" s="146"/>
      <c r="J291" s="146"/>
      <c r="K291" s="146"/>
      <c r="L291" s="146"/>
      <c r="R291" s="157"/>
      <c r="S291" s="157"/>
      <c r="T291" s="157"/>
      <c r="W291" s="157"/>
      <c r="X291" s="157"/>
      <c r="Y291" s="157"/>
      <c r="AB291" s="157"/>
      <c r="AC291" s="157"/>
      <c r="AD291" s="157"/>
      <c r="AG291" s="157"/>
      <c r="AH291" s="157"/>
      <c r="AI291" s="157"/>
    </row>
    <row r="292" spans="2:35" x14ac:dyDescent="0.2">
      <c r="B292" s="146"/>
      <c r="C292" s="146"/>
      <c r="D292" s="146"/>
      <c r="E292" s="146"/>
      <c r="F292" s="146"/>
      <c r="G292" s="146"/>
      <c r="H292" s="146"/>
      <c r="I292" s="146"/>
      <c r="J292" s="146"/>
      <c r="K292" s="146"/>
      <c r="L292" s="146"/>
      <c r="R292" s="157"/>
      <c r="S292" s="157"/>
      <c r="T292" s="157"/>
      <c r="W292" s="157"/>
      <c r="X292" s="157"/>
      <c r="Y292" s="157"/>
      <c r="AB292" s="157"/>
      <c r="AC292" s="157"/>
      <c r="AD292" s="157"/>
      <c r="AG292" s="157"/>
      <c r="AH292" s="157"/>
      <c r="AI292" s="157"/>
    </row>
    <row r="293" spans="2:35" x14ac:dyDescent="0.2">
      <c r="B293" s="146"/>
      <c r="C293" s="146"/>
      <c r="D293" s="146"/>
      <c r="E293" s="146"/>
      <c r="F293" s="146"/>
      <c r="G293" s="146"/>
      <c r="H293" s="146"/>
      <c r="I293" s="146"/>
      <c r="J293" s="146"/>
      <c r="K293" s="146"/>
      <c r="L293" s="146"/>
      <c r="R293" s="157"/>
      <c r="S293" s="157"/>
      <c r="T293" s="157"/>
      <c r="W293" s="157"/>
      <c r="X293" s="157"/>
      <c r="Y293" s="157"/>
      <c r="AB293" s="157"/>
      <c r="AC293" s="157"/>
      <c r="AD293" s="157"/>
      <c r="AG293" s="157"/>
      <c r="AH293" s="157"/>
      <c r="AI293" s="157"/>
    </row>
    <row r="294" spans="2:35" x14ac:dyDescent="0.2">
      <c r="B294" s="146"/>
      <c r="C294" s="146"/>
      <c r="D294" s="146"/>
      <c r="E294" s="146"/>
      <c r="F294" s="146"/>
      <c r="G294" s="146"/>
      <c r="H294" s="146"/>
      <c r="I294" s="146"/>
      <c r="J294" s="146"/>
      <c r="K294" s="146"/>
      <c r="L294" s="146"/>
      <c r="R294" s="157"/>
      <c r="S294" s="157"/>
      <c r="T294" s="157"/>
      <c r="W294" s="157"/>
      <c r="X294" s="157"/>
      <c r="Y294" s="157"/>
      <c r="AB294" s="157"/>
      <c r="AC294" s="157"/>
      <c r="AD294" s="157"/>
      <c r="AG294" s="157"/>
      <c r="AH294" s="157"/>
      <c r="AI294" s="157"/>
    </row>
    <row r="295" spans="2:35" x14ac:dyDescent="0.2">
      <c r="B295" s="146"/>
      <c r="C295" s="146"/>
      <c r="D295" s="146"/>
      <c r="E295" s="146"/>
      <c r="F295" s="146"/>
      <c r="G295" s="146"/>
      <c r="H295" s="146"/>
      <c r="I295" s="146"/>
      <c r="J295" s="146"/>
      <c r="K295" s="146"/>
      <c r="L295" s="146"/>
      <c r="R295" s="157"/>
      <c r="S295" s="157"/>
      <c r="T295" s="157"/>
      <c r="W295" s="157"/>
      <c r="X295" s="157"/>
      <c r="Y295" s="157"/>
      <c r="AB295" s="157"/>
      <c r="AC295" s="157"/>
      <c r="AD295" s="157"/>
      <c r="AG295" s="157"/>
      <c r="AH295" s="157"/>
      <c r="AI295" s="157"/>
    </row>
    <row r="296" spans="2:35" x14ac:dyDescent="0.2">
      <c r="B296" s="146"/>
      <c r="C296" s="146"/>
      <c r="D296" s="146"/>
      <c r="E296" s="146"/>
      <c r="F296" s="146"/>
      <c r="G296" s="146"/>
      <c r="H296" s="146"/>
      <c r="I296" s="146"/>
      <c r="J296" s="146"/>
      <c r="K296" s="146"/>
      <c r="L296" s="146"/>
      <c r="R296" s="157"/>
      <c r="S296" s="157"/>
      <c r="T296" s="157"/>
      <c r="W296" s="157"/>
      <c r="X296" s="157"/>
      <c r="Y296" s="157"/>
      <c r="AB296" s="157"/>
      <c r="AC296" s="157"/>
      <c r="AD296" s="157"/>
      <c r="AG296" s="157"/>
      <c r="AH296" s="157"/>
      <c r="AI296" s="157"/>
    </row>
    <row r="297" spans="2:35" x14ac:dyDescent="0.2">
      <c r="B297" s="146"/>
      <c r="C297" s="146"/>
      <c r="D297" s="146"/>
      <c r="E297" s="146"/>
      <c r="F297" s="146"/>
      <c r="G297" s="146"/>
      <c r="H297" s="146"/>
      <c r="I297" s="146"/>
      <c r="J297" s="146"/>
      <c r="K297" s="146"/>
      <c r="L297" s="146"/>
      <c r="R297" s="157"/>
      <c r="S297" s="157"/>
      <c r="T297" s="157"/>
      <c r="W297" s="157"/>
      <c r="X297" s="157"/>
      <c r="Y297" s="157"/>
      <c r="AB297" s="157"/>
      <c r="AC297" s="157"/>
      <c r="AD297" s="157"/>
      <c r="AG297" s="157"/>
      <c r="AH297" s="157"/>
      <c r="AI297" s="157"/>
    </row>
    <row r="298" spans="2:35" x14ac:dyDescent="0.2">
      <c r="B298" s="146"/>
      <c r="C298" s="146"/>
      <c r="D298" s="146"/>
      <c r="E298" s="146"/>
      <c r="F298" s="146"/>
      <c r="G298" s="146"/>
      <c r="H298" s="146"/>
      <c r="I298" s="146"/>
      <c r="J298" s="146"/>
      <c r="K298" s="146"/>
      <c r="L298" s="146"/>
      <c r="R298" s="157"/>
      <c r="S298" s="157"/>
      <c r="T298" s="157"/>
      <c r="W298" s="157"/>
      <c r="X298" s="157"/>
      <c r="Y298" s="157"/>
      <c r="AB298" s="157"/>
      <c r="AC298" s="157"/>
      <c r="AD298" s="157"/>
      <c r="AG298" s="157"/>
      <c r="AH298" s="157"/>
      <c r="AI298" s="157"/>
    </row>
    <row r="299" spans="2:35" x14ac:dyDescent="0.2">
      <c r="B299" s="146"/>
      <c r="C299" s="146"/>
      <c r="D299" s="146"/>
      <c r="E299" s="146"/>
      <c r="F299" s="146"/>
      <c r="G299" s="146"/>
      <c r="H299" s="146"/>
      <c r="I299" s="146"/>
      <c r="J299" s="146"/>
      <c r="K299" s="146"/>
      <c r="L299" s="146"/>
      <c r="R299" s="157"/>
      <c r="S299" s="157"/>
      <c r="T299" s="157"/>
      <c r="W299" s="157"/>
      <c r="X299" s="157"/>
      <c r="Y299" s="157"/>
      <c r="AB299" s="157"/>
      <c r="AC299" s="157"/>
      <c r="AD299" s="157"/>
      <c r="AG299" s="157"/>
      <c r="AH299" s="157"/>
      <c r="AI299" s="157"/>
    </row>
    <row r="300" spans="2:35" x14ac:dyDescent="0.2">
      <c r="B300" s="146"/>
      <c r="C300" s="146"/>
      <c r="D300" s="146"/>
      <c r="E300" s="146"/>
      <c r="F300" s="146"/>
      <c r="G300" s="146"/>
      <c r="H300" s="146"/>
      <c r="I300" s="146"/>
      <c r="J300" s="146"/>
      <c r="K300" s="146"/>
      <c r="L300" s="146"/>
      <c r="R300" s="157"/>
      <c r="S300" s="157"/>
      <c r="T300" s="157"/>
      <c r="W300" s="157"/>
      <c r="X300" s="157"/>
      <c r="Y300" s="157"/>
      <c r="AB300" s="157"/>
      <c r="AC300" s="157"/>
      <c r="AD300" s="157"/>
      <c r="AG300" s="157"/>
      <c r="AH300" s="157"/>
      <c r="AI300" s="157"/>
    </row>
    <row r="301" spans="2:35" x14ac:dyDescent="0.2">
      <c r="B301" s="146"/>
      <c r="C301" s="146"/>
      <c r="D301" s="146"/>
      <c r="E301" s="146"/>
      <c r="F301" s="146"/>
      <c r="G301" s="146"/>
      <c r="H301" s="146"/>
      <c r="I301" s="146"/>
      <c r="J301" s="146"/>
      <c r="K301" s="146"/>
      <c r="L301" s="146"/>
      <c r="R301" s="157"/>
      <c r="S301" s="157"/>
      <c r="T301" s="157"/>
      <c r="W301" s="157"/>
      <c r="X301" s="157"/>
      <c r="Y301" s="157"/>
      <c r="AB301" s="157"/>
      <c r="AC301" s="157"/>
      <c r="AD301" s="157"/>
      <c r="AG301" s="157"/>
      <c r="AH301" s="157"/>
      <c r="AI301" s="157"/>
    </row>
    <row r="302" spans="2:35" x14ac:dyDescent="0.2">
      <c r="B302" s="146"/>
      <c r="C302" s="146"/>
      <c r="D302" s="146"/>
      <c r="E302" s="146"/>
      <c r="F302" s="146"/>
      <c r="G302" s="146"/>
      <c r="H302" s="146"/>
      <c r="I302" s="146"/>
      <c r="J302" s="146"/>
      <c r="K302" s="146"/>
      <c r="L302" s="146"/>
      <c r="R302" s="157"/>
      <c r="S302" s="157"/>
      <c r="T302" s="157"/>
      <c r="W302" s="157"/>
      <c r="X302" s="157"/>
      <c r="Y302" s="157"/>
      <c r="AB302" s="157"/>
      <c r="AC302" s="157"/>
      <c r="AD302" s="157"/>
      <c r="AG302" s="157"/>
      <c r="AH302" s="157"/>
      <c r="AI302" s="157"/>
    </row>
    <row r="303" spans="2:35" x14ac:dyDescent="0.2">
      <c r="B303" s="146"/>
      <c r="C303" s="146"/>
      <c r="D303" s="146"/>
      <c r="E303" s="146"/>
      <c r="F303" s="146"/>
      <c r="G303" s="146"/>
      <c r="H303" s="146"/>
      <c r="I303" s="146"/>
      <c r="J303" s="146"/>
      <c r="K303" s="146"/>
      <c r="L303" s="146"/>
      <c r="R303" s="157"/>
      <c r="S303" s="157"/>
      <c r="T303" s="157"/>
      <c r="W303" s="157"/>
      <c r="X303" s="157"/>
      <c r="Y303" s="157"/>
      <c r="AB303" s="157"/>
      <c r="AC303" s="157"/>
      <c r="AD303" s="157"/>
      <c r="AG303" s="157"/>
      <c r="AH303" s="157"/>
      <c r="AI303" s="157"/>
    </row>
    <row r="304" spans="2:35" x14ac:dyDescent="0.2">
      <c r="B304" s="146"/>
      <c r="C304" s="146"/>
      <c r="D304" s="146"/>
      <c r="E304" s="146"/>
      <c r="F304" s="146"/>
      <c r="G304" s="146"/>
      <c r="H304" s="146"/>
      <c r="I304" s="146"/>
      <c r="J304" s="146"/>
      <c r="K304" s="146"/>
      <c r="L304" s="146"/>
      <c r="R304" s="157"/>
      <c r="S304" s="157"/>
      <c r="T304" s="157"/>
      <c r="W304" s="157"/>
      <c r="X304" s="157"/>
      <c r="Y304" s="157"/>
      <c r="AB304" s="157"/>
      <c r="AC304" s="157"/>
      <c r="AD304" s="157"/>
      <c r="AG304" s="157"/>
      <c r="AH304" s="157"/>
      <c r="AI304" s="157"/>
    </row>
    <row r="305" spans="2:35" x14ac:dyDescent="0.2">
      <c r="B305" s="146"/>
      <c r="C305" s="146"/>
      <c r="D305" s="146"/>
      <c r="E305" s="146"/>
      <c r="F305" s="146"/>
      <c r="G305" s="146"/>
      <c r="H305" s="146"/>
      <c r="I305" s="146"/>
      <c r="J305" s="146"/>
      <c r="K305" s="146"/>
      <c r="L305" s="146"/>
      <c r="R305" s="157"/>
      <c r="S305" s="157"/>
      <c r="T305" s="157"/>
      <c r="W305" s="157"/>
      <c r="X305" s="157"/>
      <c r="Y305" s="157"/>
      <c r="AB305" s="157"/>
      <c r="AC305" s="157"/>
      <c r="AD305" s="157"/>
      <c r="AG305" s="157"/>
      <c r="AH305" s="157"/>
      <c r="AI305" s="157"/>
    </row>
    <row r="306" spans="2:35" x14ac:dyDescent="0.2">
      <c r="B306" s="146"/>
      <c r="C306" s="146"/>
      <c r="D306" s="146"/>
      <c r="E306" s="146"/>
      <c r="F306" s="146"/>
      <c r="G306" s="146"/>
      <c r="H306" s="146"/>
      <c r="I306" s="146"/>
      <c r="J306" s="146"/>
      <c r="K306" s="146"/>
      <c r="L306" s="146"/>
      <c r="R306" s="157"/>
      <c r="S306" s="157"/>
      <c r="T306" s="157"/>
      <c r="W306" s="157"/>
      <c r="X306" s="157"/>
      <c r="Y306" s="157"/>
      <c r="AB306" s="157"/>
      <c r="AC306" s="157"/>
      <c r="AD306" s="157"/>
      <c r="AG306" s="157"/>
      <c r="AH306" s="157"/>
      <c r="AI306" s="157"/>
    </row>
    <row r="307" spans="2:35" x14ac:dyDescent="0.2">
      <c r="B307" s="146"/>
      <c r="C307" s="146"/>
      <c r="D307" s="146"/>
      <c r="E307" s="146"/>
      <c r="F307" s="146"/>
      <c r="G307" s="146"/>
      <c r="H307" s="146"/>
      <c r="I307" s="146"/>
      <c r="J307" s="146"/>
      <c r="K307" s="146"/>
      <c r="L307" s="146"/>
      <c r="R307" s="157"/>
      <c r="S307" s="157"/>
      <c r="T307" s="157"/>
      <c r="W307" s="157"/>
      <c r="X307" s="157"/>
      <c r="Y307" s="157"/>
      <c r="AB307" s="157"/>
      <c r="AC307" s="157"/>
      <c r="AD307" s="157"/>
      <c r="AG307" s="157"/>
      <c r="AH307" s="157"/>
      <c r="AI307" s="157"/>
    </row>
    <row r="308" spans="2:35" x14ac:dyDescent="0.2">
      <c r="B308" s="146"/>
      <c r="C308" s="146"/>
      <c r="D308" s="146"/>
      <c r="E308" s="146"/>
      <c r="F308" s="146"/>
      <c r="G308" s="146"/>
      <c r="H308" s="146"/>
      <c r="I308" s="146"/>
      <c r="J308" s="146"/>
      <c r="K308" s="146"/>
      <c r="L308" s="146"/>
      <c r="R308" s="157"/>
      <c r="S308" s="157"/>
      <c r="T308" s="157"/>
      <c r="W308" s="157"/>
      <c r="X308" s="157"/>
      <c r="Y308" s="157"/>
      <c r="AB308" s="157"/>
      <c r="AC308" s="157"/>
      <c r="AD308" s="157"/>
      <c r="AG308" s="157"/>
      <c r="AH308" s="157"/>
      <c r="AI308" s="157"/>
    </row>
    <row r="309" spans="2:35" x14ac:dyDescent="0.2">
      <c r="B309" s="146"/>
      <c r="C309" s="146"/>
      <c r="D309" s="146"/>
      <c r="E309" s="146"/>
      <c r="F309" s="146"/>
      <c r="G309" s="146"/>
      <c r="H309" s="146"/>
      <c r="I309" s="146"/>
      <c r="J309" s="146"/>
      <c r="K309" s="146"/>
      <c r="L309" s="146"/>
      <c r="R309" s="157"/>
      <c r="S309" s="157"/>
      <c r="T309" s="157"/>
      <c r="W309" s="157"/>
      <c r="X309" s="157"/>
      <c r="Y309" s="157"/>
      <c r="AB309" s="157"/>
      <c r="AC309" s="157"/>
      <c r="AD309" s="157"/>
      <c r="AG309" s="157"/>
      <c r="AH309" s="157"/>
      <c r="AI309" s="157"/>
    </row>
    <row r="310" spans="2:35" x14ac:dyDescent="0.2">
      <c r="B310" s="146"/>
      <c r="C310" s="146"/>
      <c r="D310" s="146"/>
      <c r="E310" s="146"/>
      <c r="F310" s="146"/>
      <c r="G310" s="146"/>
      <c r="H310" s="146"/>
      <c r="I310" s="146"/>
      <c r="J310" s="146"/>
      <c r="K310" s="146"/>
      <c r="L310" s="146"/>
      <c r="R310" s="157"/>
      <c r="S310" s="157"/>
      <c r="T310" s="157"/>
      <c r="W310" s="157"/>
      <c r="X310" s="157"/>
      <c r="Y310" s="157"/>
      <c r="AB310" s="157"/>
      <c r="AC310" s="157"/>
      <c r="AD310" s="157"/>
      <c r="AG310" s="157"/>
      <c r="AH310" s="157"/>
      <c r="AI310" s="157"/>
    </row>
    <row r="311" spans="2:35" x14ac:dyDescent="0.2">
      <c r="B311" s="146"/>
      <c r="C311" s="146"/>
      <c r="D311" s="146"/>
      <c r="E311" s="146"/>
      <c r="F311" s="146"/>
      <c r="G311" s="146"/>
      <c r="H311" s="146"/>
      <c r="I311" s="146"/>
      <c r="J311" s="146"/>
      <c r="K311" s="146"/>
      <c r="L311" s="146"/>
      <c r="R311" s="157"/>
      <c r="S311" s="157"/>
      <c r="T311" s="157"/>
      <c r="W311" s="157"/>
      <c r="X311" s="157"/>
      <c r="Y311" s="157"/>
      <c r="AB311" s="157"/>
      <c r="AC311" s="157"/>
      <c r="AD311" s="157"/>
      <c r="AG311" s="157"/>
      <c r="AH311" s="157"/>
      <c r="AI311" s="157"/>
    </row>
    <row r="312" spans="2:35" x14ac:dyDescent="0.2">
      <c r="B312" s="146"/>
      <c r="C312" s="146"/>
      <c r="D312" s="146"/>
      <c r="E312" s="146"/>
      <c r="F312" s="146"/>
      <c r="G312" s="146"/>
      <c r="H312" s="146"/>
      <c r="I312" s="146"/>
      <c r="J312" s="146"/>
      <c r="K312" s="146"/>
      <c r="L312" s="146"/>
      <c r="R312" s="157"/>
      <c r="S312" s="157"/>
      <c r="T312" s="157"/>
      <c r="W312" s="157"/>
      <c r="X312" s="157"/>
      <c r="Y312" s="157"/>
      <c r="AB312" s="157"/>
      <c r="AC312" s="157"/>
      <c r="AD312" s="157"/>
      <c r="AG312" s="157"/>
      <c r="AH312" s="157"/>
      <c r="AI312" s="157"/>
    </row>
    <row r="313" spans="2:35" x14ac:dyDescent="0.2">
      <c r="B313" s="146"/>
      <c r="C313" s="146"/>
      <c r="D313" s="146"/>
      <c r="E313" s="146"/>
      <c r="F313" s="146"/>
      <c r="G313" s="146"/>
      <c r="H313" s="146"/>
      <c r="I313" s="146"/>
      <c r="J313" s="146"/>
      <c r="K313" s="146"/>
      <c r="L313" s="146"/>
      <c r="R313" s="157"/>
      <c r="S313" s="157"/>
      <c r="T313" s="157"/>
      <c r="W313" s="157"/>
      <c r="X313" s="157"/>
      <c r="Y313" s="157"/>
      <c r="AB313" s="157"/>
      <c r="AC313" s="157"/>
      <c r="AD313" s="157"/>
      <c r="AG313" s="157"/>
      <c r="AH313" s="157"/>
      <c r="AI313" s="157"/>
    </row>
    <row r="314" spans="2:35" x14ac:dyDescent="0.2">
      <c r="B314" s="146"/>
      <c r="C314" s="146"/>
      <c r="D314" s="146"/>
      <c r="E314" s="146"/>
      <c r="F314" s="146"/>
      <c r="G314" s="146"/>
      <c r="H314" s="146"/>
      <c r="I314" s="146"/>
      <c r="J314" s="146"/>
      <c r="K314" s="146"/>
      <c r="L314" s="146"/>
      <c r="R314" s="157"/>
      <c r="S314" s="157"/>
      <c r="T314" s="157"/>
      <c r="W314" s="157"/>
      <c r="X314" s="157"/>
      <c r="Y314" s="157"/>
      <c r="AB314" s="157"/>
      <c r="AC314" s="157"/>
      <c r="AD314" s="157"/>
      <c r="AG314" s="157"/>
      <c r="AH314" s="157"/>
      <c r="AI314" s="157"/>
    </row>
    <row r="315" spans="2:35" x14ac:dyDescent="0.2">
      <c r="B315" s="146"/>
      <c r="C315" s="146"/>
      <c r="D315" s="146"/>
      <c r="E315" s="146"/>
      <c r="F315" s="146"/>
      <c r="G315" s="146"/>
      <c r="H315" s="146"/>
      <c r="I315" s="146"/>
      <c r="J315" s="146"/>
      <c r="K315" s="146"/>
      <c r="L315" s="146"/>
      <c r="R315" s="157"/>
      <c r="S315" s="157"/>
      <c r="T315" s="157"/>
      <c r="W315" s="157"/>
      <c r="X315" s="157"/>
      <c r="Y315" s="157"/>
      <c r="AB315" s="157"/>
      <c r="AC315" s="157"/>
      <c r="AD315" s="157"/>
      <c r="AG315" s="157"/>
      <c r="AH315" s="157"/>
      <c r="AI315" s="157"/>
    </row>
    <row r="316" spans="2:35" x14ac:dyDescent="0.2">
      <c r="B316" s="146"/>
      <c r="C316" s="146"/>
      <c r="D316" s="146"/>
      <c r="E316" s="146"/>
      <c r="F316" s="146"/>
      <c r="G316" s="146"/>
      <c r="H316" s="146"/>
      <c r="I316" s="146"/>
      <c r="J316" s="146"/>
      <c r="K316" s="146"/>
      <c r="L316" s="146"/>
      <c r="R316" s="157"/>
      <c r="S316" s="157"/>
      <c r="T316" s="157"/>
      <c r="W316" s="157"/>
      <c r="X316" s="157"/>
      <c r="Y316" s="157"/>
      <c r="AB316" s="157"/>
      <c r="AC316" s="157"/>
      <c r="AD316" s="157"/>
      <c r="AG316" s="157"/>
      <c r="AH316" s="157"/>
      <c r="AI316" s="157"/>
    </row>
    <row r="317" spans="2:35" x14ac:dyDescent="0.2">
      <c r="B317" s="146"/>
      <c r="C317" s="146"/>
      <c r="D317" s="146"/>
      <c r="E317" s="146"/>
      <c r="F317" s="146"/>
      <c r="G317" s="146"/>
      <c r="H317" s="146"/>
      <c r="I317" s="146"/>
      <c r="J317" s="146"/>
      <c r="K317" s="146"/>
      <c r="L317" s="146"/>
      <c r="R317" s="157"/>
      <c r="S317" s="157"/>
      <c r="T317" s="157"/>
      <c r="W317" s="157"/>
      <c r="X317" s="157"/>
      <c r="Y317" s="157"/>
      <c r="AB317" s="157"/>
      <c r="AC317" s="157"/>
      <c r="AD317" s="157"/>
      <c r="AG317" s="157"/>
      <c r="AH317" s="157"/>
      <c r="AI317" s="157"/>
    </row>
    <row r="318" spans="2:35" x14ac:dyDescent="0.2">
      <c r="B318" s="146"/>
      <c r="C318" s="146"/>
      <c r="D318" s="146"/>
      <c r="E318" s="146"/>
      <c r="F318" s="146"/>
      <c r="G318" s="146"/>
      <c r="H318" s="146"/>
      <c r="I318" s="146"/>
      <c r="J318" s="146"/>
      <c r="K318" s="146"/>
      <c r="L318" s="146"/>
      <c r="R318" s="157"/>
      <c r="S318" s="157"/>
      <c r="T318" s="157"/>
      <c r="W318" s="157"/>
      <c r="X318" s="157"/>
      <c r="Y318" s="157"/>
      <c r="AB318" s="157"/>
      <c r="AC318" s="157"/>
      <c r="AD318" s="157"/>
      <c r="AG318" s="157"/>
      <c r="AH318" s="157"/>
      <c r="AI318" s="157"/>
    </row>
    <row r="319" spans="2:35" x14ac:dyDescent="0.2">
      <c r="B319" s="146"/>
      <c r="C319" s="146"/>
      <c r="D319" s="146"/>
      <c r="E319" s="146"/>
      <c r="F319" s="146"/>
      <c r="G319" s="146"/>
      <c r="H319" s="146"/>
      <c r="I319" s="146"/>
      <c r="J319" s="146"/>
      <c r="K319" s="146"/>
      <c r="L319" s="146"/>
      <c r="R319" s="157"/>
      <c r="S319" s="157"/>
      <c r="T319" s="157"/>
      <c r="W319" s="157"/>
      <c r="X319" s="157"/>
      <c r="Y319" s="157"/>
      <c r="AB319" s="157"/>
      <c r="AC319" s="157"/>
      <c r="AD319" s="157"/>
      <c r="AG319" s="157"/>
      <c r="AH319" s="157"/>
      <c r="AI319" s="157"/>
    </row>
    <row r="320" spans="2:35" x14ac:dyDescent="0.2">
      <c r="B320" s="146"/>
      <c r="C320" s="146"/>
      <c r="D320" s="146"/>
      <c r="E320" s="146"/>
      <c r="F320" s="146"/>
      <c r="G320" s="146"/>
      <c r="H320" s="146"/>
      <c r="I320" s="146"/>
      <c r="J320" s="146"/>
      <c r="K320" s="146"/>
      <c r="L320" s="146"/>
      <c r="R320" s="157"/>
      <c r="S320" s="157"/>
      <c r="T320" s="157"/>
      <c r="W320" s="157"/>
      <c r="X320" s="157"/>
      <c r="Y320" s="157"/>
      <c r="AB320" s="157"/>
      <c r="AC320" s="157"/>
      <c r="AD320" s="157"/>
      <c r="AG320" s="157"/>
      <c r="AH320" s="157"/>
      <c r="AI320" s="157"/>
    </row>
    <row r="321" spans="2:35" x14ac:dyDescent="0.2">
      <c r="B321" s="146"/>
      <c r="C321" s="146"/>
      <c r="D321" s="146"/>
      <c r="E321" s="146"/>
      <c r="F321" s="146"/>
      <c r="G321" s="146"/>
      <c r="H321" s="146"/>
      <c r="I321" s="146"/>
      <c r="J321" s="146"/>
      <c r="K321" s="146"/>
      <c r="L321" s="146"/>
      <c r="R321" s="157"/>
      <c r="S321" s="157"/>
      <c r="T321" s="157"/>
      <c r="W321" s="157"/>
      <c r="X321" s="157"/>
      <c r="Y321" s="157"/>
      <c r="AB321" s="157"/>
      <c r="AC321" s="157"/>
      <c r="AD321" s="157"/>
      <c r="AG321" s="157"/>
      <c r="AH321" s="157"/>
      <c r="AI321" s="157"/>
    </row>
    <row r="322" spans="2:35" x14ac:dyDescent="0.2">
      <c r="B322" s="146"/>
      <c r="C322" s="146"/>
      <c r="D322" s="146"/>
      <c r="E322" s="146"/>
      <c r="F322" s="146"/>
      <c r="G322" s="146"/>
      <c r="H322" s="146"/>
      <c r="I322" s="146"/>
      <c r="J322" s="146"/>
      <c r="K322" s="146"/>
      <c r="L322" s="146"/>
      <c r="R322" s="157"/>
      <c r="S322" s="157"/>
      <c r="T322" s="157"/>
      <c r="W322" s="157"/>
      <c r="X322" s="157"/>
      <c r="Y322" s="157"/>
      <c r="AB322" s="157"/>
      <c r="AC322" s="157"/>
      <c r="AD322" s="157"/>
      <c r="AG322" s="157"/>
      <c r="AH322" s="157"/>
      <c r="AI322" s="157"/>
    </row>
    <row r="323" spans="2:35" x14ac:dyDescent="0.2">
      <c r="B323" s="146"/>
      <c r="C323" s="146"/>
      <c r="D323" s="146"/>
      <c r="E323" s="146"/>
      <c r="F323" s="146"/>
      <c r="G323" s="146"/>
      <c r="H323" s="146"/>
      <c r="I323" s="146"/>
      <c r="J323" s="146"/>
      <c r="K323" s="146"/>
      <c r="L323" s="146"/>
      <c r="R323" s="157"/>
      <c r="S323" s="157"/>
      <c r="T323" s="157"/>
      <c r="W323" s="157"/>
      <c r="X323" s="157"/>
      <c r="Y323" s="157"/>
      <c r="AB323" s="157"/>
      <c r="AC323" s="157"/>
      <c r="AD323" s="157"/>
      <c r="AG323" s="157"/>
      <c r="AH323" s="157"/>
      <c r="AI323" s="157"/>
    </row>
    <row r="324" spans="2:35" x14ac:dyDescent="0.2">
      <c r="B324" s="146"/>
      <c r="C324" s="146"/>
      <c r="D324" s="146"/>
      <c r="E324" s="146"/>
      <c r="F324" s="146"/>
      <c r="G324" s="146"/>
      <c r="H324" s="146"/>
      <c r="I324" s="146"/>
      <c r="J324" s="146"/>
      <c r="K324" s="146"/>
      <c r="L324" s="146"/>
      <c r="R324" s="157"/>
      <c r="S324" s="157"/>
      <c r="T324" s="157"/>
      <c r="W324" s="157"/>
      <c r="X324" s="157"/>
      <c r="Y324" s="157"/>
      <c r="AB324" s="157"/>
      <c r="AC324" s="157"/>
      <c r="AD324" s="157"/>
      <c r="AG324" s="157"/>
      <c r="AH324" s="157"/>
      <c r="AI324" s="157"/>
    </row>
    <row r="325" spans="2:35" x14ac:dyDescent="0.2">
      <c r="B325" s="146"/>
      <c r="C325" s="146"/>
      <c r="D325" s="146"/>
      <c r="E325" s="146"/>
      <c r="F325" s="146"/>
      <c r="G325" s="146"/>
      <c r="H325" s="146"/>
      <c r="I325" s="146"/>
      <c r="J325" s="146"/>
      <c r="K325" s="146"/>
      <c r="L325" s="146"/>
      <c r="R325" s="157"/>
      <c r="S325" s="157"/>
      <c r="T325" s="157"/>
      <c r="W325" s="157"/>
      <c r="X325" s="157"/>
      <c r="Y325" s="157"/>
      <c r="AB325" s="157"/>
      <c r="AC325" s="157"/>
      <c r="AD325" s="157"/>
      <c r="AG325" s="157"/>
      <c r="AH325" s="157"/>
      <c r="AI325" s="157"/>
    </row>
    <row r="326" spans="2:35" x14ac:dyDescent="0.2">
      <c r="B326" s="146"/>
      <c r="C326" s="146"/>
      <c r="D326" s="146"/>
      <c r="E326" s="146"/>
      <c r="F326" s="146"/>
      <c r="G326" s="146"/>
      <c r="H326" s="146"/>
      <c r="I326" s="146"/>
      <c r="J326" s="146"/>
      <c r="K326" s="146"/>
      <c r="L326" s="146"/>
      <c r="R326" s="157"/>
      <c r="S326" s="157"/>
      <c r="T326" s="157"/>
      <c r="W326" s="157"/>
      <c r="X326" s="157"/>
      <c r="Y326" s="157"/>
      <c r="AB326" s="157"/>
      <c r="AC326" s="157"/>
      <c r="AD326" s="157"/>
      <c r="AG326" s="157"/>
      <c r="AH326" s="157"/>
      <c r="AI326" s="157"/>
    </row>
    <row r="327" spans="2:35" x14ac:dyDescent="0.2">
      <c r="B327" s="146"/>
      <c r="C327" s="146"/>
      <c r="D327" s="146"/>
      <c r="E327" s="146"/>
      <c r="F327" s="146"/>
      <c r="G327" s="146"/>
      <c r="H327" s="146"/>
      <c r="I327" s="146"/>
      <c r="J327" s="146"/>
      <c r="K327" s="146"/>
      <c r="L327" s="146"/>
      <c r="R327" s="157"/>
      <c r="S327" s="157"/>
      <c r="T327" s="157"/>
      <c r="W327" s="157"/>
      <c r="X327" s="157"/>
      <c r="Y327" s="157"/>
      <c r="AB327" s="157"/>
      <c r="AC327" s="157"/>
      <c r="AD327" s="157"/>
      <c r="AG327" s="157"/>
      <c r="AH327" s="157"/>
      <c r="AI327" s="157"/>
    </row>
    <row r="328" spans="2:35" x14ac:dyDescent="0.2">
      <c r="B328" s="146"/>
      <c r="C328" s="146"/>
      <c r="D328" s="146"/>
      <c r="E328" s="146"/>
      <c r="F328" s="146"/>
      <c r="G328" s="146"/>
      <c r="H328" s="146"/>
      <c r="I328" s="146"/>
      <c r="J328" s="146"/>
      <c r="K328" s="146"/>
      <c r="L328" s="146"/>
      <c r="R328" s="157"/>
      <c r="S328" s="157"/>
      <c r="T328" s="157"/>
      <c r="W328" s="157"/>
      <c r="X328" s="157"/>
      <c r="Y328" s="157"/>
      <c r="AB328" s="157"/>
      <c r="AC328" s="157"/>
      <c r="AD328" s="157"/>
      <c r="AG328" s="157"/>
      <c r="AH328" s="157"/>
      <c r="AI328" s="157"/>
    </row>
    <row r="329" spans="2:35" x14ac:dyDescent="0.2">
      <c r="B329" s="146"/>
      <c r="C329" s="146"/>
      <c r="D329" s="146"/>
      <c r="E329" s="146"/>
      <c r="F329" s="146"/>
      <c r="G329" s="146"/>
      <c r="H329" s="146"/>
      <c r="I329" s="146"/>
      <c r="J329" s="146"/>
      <c r="K329" s="146"/>
      <c r="L329" s="146"/>
      <c r="R329" s="157"/>
      <c r="S329" s="157"/>
      <c r="T329" s="157"/>
      <c r="W329" s="157"/>
      <c r="X329" s="157"/>
      <c r="Y329" s="157"/>
      <c r="AB329" s="157"/>
      <c r="AC329" s="157"/>
      <c r="AD329" s="157"/>
      <c r="AG329" s="157"/>
      <c r="AH329" s="157"/>
      <c r="AI329" s="157"/>
    </row>
    <row r="330" spans="2:35" x14ac:dyDescent="0.2">
      <c r="B330" s="146"/>
      <c r="C330" s="146"/>
      <c r="D330" s="146"/>
      <c r="E330" s="146"/>
      <c r="F330" s="146"/>
      <c r="G330" s="146"/>
      <c r="H330" s="146"/>
      <c r="I330" s="146"/>
      <c r="J330" s="146"/>
      <c r="K330" s="146"/>
      <c r="L330" s="146"/>
      <c r="R330" s="157"/>
      <c r="S330" s="157"/>
      <c r="T330" s="157"/>
      <c r="W330" s="157"/>
      <c r="X330" s="157"/>
      <c r="Y330" s="157"/>
      <c r="AB330" s="157"/>
      <c r="AC330" s="157"/>
      <c r="AD330" s="157"/>
      <c r="AG330" s="157"/>
      <c r="AH330" s="157"/>
      <c r="AI330" s="157"/>
    </row>
    <row r="331" spans="2:35" x14ac:dyDescent="0.2">
      <c r="B331" s="146"/>
      <c r="C331" s="146"/>
      <c r="D331" s="146"/>
      <c r="E331" s="146"/>
      <c r="F331" s="146"/>
      <c r="G331" s="146"/>
      <c r="H331" s="146"/>
      <c r="I331" s="146"/>
      <c r="J331" s="146"/>
      <c r="K331" s="146"/>
      <c r="L331" s="146"/>
      <c r="R331" s="157"/>
      <c r="S331" s="157"/>
      <c r="T331" s="157"/>
      <c r="W331" s="157"/>
      <c r="X331" s="157"/>
      <c r="Y331" s="157"/>
      <c r="AB331" s="157"/>
      <c r="AC331" s="157"/>
      <c r="AD331" s="157"/>
      <c r="AG331" s="157"/>
      <c r="AH331" s="157"/>
      <c r="AI331" s="157"/>
    </row>
    <row r="332" spans="2:35" x14ac:dyDescent="0.2">
      <c r="B332" s="146"/>
      <c r="C332" s="146"/>
      <c r="D332" s="146"/>
      <c r="E332" s="146"/>
      <c r="F332" s="146"/>
      <c r="G332" s="146"/>
      <c r="H332" s="146"/>
      <c r="I332" s="146"/>
      <c r="J332" s="146"/>
      <c r="K332" s="146"/>
      <c r="L332" s="146"/>
      <c r="R332" s="157"/>
      <c r="S332" s="157"/>
      <c r="T332" s="157"/>
      <c r="W332" s="157"/>
      <c r="X332" s="157"/>
      <c r="Y332" s="157"/>
      <c r="AB332" s="157"/>
      <c r="AC332" s="157"/>
      <c r="AD332" s="157"/>
      <c r="AG332" s="157"/>
      <c r="AH332" s="157"/>
      <c r="AI332" s="157"/>
    </row>
    <row r="333" spans="2:35" x14ac:dyDescent="0.2">
      <c r="B333" s="146"/>
      <c r="C333" s="146"/>
      <c r="D333" s="146"/>
      <c r="E333" s="146"/>
      <c r="F333" s="146"/>
      <c r="G333" s="146"/>
      <c r="H333" s="146"/>
      <c r="I333" s="146"/>
      <c r="J333" s="146"/>
      <c r="K333" s="146"/>
      <c r="L333" s="146"/>
      <c r="R333" s="157"/>
      <c r="S333" s="157"/>
      <c r="T333" s="157"/>
      <c r="W333" s="157"/>
      <c r="X333" s="157"/>
      <c r="Y333" s="157"/>
      <c r="AB333" s="157"/>
      <c r="AC333" s="157"/>
      <c r="AD333" s="157"/>
      <c r="AG333" s="157"/>
      <c r="AH333" s="157"/>
      <c r="AI333" s="157"/>
    </row>
    <row r="334" spans="2:35" x14ac:dyDescent="0.2">
      <c r="B334" s="146"/>
      <c r="C334" s="146"/>
      <c r="D334" s="146"/>
      <c r="E334" s="146"/>
      <c r="F334" s="146"/>
      <c r="G334" s="146"/>
      <c r="H334" s="146"/>
      <c r="I334" s="146"/>
      <c r="J334" s="146"/>
      <c r="K334" s="146"/>
      <c r="L334" s="146"/>
      <c r="R334" s="157"/>
      <c r="S334" s="157"/>
      <c r="T334" s="157"/>
      <c r="W334" s="157"/>
      <c r="X334" s="157"/>
      <c r="Y334" s="157"/>
      <c r="AB334" s="157"/>
      <c r="AC334" s="157"/>
      <c r="AD334" s="157"/>
      <c r="AG334" s="157"/>
      <c r="AH334" s="157"/>
      <c r="AI334" s="157"/>
    </row>
    <row r="335" spans="2:35" x14ac:dyDescent="0.2">
      <c r="B335" s="146"/>
      <c r="C335" s="146"/>
      <c r="D335" s="146"/>
      <c r="E335" s="146"/>
      <c r="F335" s="146"/>
      <c r="G335" s="146"/>
      <c r="H335" s="146"/>
      <c r="I335" s="146"/>
      <c r="J335" s="146"/>
      <c r="K335" s="146"/>
      <c r="L335" s="146"/>
      <c r="R335" s="157"/>
      <c r="S335" s="157"/>
      <c r="T335" s="157"/>
      <c r="W335" s="157"/>
      <c r="X335" s="157"/>
      <c r="Y335" s="157"/>
      <c r="AB335" s="157"/>
      <c r="AC335" s="157"/>
      <c r="AD335" s="157"/>
      <c r="AG335" s="157"/>
      <c r="AH335" s="157"/>
      <c r="AI335" s="157"/>
    </row>
    <row r="336" spans="2:35" x14ac:dyDescent="0.2">
      <c r="B336" s="146"/>
      <c r="C336" s="146"/>
      <c r="D336" s="146"/>
      <c r="E336" s="146"/>
      <c r="F336" s="146"/>
      <c r="G336" s="146"/>
      <c r="H336" s="146"/>
      <c r="I336" s="146"/>
      <c r="J336" s="146"/>
      <c r="K336" s="146"/>
      <c r="L336" s="146"/>
      <c r="R336" s="157"/>
      <c r="S336" s="157"/>
      <c r="T336" s="157"/>
      <c r="W336" s="157"/>
      <c r="X336" s="157"/>
      <c r="Y336" s="157"/>
      <c r="AB336" s="157"/>
      <c r="AC336" s="157"/>
      <c r="AD336" s="157"/>
      <c r="AG336" s="157"/>
      <c r="AH336" s="157"/>
      <c r="AI336" s="157"/>
    </row>
    <row r="337" spans="2:35" x14ac:dyDescent="0.2">
      <c r="B337" s="146"/>
      <c r="C337" s="146"/>
      <c r="D337" s="146"/>
      <c r="E337" s="146"/>
      <c r="F337" s="146"/>
      <c r="G337" s="146"/>
      <c r="H337" s="146"/>
      <c r="I337" s="146"/>
      <c r="J337" s="146"/>
      <c r="K337" s="146"/>
      <c r="L337" s="146"/>
      <c r="R337" s="157"/>
      <c r="S337" s="157"/>
      <c r="T337" s="157"/>
      <c r="W337" s="157"/>
      <c r="X337" s="157"/>
      <c r="Y337" s="157"/>
      <c r="AB337" s="157"/>
      <c r="AC337" s="157"/>
      <c r="AD337" s="157"/>
      <c r="AG337" s="157"/>
      <c r="AH337" s="157"/>
      <c r="AI337" s="157"/>
    </row>
    <row r="338" spans="2:35" x14ac:dyDescent="0.2">
      <c r="B338" s="146"/>
      <c r="C338" s="146"/>
      <c r="D338" s="146"/>
      <c r="E338" s="146"/>
      <c r="F338" s="146"/>
      <c r="G338" s="146"/>
      <c r="H338" s="146"/>
      <c r="I338" s="146"/>
      <c r="J338" s="146"/>
      <c r="K338" s="146"/>
      <c r="L338" s="146"/>
      <c r="R338" s="157"/>
      <c r="S338" s="157"/>
      <c r="T338" s="157"/>
      <c r="W338" s="157"/>
      <c r="X338" s="157"/>
      <c r="Y338" s="157"/>
      <c r="AB338" s="157"/>
      <c r="AC338" s="157"/>
      <c r="AD338" s="157"/>
      <c r="AG338" s="157"/>
      <c r="AH338" s="157"/>
      <c r="AI338" s="157"/>
    </row>
    <row r="339" spans="2:35" x14ac:dyDescent="0.2">
      <c r="B339" s="146"/>
      <c r="C339" s="146"/>
      <c r="D339" s="146"/>
      <c r="E339" s="146"/>
      <c r="F339" s="146"/>
      <c r="G339" s="146"/>
      <c r="H339" s="146"/>
      <c r="I339" s="146"/>
      <c r="J339" s="146"/>
      <c r="K339" s="146"/>
      <c r="L339" s="146"/>
      <c r="R339" s="157"/>
      <c r="S339" s="157"/>
      <c r="T339" s="157"/>
      <c r="W339" s="157"/>
      <c r="X339" s="157"/>
      <c r="Y339" s="157"/>
      <c r="AB339" s="157"/>
      <c r="AC339" s="157"/>
      <c r="AD339" s="157"/>
      <c r="AG339" s="157"/>
      <c r="AH339" s="157"/>
      <c r="AI339" s="157"/>
    </row>
    <row r="340" spans="2:35" x14ac:dyDescent="0.2">
      <c r="B340" s="146"/>
      <c r="C340" s="146"/>
      <c r="D340" s="146"/>
      <c r="E340" s="146"/>
      <c r="F340" s="146"/>
      <c r="G340" s="146"/>
      <c r="H340" s="146"/>
      <c r="I340" s="146"/>
      <c r="J340" s="146"/>
      <c r="K340" s="146"/>
      <c r="L340" s="146"/>
      <c r="R340" s="157"/>
      <c r="S340" s="157"/>
      <c r="T340" s="157"/>
      <c r="W340" s="157"/>
      <c r="X340" s="157"/>
      <c r="Y340" s="157"/>
      <c r="AB340" s="157"/>
      <c r="AC340" s="157"/>
      <c r="AD340" s="157"/>
      <c r="AG340" s="157"/>
      <c r="AH340" s="157"/>
      <c r="AI340" s="157"/>
    </row>
    <row r="341" spans="2:35" x14ac:dyDescent="0.2">
      <c r="B341" s="146"/>
      <c r="C341" s="146"/>
      <c r="D341" s="146"/>
      <c r="E341" s="146"/>
      <c r="F341" s="146"/>
      <c r="G341" s="146"/>
      <c r="H341" s="146"/>
      <c r="I341" s="146"/>
      <c r="J341" s="146"/>
      <c r="K341" s="146"/>
      <c r="L341" s="146"/>
      <c r="R341" s="157"/>
      <c r="S341" s="157"/>
      <c r="T341" s="157"/>
      <c r="W341" s="157"/>
      <c r="X341" s="157"/>
      <c r="Y341" s="157"/>
      <c r="AB341" s="157"/>
      <c r="AC341" s="157"/>
      <c r="AD341" s="157"/>
      <c r="AG341" s="157"/>
      <c r="AH341" s="157"/>
      <c r="AI341" s="157"/>
    </row>
    <row r="342" spans="2:35" x14ac:dyDescent="0.2">
      <c r="B342" s="146"/>
      <c r="C342" s="146"/>
      <c r="D342" s="146"/>
      <c r="E342" s="146"/>
      <c r="F342" s="146"/>
      <c r="G342" s="146"/>
      <c r="H342" s="146"/>
      <c r="I342" s="146"/>
      <c r="J342" s="146"/>
      <c r="K342" s="146"/>
      <c r="L342" s="146"/>
      <c r="R342" s="157"/>
      <c r="S342" s="157"/>
      <c r="T342" s="157"/>
      <c r="W342" s="157"/>
      <c r="X342" s="157"/>
      <c r="Y342" s="157"/>
      <c r="AB342" s="157"/>
      <c r="AC342" s="157"/>
      <c r="AD342" s="157"/>
      <c r="AG342" s="157"/>
      <c r="AH342" s="157"/>
      <c r="AI342" s="157"/>
    </row>
    <row r="343" spans="2:35" x14ac:dyDescent="0.2">
      <c r="B343" s="146"/>
      <c r="C343" s="146"/>
      <c r="D343" s="146"/>
      <c r="E343" s="146"/>
      <c r="F343" s="146"/>
      <c r="G343" s="146"/>
      <c r="H343" s="146"/>
      <c r="I343" s="146"/>
      <c r="J343" s="146"/>
      <c r="K343" s="146"/>
      <c r="L343" s="146"/>
      <c r="R343" s="157"/>
      <c r="S343" s="157"/>
      <c r="T343" s="157"/>
      <c r="W343" s="157"/>
      <c r="X343" s="157"/>
      <c r="Y343" s="157"/>
      <c r="AB343" s="157"/>
      <c r="AC343" s="157"/>
      <c r="AD343" s="157"/>
      <c r="AG343" s="157"/>
      <c r="AH343" s="157"/>
      <c r="AI343" s="157"/>
    </row>
    <row r="344" spans="2:35" x14ac:dyDescent="0.2">
      <c r="B344" s="146"/>
      <c r="C344" s="146"/>
      <c r="D344" s="146"/>
      <c r="E344" s="146"/>
      <c r="F344" s="146"/>
      <c r="G344" s="146"/>
      <c r="H344" s="146"/>
      <c r="I344" s="146"/>
      <c r="J344" s="146"/>
      <c r="K344" s="146"/>
      <c r="L344" s="146"/>
      <c r="R344" s="157"/>
      <c r="S344" s="157"/>
      <c r="T344" s="157"/>
      <c r="W344" s="157"/>
      <c r="X344" s="157"/>
      <c r="Y344" s="157"/>
      <c r="AB344" s="157"/>
      <c r="AC344" s="157"/>
      <c r="AD344" s="157"/>
      <c r="AG344" s="157"/>
      <c r="AH344" s="157"/>
      <c r="AI344" s="157"/>
    </row>
    <row r="345" spans="2:35" x14ac:dyDescent="0.2">
      <c r="B345" s="146"/>
      <c r="C345" s="146"/>
      <c r="D345" s="146"/>
      <c r="E345" s="146"/>
      <c r="F345" s="146"/>
      <c r="G345" s="146"/>
      <c r="H345" s="146"/>
      <c r="I345" s="146"/>
      <c r="J345" s="146"/>
      <c r="K345" s="146"/>
      <c r="L345" s="146"/>
      <c r="R345" s="157"/>
      <c r="S345" s="157"/>
      <c r="T345" s="157"/>
      <c r="W345" s="157"/>
      <c r="X345" s="157"/>
      <c r="Y345" s="157"/>
      <c r="AB345" s="157"/>
      <c r="AC345" s="157"/>
      <c r="AD345" s="157"/>
      <c r="AG345" s="157"/>
      <c r="AH345" s="157"/>
      <c r="AI345" s="157"/>
    </row>
    <row r="346" spans="2:35" x14ac:dyDescent="0.2">
      <c r="B346" s="146"/>
      <c r="C346" s="146"/>
      <c r="D346" s="146"/>
      <c r="E346" s="146"/>
      <c r="F346" s="146"/>
      <c r="G346" s="146"/>
      <c r="H346" s="146"/>
      <c r="I346" s="146"/>
      <c r="J346" s="146"/>
      <c r="K346" s="146"/>
      <c r="L346" s="146"/>
      <c r="R346" s="157"/>
      <c r="S346" s="157"/>
      <c r="T346" s="157"/>
      <c r="W346" s="157"/>
      <c r="X346" s="157"/>
      <c r="Y346" s="157"/>
      <c r="AB346" s="157"/>
      <c r="AC346" s="157"/>
      <c r="AD346" s="157"/>
      <c r="AG346" s="157"/>
      <c r="AH346" s="157"/>
      <c r="AI346" s="157"/>
    </row>
    <row r="347" spans="2:35" x14ac:dyDescent="0.2">
      <c r="B347" s="146"/>
      <c r="C347" s="146"/>
      <c r="D347" s="146"/>
      <c r="E347" s="146"/>
      <c r="F347" s="146"/>
      <c r="G347" s="146"/>
      <c r="H347" s="146"/>
      <c r="I347" s="146"/>
      <c r="J347" s="146"/>
      <c r="K347" s="146"/>
      <c r="L347" s="146"/>
      <c r="R347" s="157"/>
      <c r="S347" s="157"/>
      <c r="T347" s="157"/>
      <c r="W347" s="157"/>
      <c r="X347" s="157"/>
      <c r="Y347" s="157"/>
      <c r="AB347" s="157"/>
      <c r="AC347" s="157"/>
      <c r="AD347" s="157"/>
      <c r="AG347" s="157"/>
      <c r="AH347" s="157"/>
      <c r="AI347" s="157"/>
    </row>
    <row r="348" spans="2:35" x14ac:dyDescent="0.2">
      <c r="B348" s="146"/>
      <c r="C348" s="146"/>
      <c r="D348" s="146"/>
      <c r="E348" s="146"/>
      <c r="F348" s="146"/>
      <c r="G348" s="146"/>
      <c r="H348" s="146"/>
      <c r="I348" s="146"/>
      <c r="J348" s="146"/>
      <c r="K348" s="146"/>
      <c r="L348" s="146"/>
      <c r="R348" s="157"/>
      <c r="S348" s="157"/>
      <c r="T348" s="157"/>
      <c r="W348" s="157"/>
      <c r="X348" s="157"/>
      <c r="Y348" s="157"/>
      <c r="AB348" s="157"/>
      <c r="AC348" s="157"/>
      <c r="AD348" s="157"/>
      <c r="AG348" s="157"/>
      <c r="AH348" s="157"/>
      <c r="AI348" s="157"/>
    </row>
    <row r="349" spans="2:35" x14ac:dyDescent="0.2">
      <c r="B349" s="146"/>
      <c r="C349" s="146"/>
      <c r="D349" s="146"/>
      <c r="E349" s="146"/>
      <c r="F349" s="146"/>
      <c r="G349" s="146"/>
      <c r="H349" s="146"/>
      <c r="I349" s="146"/>
      <c r="J349" s="146"/>
      <c r="K349" s="146"/>
      <c r="L349" s="146"/>
      <c r="R349" s="157"/>
      <c r="S349" s="157"/>
      <c r="T349" s="157"/>
      <c r="W349" s="157"/>
      <c r="X349" s="157"/>
      <c r="Y349" s="157"/>
      <c r="AB349" s="157"/>
      <c r="AC349" s="157"/>
      <c r="AD349" s="157"/>
      <c r="AG349" s="157"/>
      <c r="AH349" s="157"/>
      <c r="AI349" s="157"/>
    </row>
    <row r="350" spans="2:35" x14ac:dyDescent="0.2">
      <c r="B350" s="146"/>
      <c r="C350" s="146"/>
      <c r="D350" s="146"/>
      <c r="E350" s="146"/>
      <c r="F350" s="146"/>
      <c r="G350" s="146"/>
      <c r="H350" s="146"/>
      <c r="I350" s="146"/>
      <c r="J350" s="146"/>
      <c r="K350" s="146"/>
      <c r="L350" s="146"/>
      <c r="R350" s="157"/>
      <c r="S350" s="157"/>
      <c r="T350" s="157"/>
      <c r="W350" s="157"/>
      <c r="X350" s="157"/>
      <c r="Y350" s="157"/>
      <c r="AB350" s="157"/>
      <c r="AC350" s="157"/>
      <c r="AD350" s="157"/>
      <c r="AG350" s="157"/>
      <c r="AH350" s="157"/>
      <c r="AI350" s="157"/>
    </row>
    <row r="351" spans="2:35" x14ac:dyDescent="0.2">
      <c r="B351" s="146"/>
      <c r="C351" s="146"/>
      <c r="D351" s="146"/>
      <c r="E351" s="146"/>
      <c r="F351" s="146"/>
      <c r="G351" s="146"/>
      <c r="H351" s="146"/>
      <c r="I351" s="146"/>
      <c r="J351" s="146"/>
      <c r="K351" s="146"/>
      <c r="L351" s="146"/>
      <c r="R351" s="157"/>
      <c r="S351" s="157"/>
      <c r="T351" s="157"/>
      <c r="W351" s="157"/>
      <c r="X351" s="157"/>
      <c r="Y351" s="157"/>
      <c r="AB351" s="157"/>
      <c r="AC351" s="157"/>
      <c r="AD351" s="157"/>
      <c r="AG351" s="157"/>
      <c r="AH351" s="157"/>
      <c r="AI351" s="157"/>
    </row>
    <row r="352" spans="2:35" x14ac:dyDescent="0.2">
      <c r="B352" s="146"/>
      <c r="C352" s="146"/>
      <c r="D352" s="146"/>
      <c r="E352" s="146"/>
      <c r="F352" s="146"/>
      <c r="G352" s="146"/>
      <c r="H352" s="146"/>
      <c r="I352" s="146"/>
      <c r="J352" s="146"/>
      <c r="K352" s="146"/>
      <c r="L352" s="146"/>
      <c r="R352" s="157"/>
      <c r="S352" s="157"/>
      <c r="T352" s="157"/>
      <c r="W352" s="157"/>
      <c r="X352" s="157"/>
      <c r="Y352" s="157"/>
      <c r="AB352" s="157"/>
      <c r="AC352" s="157"/>
      <c r="AD352" s="157"/>
      <c r="AG352" s="157"/>
      <c r="AH352" s="157"/>
      <c r="AI352" s="157"/>
    </row>
    <row r="353" spans="2:35" x14ac:dyDescent="0.2">
      <c r="B353" s="146"/>
      <c r="C353" s="146"/>
      <c r="D353" s="146"/>
      <c r="E353" s="146"/>
      <c r="F353" s="146"/>
      <c r="G353" s="146"/>
      <c r="H353" s="146"/>
      <c r="I353" s="146"/>
      <c r="J353" s="146"/>
      <c r="K353" s="146"/>
      <c r="L353" s="146"/>
      <c r="R353" s="157"/>
      <c r="S353" s="157"/>
      <c r="T353" s="157"/>
      <c r="W353" s="157"/>
      <c r="X353" s="157"/>
      <c r="Y353" s="157"/>
      <c r="AB353" s="157"/>
      <c r="AC353" s="157"/>
      <c r="AD353" s="157"/>
      <c r="AG353" s="157"/>
      <c r="AH353" s="157"/>
      <c r="AI353" s="157"/>
    </row>
    <row r="354" spans="2:35" x14ac:dyDescent="0.2">
      <c r="B354" s="146"/>
      <c r="C354" s="146"/>
      <c r="D354" s="146"/>
      <c r="E354" s="146"/>
      <c r="F354" s="146"/>
      <c r="G354" s="146"/>
      <c r="H354" s="146"/>
      <c r="I354" s="146"/>
      <c r="J354" s="146"/>
      <c r="K354" s="146"/>
      <c r="L354" s="146"/>
      <c r="R354" s="157"/>
      <c r="S354" s="157"/>
      <c r="T354" s="157"/>
      <c r="W354" s="157"/>
      <c r="X354" s="157"/>
      <c r="Y354" s="157"/>
      <c r="AB354" s="157"/>
      <c r="AC354" s="157"/>
      <c r="AD354" s="157"/>
      <c r="AG354" s="157"/>
      <c r="AH354" s="157"/>
      <c r="AI354" s="157"/>
    </row>
    <row r="355" spans="2:35" x14ac:dyDescent="0.2">
      <c r="B355" s="146"/>
      <c r="C355" s="146"/>
      <c r="D355" s="146"/>
      <c r="E355" s="146"/>
      <c r="F355" s="146"/>
      <c r="G355" s="146"/>
      <c r="H355" s="146"/>
      <c r="I355" s="146"/>
      <c r="J355" s="146"/>
      <c r="K355" s="146"/>
      <c r="L355" s="146"/>
      <c r="R355" s="157"/>
      <c r="S355" s="157"/>
      <c r="T355" s="157"/>
      <c r="W355" s="157"/>
      <c r="X355" s="157"/>
      <c r="Y355" s="157"/>
      <c r="AB355" s="157"/>
      <c r="AC355" s="157"/>
      <c r="AD355" s="157"/>
      <c r="AG355" s="157"/>
      <c r="AH355" s="157"/>
      <c r="AI355" s="157"/>
    </row>
    <row r="356" spans="2:35" x14ac:dyDescent="0.2">
      <c r="B356" s="146"/>
      <c r="C356" s="146"/>
      <c r="D356" s="146"/>
      <c r="E356" s="146"/>
      <c r="F356" s="146"/>
      <c r="G356" s="146"/>
      <c r="H356" s="146"/>
      <c r="I356" s="146"/>
      <c r="J356" s="146"/>
      <c r="K356" s="146"/>
      <c r="L356" s="146"/>
      <c r="R356" s="157"/>
      <c r="S356" s="157"/>
      <c r="T356" s="157"/>
      <c r="W356" s="157"/>
      <c r="X356" s="157"/>
      <c r="Y356" s="157"/>
      <c r="AB356" s="157"/>
      <c r="AC356" s="157"/>
      <c r="AD356" s="157"/>
      <c r="AG356" s="157"/>
      <c r="AH356" s="157"/>
      <c r="AI356" s="157"/>
    </row>
    <row r="357" spans="2:35" x14ac:dyDescent="0.2">
      <c r="B357" s="146"/>
      <c r="C357" s="146"/>
      <c r="D357" s="146"/>
      <c r="E357" s="146"/>
      <c r="F357" s="146"/>
      <c r="G357" s="146"/>
      <c r="H357" s="146"/>
      <c r="I357" s="146"/>
      <c r="J357" s="146"/>
      <c r="K357" s="146"/>
      <c r="L357" s="146"/>
      <c r="R357" s="157"/>
      <c r="S357" s="157"/>
      <c r="T357" s="157"/>
      <c r="W357" s="157"/>
      <c r="X357" s="157"/>
      <c r="Y357" s="157"/>
      <c r="AB357" s="157"/>
      <c r="AC357" s="157"/>
      <c r="AD357" s="157"/>
      <c r="AG357" s="157"/>
      <c r="AH357" s="157"/>
      <c r="AI357" s="157"/>
    </row>
    <row r="358" spans="2:35" x14ac:dyDescent="0.2">
      <c r="B358" s="146"/>
      <c r="C358" s="146"/>
      <c r="D358" s="146"/>
      <c r="E358" s="146"/>
      <c r="F358" s="146"/>
      <c r="G358" s="146"/>
      <c r="H358" s="146"/>
      <c r="I358" s="146"/>
      <c r="J358" s="146"/>
      <c r="K358" s="146"/>
      <c r="L358" s="146"/>
      <c r="R358" s="157"/>
      <c r="S358" s="157"/>
      <c r="T358" s="157"/>
      <c r="W358" s="157"/>
      <c r="X358" s="157"/>
      <c r="Y358" s="157"/>
      <c r="AB358" s="157"/>
      <c r="AC358" s="157"/>
      <c r="AD358" s="157"/>
      <c r="AG358" s="157"/>
      <c r="AH358" s="157"/>
      <c r="AI358" s="157"/>
    </row>
    <row r="359" spans="2:35" x14ac:dyDescent="0.2">
      <c r="B359" s="146"/>
      <c r="C359" s="146"/>
      <c r="D359" s="146"/>
      <c r="E359" s="146"/>
      <c r="F359" s="146"/>
      <c r="G359" s="146"/>
      <c r="H359" s="146"/>
      <c r="I359" s="146"/>
      <c r="J359" s="146"/>
      <c r="K359" s="146"/>
      <c r="L359" s="146"/>
      <c r="R359" s="157"/>
      <c r="S359" s="157"/>
      <c r="T359" s="157"/>
      <c r="W359" s="157"/>
      <c r="X359" s="157"/>
      <c r="Y359" s="157"/>
      <c r="AB359" s="157"/>
      <c r="AC359" s="157"/>
      <c r="AD359" s="157"/>
      <c r="AG359" s="157"/>
      <c r="AH359" s="157"/>
      <c r="AI359" s="157"/>
    </row>
    <row r="360" spans="2:35" x14ac:dyDescent="0.2">
      <c r="B360" s="146"/>
      <c r="C360" s="146"/>
      <c r="D360" s="146"/>
      <c r="E360" s="146"/>
      <c r="F360" s="146"/>
      <c r="G360" s="146"/>
      <c r="H360" s="146"/>
      <c r="I360" s="146"/>
      <c r="J360" s="146"/>
      <c r="K360" s="146"/>
      <c r="L360" s="146"/>
      <c r="R360" s="157"/>
      <c r="S360" s="157"/>
      <c r="T360" s="157"/>
      <c r="W360" s="157"/>
      <c r="X360" s="157"/>
      <c r="Y360" s="157"/>
      <c r="AB360" s="157"/>
      <c r="AC360" s="157"/>
      <c r="AD360" s="157"/>
      <c r="AG360" s="157"/>
      <c r="AH360" s="157"/>
      <c r="AI360" s="157"/>
    </row>
    <row r="361" spans="2:35" x14ac:dyDescent="0.2">
      <c r="B361" s="146"/>
      <c r="C361" s="146"/>
      <c r="D361" s="146"/>
      <c r="E361" s="146"/>
      <c r="F361" s="146"/>
      <c r="G361" s="146"/>
      <c r="H361" s="146"/>
      <c r="I361" s="146"/>
      <c r="J361" s="146"/>
      <c r="K361" s="146"/>
      <c r="L361" s="146"/>
      <c r="R361" s="157"/>
      <c r="S361" s="157"/>
      <c r="T361" s="157"/>
      <c r="W361" s="157"/>
      <c r="X361" s="157"/>
      <c r="Y361" s="157"/>
      <c r="AB361" s="157"/>
      <c r="AC361" s="157"/>
      <c r="AD361" s="157"/>
      <c r="AG361" s="157"/>
      <c r="AH361" s="157"/>
      <c r="AI361" s="157"/>
    </row>
    <row r="362" spans="2:35" x14ac:dyDescent="0.2">
      <c r="B362" s="146"/>
      <c r="C362" s="146"/>
      <c r="D362" s="146"/>
      <c r="E362" s="146"/>
      <c r="F362" s="146"/>
      <c r="G362" s="146"/>
      <c r="H362" s="146"/>
      <c r="I362" s="146"/>
      <c r="J362" s="146"/>
      <c r="K362" s="146"/>
      <c r="L362" s="146"/>
      <c r="R362" s="157"/>
      <c r="S362" s="157"/>
      <c r="T362" s="157"/>
      <c r="W362" s="157"/>
      <c r="X362" s="157"/>
      <c r="Y362" s="157"/>
      <c r="AB362" s="157"/>
      <c r="AC362" s="157"/>
      <c r="AD362" s="157"/>
      <c r="AG362" s="157"/>
      <c r="AH362" s="157"/>
      <c r="AI362" s="157"/>
    </row>
    <row r="363" spans="2:35" x14ac:dyDescent="0.2">
      <c r="B363" s="146"/>
      <c r="C363" s="146"/>
      <c r="D363" s="146"/>
      <c r="E363" s="146"/>
      <c r="F363" s="146"/>
      <c r="G363" s="146"/>
      <c r="H363" s="146"/>
      <c r="I363" s="146"/>
      <c r="J363" s="146"/>
      <c r="K363" s="146"/>
      <c r="L363" s="146"/>
      <c r="R363" s="157"/>
      <c r="S363" s="157"/>
      <c r="T363" s="157"/>
      <c r="W363" s="157"/>
      <c r="X363" s="157"/>
      <c r="Y363" s="157"/>
      <c r="AB363" s="157"/>
      <c r="AC363" s="157"/>
      <c r="AD363" s="157"/>
      <c r="AG363" s="157"/>
      <c r="AH363" s="157"/>
      <c r="AI363" s="157"/>
    </row>
    <row r="364" spans="2:35" x14ac:dyDescent="0.2">
      <c r="B364" s="146"/>
      <c r="C364" s="146"/>
      <c r="D364" s="146"/>
      <c r="E364" s="146"/>
      <c r="F364" s="146"/>
      <c r="G364" s="146"/>
      <c r="H364" s="146"/>
      <c r="I364" s="146"/>
      <c r="J364" s="146"/>
      <c r="K364" s="146"/>
      <c r="L364" s="146"/>
      <c r="R364" s="157"/>
      <c r="S364" s="157"/>
      <c r="T364" s="157"/>
      <c r="W364" s="157"/>
      <c r="X364" s="157"/>
      <c r="Y364" s="157"/>
      <c r="AB364" s="157"/>
      <c r="AC364" s="157"/>
      <c r="AD364" s="157"/>
      <c r="AG364" s="157"/>
      <c r="AH364" s="157"/>
      <c r="AI364" s="157"/>
    </row>
    <row r="365" spans="2:35" x14ac:dyDescent="0.2">
      <c r="B365" s="146"/>
      <c r="C365" s="146"/>
      <c r="D365" s="146"/>
      <c r="E365" s="146"/>
      <c r="F365" s="146"/>
      <c r="G365" s="146"/>
      <c r="H365" s="146"/>
      <c r="I365" s="146"/>
      <c r="J365" s="146"/>
      <c r="K365" s="146"/>
      <c r="L365" s="146"/>
      <c r="R365" s="157"/>
      <c r="S365" s="157"/>
      <c r="T365" s="157"/>
      <c r="W365" s="157"/>
      <c r="X365" s="157"/>
      <c r="Y365" s="157"/>
      <c r="AB365" s="157"/>
      <c r="AC365" s="157"/>
      <c r="AD365" s="157"/>
      <c r="AG365" s="157"/>
      <c r="AH365" s="157"/>
      <c r="AI365" s="157"/>
    </row>
    <row r="366" spans="2:35" x14ac:dyDescent="0.2">
      <c r="B366" s="146"/>
      <c r="C366" s="146"/>
      <c r="D366" s="146"/>
      <c r="E366" s="146"/>
      <c r="F366" s="146"/>
      <c r="G366" s="146"/>
      <c r="H366" s="146"/>
      <c r="I366" s="146"/>
      <c r="J366" s="146"/>
      <c r="K366" s="146"/>
      <c r="L366" s="146"/>
      <c r="R366" s="157"/>
      <c r="S366" s="157"/>
      <c r="T366" s="157"/>
      <c r="W366" s="157"/>
      <c r="X366" s="157"/>
      <c r="Y366" s="157"/>
      <c r="AB366" s="157"/>
      <c r="AC366" s="157"/>
      <c r="AD366" s="157"/>
      <c r="AG366" s="157"/>
      <c r="AH366" s="157"/>
      <c r="AI366" s="157"/>
    </row>
    <row r="367" spans="2:35" x14ac:dyDescent="0.2">
      <c r="B367" s="146"/>
      <c r="C367" s="146"/>
      <c r="D367" s="146"/>
      <c r="E367" s="146"/>
      <c r="F367" s="146"/>
      <c r="G367" s="146"/>
      <c r="H367" s="146"/>
      <c r="I367" s="146"/>
      <c r="J367" s="146"/>
      <c r="K367" s="146"/>
      <c r="L367" s="146"/>
      <c r="R367" s="157"/>
      <c r="S367" s="157"/>
      <c r="T367" s="157"/>
      <c r="W367" s="157"/>
      <c r="X367" s="157"/>
      <c r="Y367" s="157"/>
      <c r="AB367" s="157"/>
      <c r="AC367" s="157"/>
      <c r="AD367" s="157"/>
      <c r="AG367" s="157"/>
      <c r="AH367" s="157"/>
      <c r="AI367" s="157"/>
    </row>
    <row r="368" spans="2:35" x14ac:dyDescent="0.2">
      <c r="B368" s="146"/>
      <c r="C368" s="146"/>
      <c r="D368" s="146"/>
      <c r="E368" s="146"/>
      <c r="F368" s="146"/>
      <c r="G368" s="146"/>
      <c r="H368" s="146"/>
      <c r="I368" s="146"/>
      <c r="J368" s="146"/>
      <c r="K368" s="146"/>
      <c r="L368" s="146"/>
      <c r="R368" s="157"/>
      <c r="S368" s="157"/>
      <c r="T368" s="157"/>
      <c r="W368" s="157"/>
      <c r="X368" s="157"/>
      <c r="Y368" s="157"/>
      <c r="AB368" s="157"/>
      <c r="AC368" s="157"/>
      <c r="AD368" s="157"/>
      <c r="AG368" s="157"/>
      <c r="AH368" s="157"/>
      <c r="AI368" s="157"/>
    </row>
    <row r="369" spans="2:35" x14ac:dyDescent="0.2">
      <c r="B369" s="146"/>
      <c r="C369" s="146"/>
      <c r="D369" s="146"/>
      <c r="E369" s="146"/>
      <c r="F369" s="146"/>
      <c r="G369" s="146"/>
      <c r="H369" s="146"/>
      <c r="I369" s="146"/>
      <c r="J369" s="146"/>
      <c r="K369" s="146"/>
      <c r="L369" s="146"/>
      <c r="R369" s="157"/>
      <c r="S369" s="157"/>
      <c r="T369" s="157"/>
      <c r="W369" s="157"/>
      <c r="X369" s="157"/>
      <c r="Y369" s="157"/>
      <c r="AB369" s="157"/>
      <c r="AC369" s="157"/>
      <c r="AD369" s="157"/>
      <c r="AG369" s="157"/>
      <c r="AH369" s="157"/>
      <c r="AI369" s="157"/>
    </row>
    <row r="370" spans="2:35" x14ac:dyDescent="0.2">
      <c r="B370" s="146"/>
      <c r="C370" s="146"/>
      <c r="D370" s="146"/>
      <c r="E370" s="146"/>
      <c r="F370" s="146"/>
      <c r="G370" s="146"/>
      <c r="H370" s="146"/>
      <c r="I370" s="146"/>
      <c r="J370" s="146"/>
      <c r="K370" s="146"/>
      <c r="L370" s="146"/>
      <c r="R370" s="157"/>
      <c r="S370" s="157"/>
      <c r="T370" s="157"/>
      <c r="W370" s="157"/>
      <c r="X370" s="157"/>
      <c r="Y370" s="157"/>
      <c r="AB370" s="157"/>
      <c r="AC370" s="157"/>
      <c r="AD370" s="157"/>
      <c r="AG370" s="157"/>
      <c r="AH370" s="157"/>
      <c r="AI370" s="157"/>
    </row>
    <row r="371" spans="2:35" x14ac:dyDescent="0.2">
      <c r="B371" s="146"/>
      <c r="C371" s="146"/>
      <c r="D371" s="146"/>
      <c r="E371" s="146"/>
      <c r="F371" s="146"/>
      <c r="G371" s="146"/>
      <c r="H371" s="146"/>
      <c r="I371" s="146"/>
      <c r="J371" s="146"/>
      <c r="K371" s="146"/>
      <c r="L371" s="146"/>
      <c r="R371" s="157"/>
      <c r="S371" s="157"/>
      <c r="T371" s="157"/>
      <c r="W371" s="157"/>
      <c r="X371" s="157"/>
      <c r="Y371" s="157"/>
      <c r="AB371" s="157"/>
      <c r="AC371" s="157"/>
      <c r="AD371" s="157"/>
      <c r="AG371" s="157"/>
      <c r="AH371" s="157"/>
      <c r="AI371" s="157"/>
    </row>
    <row r="372" spans="2:35" x14ac:dyDescent="0.2">
      <c r="B372" s="146"/>
      <c r="C372" s="146"/>
      <c r="D372" s="146"/>
      <c r="E372" s="146"/>
      <c r="F372" s="146"/>
      <c r="G372" s="146"/>
      <c r="H372" s="146"/>
      <c r="I372" s="146"/>
      <c r="J372" s="146"/>
      <c r="K372" s="146"/>
      <c r="L372" s="146"/>
      <c r="R372" s="157"/>
      <c r="S372" s="157"/>
      <c r="T372" s="157"/>
      <c r="W372" s="157"/>
      <c r="X372" s="157"/>
      <c r="Y372" s="157"/>
      <c r="AB372" s="157"/>
      <c r="AC372" s="157"/>
      <c r="AD372" s="157"/>
      <c r="AG372" s="157"/>
      <c r="AH372" s="157"/>
      <c r="AI372" s="157"/>
    </row>
    <row r="373" spans="2:35" x14ac:dyDescent="0.2">
      <c r="B373" s="146"/>
      <c r="C373" s="146"/>
      <c r="D373" s="146"/>
      <c r="E373" s="146"/>
      <c r="F373" s="146"/>
      <c r="G373" s="146"/>
      <c r="H373" s="146"/>
      <c r="I373" s="146"/>
      <c r="J373" s="146"/>
      <c r="K373" s="146"/>
      <c r="L373" s="146"/>
      <c r="R373" s="157"/>
      <c r="S373" s="157"/>
      <c r="T373" s="157"/>
      <c r="W373" s="157"/>
      <c r="X373" s="157"/>
      <c r="Y373" s="157"/>
      <c r="AB373" s="157"/>
      <c r="AC373" s="157"/>
      <c r="AD373" s="157"/>
      <c r="AG373" s="157"/>
      <c r="AH373" s="157"/>
      <c r="AI373" s="157"/>
    </row>
    <row r="374" spans="2:35" x14ac:dyDescent="0.2">
      <c r="B374" s="146"/>
      <c r="C374" s="146"/>
      <c r="D374" s="146"/>
      <c r="E374" s="146"/>
      <c r="F374" s="146"/>
      <c r="G374" s="146"/>
      <c r="H374" s="146"/>
      <c r="I374" s="146"/>
      <c r="J374" s="146"/>
      <c r="K374" s="146"/>
      <c r="L374" s="146"/>
      <c r="R374" s="157"/>
      <c r="S374" s="157"/>
      <c r="T374" s="157"/>
      <c r="W374" s="157"/>
      <c r="X374" s="157"/>
      <c r="Y374" s="157"/>
      <c r="AB374" s="157"/>
      <c r="AC374" s="157"/>
      <c r="AD374" s="157"/>
      <c r="AG374" s="157"/>
      <c r="AH374" s="157"/>
      <c r="AI374" s="157"/>
    </row>
    <row r="375" spans="2:35" x14ac:dyDescent="0.2">
      <c r="B375" s="146"/>
      <c r="C375" s="146"/>
      <c r="D375" s="146"/>
      <c r="E375" s="146"/>
      <c r="F375" s="146"/>
      <c r="G375" s="146"/>
      <c r="H375" s="146"/>
      <c r="I375" s="146"/>
      <c r="J375" s="146"/>
      <c r="K375" s="146"/>
      <c r="L375" s="146"/>
      <c r="R375" s="157"/>
      <c r="S375" s="157"/>
      <c r="T375" s="157"/>
      <c r="W375" s="157"/>
      <c r="X375" s="157"/>
      <c r="Y375" s="157"/>
      <c r="AB375" s="157"/>
      <c r="AC375" s="157"/>
      <c r="AD375" s="157"/>
      <c r="AG375" s="157"/>
      <c r="AH375" s="157"/>
      <c r="AI375" s="157"/>
    </row>
    <row r="376" spans="2:35" x14ac:dyDescent="0.2">
      <c r="B376" s="146"/>
      <c r="C376" s="146"/>
      <c r="D376" s="146"/>
      <c r="E376" s="146"/>
      <c r="F376" s="146"/>
      <c r="G376" s="146"/>
      <c r="H376" s="146"/>
      <c r="I376" s="146"/>
      <c r="J376" s="146"/>
      <c r="K376" s="146"/>
      <c r="L376" s="146"/>
      <c r="R376" s="157"/>
      <c r="S376" s="157"/>
      <c r="T376" s="157"/>
      <c r="W376" s="157"/>
      <c r="X376" s="157"/>
      <c r="Y376" s="157"/>
      <c r="AB376" s="157"/>
      <c r="AC376" s="157"/>
      <c r="AD376" s="157"/>
      <c r="AG376" s="157"/>
      <c r="AH376" s="157"/>
      <c r="AI376" s="157"/>
    </row>
    <row r="377" spans="2:35" x14ac:dyDescent="0.2">
      <c r="B377" s="146"/>
      <c r="C377" s="146"/>
      <c r="D377" s="146"/>
      <c r="E377" s="146"/>
      <c r="F377" s="146"/>
      <c r="G377" s="146"/>
      <c r="H377" s="146"/>
      <c r="I377" s="146"/>
      <c r="J377" s="146"/>
      <c r="K377" s="146"/>
      <c r="L377" s="146"/>
      <c r="R377" s="157"/>
      <c r="S377" s="157"/>
      <c r="T377" s="157"/>
      <c r="W377" s="157"/>
      <c r="X377" s="157"/>
      <c r="Y377" s="157"/>
      <c r="AB377" s="157"/>
      <c r="AC377" s="157"/>
      <c r="AD377" s="157"/>
      <c r="AG377" s="157"/>
      <c r="AH377" s="157"/>
      <c r="AI377" s="157"/>
    </row>
    <row r="378" spans="2:35" x14ac:dyDescent="0.2">
      <c r="B378" s="146"/>
      <c r="C378" s="146"/>
      <c r="D378" s="146"/>
      <c r="E378" s="146"/>
      <c r="F378" s="146"/>
      <c r="G378" s="146"/>
      <c r="H378" s="146"/>
      <c r="I378" s="146"/>
      <c r="J378" s="146"/>
      <c r="K378" s="146"/>
      <c r="L378" s="146"/>
      <c r="R378" s="157"/>
      <c r="S378" s="157"/>
      <c r="T378" s="157"/>
      <c r="W378" s="157"/>
      <c r="X378" s="157"/>
      <c r="Y378" s="157"/>
      <c r="AB378" s="157"/>
      <c r="AC378" s="157"/>
      <c r="AD378" s="157"/>
      <c r="AG378" s="157"/>
      <c r="AH378" s="157"/>
      <c r="AI378" s="157"/>
    </row>
    <row r="379" spans="2:35" x14ac:dyDescent="0.2">
      <c r="B379" s="146"/>
      <c r="C379" s="146"/>
      <c r="D379" s="146"/>
      <c r="E379" s="146"/>
      <c r="F379" s="146"/>
      <c r="G379" s="146"/>
      <c r="H379" s="146"/>
      <c r="I379" s="146"/>
      <c r="J379" s="146"/>
      <c r="K379" s="146"/>
      <c r="L379" s="146"/>
      <c r="R379" s="157"/>
      <c r="S379" s="157"/>
      <c r="T379" s="157"/>
      <c r="W379" s="157"/>
      <c r="X379" s="157"/>
      <c r="Y379" s="157"/>
      <c r="AB379" s="157"/>
      <c r="AC379" s="157"/>
      <c r="AD379" s="157"/>
      <c r="AG379" s="157"/>
      <c r="AH379" s="157"/>
      <c r="AI379" s="157"/>
    </row>
    <row r="380" spans="2:35" x14ac:dyDescent="0.2">
      <c r="B380" s="146"/>
      <c r="C380" s="146"/>
      <c r="D380" s="146"/>
      <c r="E380" s="146"/>
      <c r="F380" s="146"/>
      <c r="G380" s="146"/>
      <c r="H380" s="146"/>
      <c r="I380" s="146"/>
      <c r="J380" s="146"/>
      <c r="K380" s="146"/>
      <c r="L380" s="146"/>
      <c r="R380" s="157"/>
      <c r="S380" s="157"/>
      <c r="T380" s="157"/>
      <c r="W380" s="157"/>
      <c r="X380" s="157"/>
      <c r="Y380" s="157"/>
      <c r="AB380" s="157"/>
      <c r="AC380" s="157"/>
      <c r="AD380" s="157"/>
      <c r="AG380" s="157"/>
      <c r="AH380" s="157"/>
      <c r="AI380" s="157"/>
    </row>
    <row r="381" spans="2:35" x14ac:dyDescent="0.2">
      <c r="B381" s="146"/>
      <c r="C381" s="146"/>
      <c r="D381" s="146"/>
      <c r="E381" s="146"/>
      <c r="F381" s="146"/>
      <c r="G381" s="146"/>
      <c r="H381" s="146"/>
      <c r="I381" s="146"/>
      <c r="J381" s="146"/>
      <c r="K381" s="146"/>
      <c r="L381" s="146"/>
      <c r="R381" s="157"/>
      <c r="S381" s="157"/>
      <c r="T381" s="157"/>
      <c r="W381" s="157"/>
      <c r="X381" s="157"/>
      <c r="Y381" s="157"/>
      <c r="AB381" s="157"/>
      <c r="AC381" s="157"/>
      <c r="AD381" s="157"/>
      <c r="AG381" s="157"/>
      <c r="AH381" s="157"/>
      <c r="AI381" s="157"/>
    </row>
    <row r="382" spans="2:35" x14ac:dyDescent="0.2">
      <c r="B382" s="146"/>
      <c r="C382" s="146"/>
      <c r="D382" s="146"/>
      <c r="E382" s="146"/>
      <c r="F382" s="146"/>
      <c r="G382" s="146"/>
      <c r="H382" s="146"/>
      <c r="I382" s="146"/>
      <c r="J382" s="146"/>
      <c r="K382" s="146"/>
      <c r="L382" s="146"/>
      <c r="R382" s="157"/>
      <c r="S382" s="157"/>
      <c r="T382" s="157"/>
      <c r="W382" s="157"/>
      <c r="X382" s="157"/>
      <c r="Y382" s="157"/>
      <c r="AB382" s="157"/>
      <c r="AC382" s="157"/>
      <c r="AD382" s="157"/>
      <c r="AG382" s="157"/>
      <c r="AH382" s="157"/>
      <c r="AI382" s="157"/>
    </row>
    <row r="383" spans="2:35" x14ac:dyDescent="0.2">
      <c r="B383" s="146"/>
      <c r="C383" s="146"/>
      <c r="D383" s="146"/>
      <c r="E383" s="146"/>
      <c r="F383" s="146"/>
      <c r="G383" s="146"/>
      <c r="H383" s="146"/>
      <c r="I383" s="146"/>
      <c r="J383" s="146"/>
      <c r="K383" s="146"/>
      <c r="L383" s="146"/>
      <c r="R383" s="157"/>
      <c r="S383" s="157"/>
      <c r="T383" s="157"/>
      <c r="W383" s="157"/>
      <c r="X383" s="157"/>
      <c r="Y383" s="157"/>
      <c r="AB383" s="157"/>
      <c r="AC383" s="157"/>
      <c r="AD383" s="157"/>
      <c r="AG383" s="157"/>
      <c r="AH383" s="157"/>
      <c r="AI383" s="157"/>
    </row>
    <row r="384" spans="2:35" x14ac:dyDescent="0.2">
      <c r="B384" s="146"/>
      <c r="C384" s="146"/>
      <c r="D384" s="146"/>
      <c r="E384" s="146"/>
      <c r="F384" s="146"/>
      <c r="G384" s="146"/>
      <c r="H384" s="146"/>
      <c r="I384" s="146"/>
      <c r="J384" s="146"/>
      <c r="K384" s="146"/>
      <c r="L384" s="146"/>
      <c r="R384" s="157"/>
      <c r="S384" s="157"/>
      <c r="T384" s="157"/>
      <c r="W384" s="157"/>
      <c r="X384" s="157"/>
      <c r="Y384" s="157"/>
      <c r="AB384" s="157"/>
      <c r="AC384" s="157"/>
      <c r="AD384" s="157"/>
      <c r="AG384" s="157"/>
      <c r="AH384" s="157"/>
      <c r="AI384" s="157"/>
    </row>
    <row r="385" spans="2:35" x14ac:dyDescent="0.2">
      <c r="B385" s="146"/>
      <c r="C385" s="146"/>
      <c r="D385" s="146"/>
      <c r="E385" s="146"/>
      <c r="F385" s="146"/>
      <c r="G385" s="146"/>
      <c r="H385" s="146"/>
      <c r="I385" s="146"/>
      <c r="J385" s="146"/>
      <c r="K385" s="146"/>
      <c r="L385" s="146"/>
      <c r="R385" s="157"/>
      <c r="S385" s="157"/>
      <c r="T385" s="157"/>
      <c r="W385" s="157"/>
      <c r="X385" s="157"/>
      <c r="Y385" s="157"/>
      <c r="AB385" s="157"/>
      <c r="AC385" s="157"/>
      <c r="AD385" s="157"/>
      <c r="AG385" s="157"/>
      <c r="AH385" s="157"/>
      <c r="AI385" s="157"/>
    </row>
    <row r="386" spans="2:35" x14ac:dyDescent="0.2">
      <c r="B386" s="146"/>
      <c r="C386" s="146"/>
      <c r="D386" s="146"/>
      <c r="E386" s="146"/>
      <c r="F386" s="146"/>
      <c r="G386" s="146"/>
      <c r="H386" s="146"/>
      <c r="I386" s="146"/>
      <c r="J386" s="146"/>
      <c r="K386" s="146"/>
      <c r="L386" s="146"/>
      <c r="R386" s="157"/>
      <c r="S386" s="157"/>
      <c r="T386" s="157"/>
      <c r="W386" s="157"/>
      <c r="X386" s="157"/>
      <c r="Y386" s="157"/>
      <c r="AB386" s="157"/>
      <c r="AC386" s="157"/>
      <c r="AD386" s="157"/>
      <c r="AG386" s="157"/>
      <c r="AH386" s="157"/>
      <c r="AI386" s="157"/>
    </row>
    <row r="387" spans="2:35" x14ac:dyDescent="0.2">
      <c r="B387" s="146"/>
      <c r="C387" s="146"/>
      <c r="D387" s="146"/>
      <c r="E387" s="146"/>
      <c r="F387" s="146"/>
      <c r="G387" s="146"/>
      <c r="H387" s="146"/>
      <c r="I387" s="146"/>
      <c r="J387" s="146"/>
      <c r="K387" s="146"/>
      <c r="L387" s="146"/>
      <c r="R387" s="157"/>
      <c r="S387" s="157"/>
      <c r="T387" s="157"/>
      <c r="W387" s="157"/>
      <c r="X387" s="157"/>
      <c r="Y387" s="157"/>
      <c r="AB387" s="157"/>
      <c r="AC387" s="157"/>
      <c r="AD387" s="157"/>
      <c r="AG387" s="157"/>
      <c r="AH387" s="157"/>
      <c r="AI387" s="157"/>
    </row>
    <row r="388" spans="2:35" x14ac:dyDescent="0.2">
      <c r="B388" s="146"/>
      <c r="C388" s="146"/>
      <c r="D388" s="146"/>
      <c r="E388" s="146"/>
      <c r="F388" s="146"/>
      <c r="G388" s="146"/>
      <c r="H388" s="146"/>
      <c r="I388" s="146"/>
      <c r="J388" s="146"/>
      <c r="K388" s="146"/>
      <c r="L388" s="146"/>
      <c r="R388" s="157"/>
      <c r="S388" s="157"/>
      <c r="T388" s="157"/>
      <c r="W388" s="157"/>
      <c r="X388" s="157"/>
      <c r="Y388" s="157"/>
      <c r="AB388" s="157"/>
      <c r="AC388" s="157"/>
      <c r="AD388" s="157"/>
      <c r="AG388" s="157"/>
      <c r="AH388" s="157"/>
      <c r="AI388" s="157"/>
    </row>
    <row r="389" spans="2:35" x14ac:dyDescent="0.2">
      <c r="B389" s="146"/>
      <c r="C389" s="146"/>
      <c r="D389" s="146"/>
      <c r="E389" s="146"/>
      <c r="F389" s="146"/>
      <c r="G389" s="146"/>
      <c r="H389" s="146"/>
      <c r="I389" s="146"/>
      <c r="J389" s="146"/>
      <c r="K389" s="146"/>
      <c r="L389" s="146"/>
      <c r="R389" s="157"/>
      <c r="S389" s="157"/>
      <c r="T389" s="157"/>
      <c r="W389" s="157"/>
      <c r="X389" s="157"/>
      <c r="Y389" s="157"/>
      <c r="AB389" s="157"/>
      <c r="AC389" s="157"/>
      <c r="AD389" s="157"/>
      <c r="AG389" s="157"/>
      <c r="AH389" s="157"/>
      <c r="AI389" s="157"/>
    </row>
    <row r="390" spans="2:35" x14ac:dyDescent="0.2">
      <c r="B390" s="146"/>
      <c r="C390" s="146"/>
      <c r="D390" s="146"/>
      <c r="E390" s="146"/>
      <c r="F390" s="146"/>
      <c r="G390" s="146"/>
      <c r="H390" s="146"/>
      <c r="I390" s="146"/>
      <c r="J390" s="146"/>
      <c r="K390" s="146"/>
      <c r="L390" s="146"/>
      <c r="R390" s="157"/>
      <c r="S390" s="157"/>
      <c r="T390" s="157"/>
      <c r="W390" s="157"/>
      <c r="X390" s="157"/>
      <c r="Y390" s="157"/>
      <c r="AB390" s="157"/>
      <c r="AC390" s="157"/>
      <c r="AD390" s="157"/>
      <c r="AG390" s="157"/>
      <c r="AH390" s="157"/>
      <c r="AI390" s="157"/>
    </row>
    <row r="391" spans="2:35" x14ac:dyDescent="0.2">
      <c r="B391" s="146"/>
      <c r="C391" s="146"/>
      <c r="D391" s="146"/>
      <c r="E391" s="146"/>
      <c r="F391" s="146"/>
      <c r="G391" s="146"/>
      <c r="H391" s="146"/>
      <c r="I391" s="146"/>
      <c r="J391" s="146"/>
      <c r="K391" s="146"/>
      <c r="L391" s="146"/>
      <c r="R391" s="157"/>
      <c r="S391" s="157"/>
      <c r="T391" s="157"/>
      <c r="W391" s="157"/>
      <c r="X391" s="157"/>
      <c r="Y391" s="157"/>
      <c r="AB391" s="157"/>
      <c r="AC391" s="157"/>
      <c r="AD391" s="157"/>
      <c r="AG391" s="157"/>
      <c r="AH391" s="157"/>
      <c r="AI391" s="157"/>
    </row>
    <row r="392" spans="2:35" x14ac:dyDescent="0.2">
      <c r="B392" s="146"/>
      <c r="C392" s="146"/>
      <c r="D392" s="146"/>
      <c r="E392" s="146"/>
      <c r="F392" s="146"/>
      <c r="G392" s="146"/>
      <c r="H392" s="146"/>
      <c r="I392" s="146"/>
      <c r="J392" s="146"/>
      <c r="K392" s="146"/>
      <c r="L392" s="146"/>
      <c r="R392" s="157"/>
      <c r="S392" s="157"/>
      <c r="T392" s="157"/>
      <c r="W392" s="157"/>
      <c r="X392" s="157"/>
      <c r="Y392" s="157"/>
      <c r="AB392" s="157"/>
      <c r="AC392" s="157"/>
      <c r="AD392" s="157"/>
      <c r="AG392" s="157"/>
      <c r="AH392" s="157"/>
      <c r="AI392" s="157"/>
    </row>
    <row r="393" spans="2:35" x14ac:dyDescent="0.2">
      <c r="B393" s="146"/>
      <c r="C393" s="146"/>
      <c r="D393" s="146"/>
      <c r="E393" s="146"/>
      <c r="F393" s="146"/>
      <c r="G393" s="146"/>
      <c r="H393" s="146"/>
      <c r="I393" s="146"/>
      <c r="J393" s="146"/>
      <c r="K393" s="146"/>
      <c r="L393" s="146"/>
      <c r="R393" s="157"/>
      <c r="S393" s="157"/>
      <c r="T393" s="157"/>
      <c r="W393" s="157"/>
      <c r="X393" s="157"/>
      <c r="Y393" s="157"/>
      <c r="AB393" s="157"/>
      <c r="AC393" s="157"/>
      <c r="AD393" s="157"/>
      <c r="AG393" s="157"/>
      <c r="AH393" s="157"/>
      <c r="AI393" s="157"/>
    </row>
    <row r="394" spans="2:35" x14ac:dyDescent="0.2">
      <c r="B394" s="146"/>
      <c r="C394" s="146"/>
      <c r="D394" s="146"/>
      <c r="E394" s="146"/>
      <c r="F394" s="146"/>
      <c r="G394" s="146"/>
      <c r="H394" s="146"/>
      <c r="I394" s="146"/>
      <c r="J394" s="146"/>
      <c r="K394" s="146"/>
      <c r="L394" s="146"/>
      <c r="R394" s="157"/>
      <c r="S394" s="157"/>
      <c r="T394" s="157"/>
      <c r="W394" s="157"/>
      <c r="X394" s="157"/>
      <c r="Y394" s="157"/>
      <c r="AB394" s="157"/>
      <c r="AC394" s="157"/>
      <c r="AD394" s="157"/>
      <c r="AG394" s="157"/>
      <c r="AH394" s="157"/>
      <c r="AI394" s="157"/>
    </row>
    <row r="395" spans="2:35" x14ac:dyDescent="0.2">
      <c r="B395" s="146"/>
      <c r="C395" s="146"/>
      <c r="D395" s="146"/>
      <c r="E395" s="146"/>
      <c r="F395" s="146"/>
      <c r="G395" s="146"/>
      <c r="H395" s="146"/>
      <c r="I395" s="146"/>
      <c r="J395" s="146"/>
      <c r="K395" s="146"/>
      <c r="L395" s="146"/>
      <c r="R395" s="157"/>
      <c r="S395" s="157"/>
      <c r="T395" s="157"/>
      <c r="W395" s="157"/>
      <c r="X395" s="157"/>
      <c r="Y395" s="157"/>
      <c r="AB395" s="157"/>
      <c r="AC395" s="157"/>
      <c r="AD395" s="157"/>
      <c r="AG395" s="157"/>
      <c r="AH395" s="157"/>
      <c r="AI395" s="157"/>
    </row>
    <row r="396" spans="2:35" x14ac:dyDescent="0.2">
      <c r="B396" s="146"/>
      <c r="C396" s="146"/>
      <c r="D396" s="146"/>
      <c r="E396" s="146"/>
      <c r="F396" s="146"/>
      <c r="G396" s="146"/>
      <c r="H396" s="146"/>
      <c r="I396" s="146"/>
      <c r="J396" s="146"/>
      <c r="K396" s="146"/>
      <c r="L396" s="146"/>
      <c r="R396" s="157"/>
      <c r="S396" s="157"/>
      <c r="T396" s="157"/>
      <c r="W396" s="157"/>
      <c r="X396" s="157"/>
      <c r="Y396" s="157"/>
      <c r="AB396" s="157"/>
      <c r="AC396" s="157"/>
      <c r="AD396" s="157"/>
      <c r="AG396" s="157"/>
      <c r="AH396" s="157"/>
      <c r="AI396" s="157"/>
    </row>
    <row r="397" spans="2:35" x14ac:dyDescent="0.2">
      <c r="B397" s="146"/>
      <c r="C397" s="146"/>
      <c r="D397" s="146"/>
      <c r="E397" s="146"/>
      <c r="F397" s="146"/>
      <c r="G397" s="146"/>
      <c r="H397" s="146"/>
      <c r="I397" s="146"/>
      <c r="J397" s="146"/>
      <c r="K397" s="146"/>
      <c r="L397" s="146"/>
      <c r="R397" s="157"/>
      <c r="S397" s="157"/>
      <c r="T397" s="157"/>
      <c r="W397" s="157"/>
      <c r="X397" s="157"/>
      <c r="Y397" s="157"/>
      <c r="AB397" s="157"/>
      <c r="AC397" s="157"/>
      <c r="AD397" s="157"/>
      <c r="AG397" s="157"/>
      <c r="AH397" s="157"/>
      <c r="AI397" s="157"/>
    </row>
    <row r="398" spans="2:35" x14ac:dyDescent="0.2">
      <c r="B398" s="146"/>
      <c r="C398" s="146"/>
      <c r="D398" s="146"/>
      <c r="E398" s="146"/>
      <c r="F398" s="146"/>
      <c r="G398" s="146"/>
      <c r="H398" s="146"/>
      <c r="I398" s="146"/>
      <c r="J398" s="146"/>
      <c r="K398" s="146"/>
      <c r="L398" s="146"/>
      <c r="R398" s="157"/>
      <c r="S398" s="157"/>
      <c r="T398" s="157"/>
      <c r="W398" s="157"/>
      <c r="X398" s="157"/>
      <c r="Y398" s="157"/>
      <c r="AB398" s="157"/>
      <c r="AC398" s="157"/>
      <c r="AD398" s="157"/>
      <c r="AG398" s="157"/>
      <c r="AH398" s="157"/>
      <c r="AI398" s="157"/>
    </row>
    <row r="399" spans="2:35" x14ac:dyDescent="0.2">
      <c r="B399" s="146"/>
      <c r="C399" s="146"/>
      <c r="D399" s="146"/>
      <c r="E399" s="146"/>
      <c r="F399" s="146"/>
      <c r="G399" s="146"/>
      <c r="H399" s="146"/>
      <c r="I399" s="146"/>
      <c r="J399" s="146"/>
      <c r="K399" s="146"/>
      <c r="L399" s="146"/>
      <c r="R399" s="157"/>
      <c r="S399" s="157"/>
      <c r="T399" s="157"/>
      <c r="W399" s="157"/>
      <c r="X399" s="157"/>
      <c r="Y399" s="157"/>
      <c r="AB399" s="157"/>
      <c r="AC399" s="157"/>
      <c r="AD399" s="157"/>
      <c r="AG399" s="157"/>
      <c r="AH399" s="157"/>
      <c r="AI399" s="157"/>
    </row>
    <row r="400" spans="2:35" x14ac:dyDescent="0.2">
      <c r="B400" s="146"/>
      <c r="C400" s="146"/>
      <c r="D400" s="146"/>
      <c r="E400" s="146"/>
      <c r="F400" s="146"/>
      <c r="G400" s="146"/>
      <c r="H400" s="146"/>
      <c r="I400" s="146"/>
      <c r="J400" s="146"/>
      <c r="K400" s="146"/>
      <c r="L400" s="146"/>
      <c r="R400" s="157"/>
      <c r="S400" s="157"/>
      <c r="T400" s="157"/>
      <c r="W400" s="157"/>
      <c r="X400" s="157"/>
      <c r="Y400" s="157"/>
      <c r="AB400" s="157"/>
      <c r="AC400" s="157"/>
      <c r="AD400" s="157"/>
      <c r="AG400" s="157"/>
      <c r="AH400" s="157"/>
      <c r="AI400" s="157"/>
    </row>
    <row r="401" spans="2:35" x14ac:dyDescent="0.2">
      <c r="B401" s="146"/>
      <c r="C401" s="146"/>
      <c r="D401" s="146"/>
      <c r="E401" s="146"/>
      <c r="F401" s="146"/>
      <c r="G401" s="146"/>
      <c r="H401" s="146"/>
      <c r="I401" s="146"/>
      <c r="J401" s="146"/>
      <c r="K401" s="146"/>
      <c r="L401" s="146"/>
      <c r="R401" s="157"/>
      <c r="S401" s="157"/>
      <c r="T401" s="157"/>
      <c r="W401" s="157"/>
      <c r="X401" s="157"/>
      <c r="Y401" s="157"/>
      <c r="AB401" s="157"/>
      <c r="AC401" s="157"/>
      <c r="AD401" s="157"/>
      <c r="AG401" s="157"/>
      <c r="AH401" s="157"/>
      <c r="AI401" s="157"/>
    </row>
    <row r="402" spans="2:35" x14ac:dyDescent="0.2">
      <c r="B402" s="146"/>
      <c r="C402" s="146"/>
      <c r="D402" s="146"/>
      <c r="E402" s="146"/>
      <c r="F402" s="146"/>
      <c r="G402" s="146"/>
      <c r="H402" s="146"/>
      <c r="I402" s="146"/>
      <c r="J402" s="146"/>
      <c r="K402" s="146"/>
      <c r="L402" s="146"/>
      <c r="R402" s="157"/>
      <c r="S402" s="157"/>
      <c r="T402" s="157"/>
      <c r="W402" s="157"/>
      <c r="X402" s="157"/>
      <c r="Y402" s="157"/>
      <c r="AB402" s="157"/>
      <c r="AC402" s="157"/>
      <c r="AD402" s="157"/>
      <c r="AG402" s="157"/>
      <c r="AH402" s="157"/>
      <c r="AI402" s="157"/>
    </row>
    <row r="403" spans="2:35" x14ac:dyDescent="0.2">
      <c r="B403" s="146"/>
      <c r="C403" s="146"/>
      <c r="D403" s="146"/>
      <c r="E403" s="146"/>
      <c r="F403" s="146"/>
      <c r="G403" s="146"/>
      <c r="H403" s="146"/>
      <c r="I403" s="146"/>
      <c r="J403" s="146"/>
      <c r="K403" s="146"/>
      <c r="L403" s="146"/>
      <c r="R403" s="157"/>
      <c r="S403" s="157"/>
      <c r="T403" s="157"/>
      <c r="W403" s="157"/>
      <c r="X403" s="157"/>
      <c r="Y403" s="157"/>
      <c r="AB403" s="157"/>
      <c r="AC403" s="157"/>
      <c r="AD403" s="157"/>
      <c r="AG403" s="157"/>
      <c r="AH403" s="157"/>
      <c r="AI403" s="157"/>
    </row>
    <row r="404" spans="2:35" x14ac:dyDescent="0.2">
      <c r="B404" s="146"/>
      <c r="C404" s="146"/>
      <c r="D404" s="146"/>
      <c r="E404" s="146"/>
      <c r="F404" s="146"/>
      <c r="G404" s="146"/>
      <c r="H404" s="146"/>
      <c r="I404" s="146"/>
      <c r="J404" s="146"/>
      <c r="K404" s="146"/>
      <c r="L404" s="146"/>
      <c r="R404" s="157"/>
      <c r="S404" s="157"/>
      <c r="T404" s="157"/>
      <c r="W404" s="157"/>
      <c r="X404" s="157"/>
      <c r="Y404" s="157"/>
      <c r="AB404" s="157"/>
      <c r="AC404" s="157"/>
      <c r="AD404" s="157"/>
      <c r="AG404" s="157"/>
      <c r="AH404" s="157"/>
      <c r="AI404" s="157"/>
    </row>
    <row r="405" spans="2:35" x14ac:dyDescent="0.2">
      <c r="B405" s="146"/>
      <c r="C405" s="146"/>
      <c r="D405" s="146"/>
      <c r="E405" s="146"/>
      <c r="F405" s="146"/>
      <c r="G405" s="146"/>
      <c r="H405" s="146"/>
      <c r="I405" s="146"/>
      <c r="J405" s="146"/>
      <c r="K405" s="146"/>
      <c r="L405" s="146"/>
      <c r="R405" s="157"/>
      <c r="S405" s="157"/>
      <c r="T405" s="157"/>
      <c r="W405" s="157"/>
      <c r="X405" s="157"/>
      <c r="Y405" s="157"/>
      <c r="AB405" s="157"/>
      <c r="AC405" s="157"/>
      <c r="AD405" s="157"/>
      <c r="AG405" s="157"/>
      <c r="AH405" s="157"/>
      <c r="AI405" s="157"/>
    </row>
    <row r="406" spans="2:35" x14ac:dyDescent="0.2">
      <c r="B406" s="146"/>
      <c r="C406" s="146"/>
      <c r="D406" s="146"/>
      <c r="E406" s="146"/>
      <c r="F406" s="146"/>
      <c r="G406" s="146"/>
      <c r="H406" s="146"/>
      <c r="I406" s="146"/>
      <c r="J406" s="146"/>
      <c r="K406" s="146"/>
      <c r="L406" s="146"/>
      <c r="R406" s="157"/>
      <c r="S406" s="157"/>
      <c r="T406" s="157"/>
      <c r="W406" s="157"/>
      <c r="X406" s="157"/>
      <c r="Y406" s="157"/>
      <c r="AB406" s="157"/>
      <c r="AC406" s="157"/>
      <c r="AD406" s="157"/>
      <c r="AG406" s="157"/>
      <c r="AH406" s="157"/>
      <c r="AI406" s="157"/>
    </row>
    <row r="407" spans="2:35" x14ac:dyDescent="0.2">
      <c r="B407" s="146"/>
      <c r="C407" s="146"/>
      <c r="D407" s="146"/>
      <c r="E407" s="146"/>
      <c r="F407" s="146"/>
      <c r="G407" s="146"/>
      <c r="H407" s="146"/>
      <c r="I407" s="146"/>
      <c r="J407" s="146"/>
      <c r="K407" s="146"/>
      <c r="L407" s="146"/>
      <c r="R407" s="157"/>
      <c r="S407" s="157"/>
      <c r="T407" s="157"/>
      <c r="W407" s="157"/>
      <c r="X407" s="157"/>
      <c r="Y407" s="157"/>
      <c r="AB407" s="157"/>
      <c r="AC407" s="157"/>
      <c r="AD407" s="157"/>
      <c r="AG407" s="157"/>
      <c r="AH407" s="157"/>
      <c r="AI407" s="157"/>
    </row>
    <row r="408" spans="2:35" x14ac:dyDescent="0.2">
      <c r="B408" s="146"/>
      <c r="C408" s="146"/>
      <c r="D408" s="146"/>
      <c r="E408" s="146"/>
      <c r="F408" s="146"/>
      <c r="G408" s="146"/>
      <c r="H408" s="146"/>
      <c r="I408" s="146"/>
      <c r="J408" s="146"/>
      <c r="K408" s="146"/>
      <c r="L408" s="146"/>
      <c r="R408" s="157"/>
      <c r="S408" s="157"/>
      <c r="T408" s="157"/>
      <c r="W408" s="157"/>
      <c r="X408" s="157"/>
      <c r="Y408" s="157"/>
      <c r="AB408" s="157"/>
      <c r="AC408" s="157"/>
      <c r="AD408" s="157"/>
      <c r="AG408" s="157"/>
      <c r="AH408" s="157"/>
      <c r="AI408" s="157"/>
    </row>
    <row r="409" spans="2:35" x14ac:dyDescent="0.2">
      <c r="B409" s="146"/>
      <c r="C409" s="146"/>
      <c r="D409" s="146"/>
      <c r="E409" s="146"/>
      <c r="F409" s="146"/>
      <c r="G409" s="146"/>
      <c r="H409" s="146"/>
      <c r="I409" s="146"/>
      <c r="J409" s="146"/>
      <c r="K409" s="146"/>
      <c r="L409" s="146"/>
      <c r="R409" s="157"/>
      <c r="S409" s="157"/>
      <c r="T409" s="157"/>
      <c r="W409" s="157"/>
      <c r="X409" s="157"/>
      <c r="Y409" s="157"/>
      <c r="AB409" s="157"/>
      <c r="AC409" s="157"/>
      <c r="AD409" s="157"/>
      <c r="AG409" s="157"/>
      <c r="AH409" s="157"/>
      <c r="AI409" s="157"/>
    </row>
    <row r="410" spans="2:35" x14ac:dyDescent="0.2">
      <c r="B410" s="146"/>
      <c r="C410" s="146"/>
      <c r="D410" s="146"/>
      <c r="E410" s="146"/>
      <c r="F410" s="146"/>
      <c r="G410" s="146"/>
      <c r="H410" s="146"/>
      <c r="I410" s="146"/>
      <c r="J410" s="146"/>
      <c r="K410" s="146"/>
      <c r="L410" s="146"/>
      <c r="R410" s="157"/>
      <c r="S410" s="157"/>
      <c r="T410" s="157"/>
      <c r="W410" s="157"/>
      <c r="X410" s="157"/>
      <c r="Y410" s="157"/>
      <c r="AB410" s="157"/>
      <c r="AC410" s="157"/>
      <c r="AD410" s="157"/>
      <c r="AG410" s="157"/>
      <c r="AH410" s="157"/>
      <c r="AI410" s="157"/>
    </row>
    <row r="411" spans="2:35" x14ac:dyDescent="0.2">
      <c r="B411" s="146"/>
      <c r="C411" s="146"/>
      <c r="D411" s="146"/>
      <c r="E411" s="146"/>
      <c r="F411" s="146"/>
      <c r="G411" s="146"/>
      <c r="H411" s="146"/>
      <c r="I411" s="146"/>
      <c r="J411" s="146"/>
      <c r="K411" s="146"/>
      <c r="L411" s="146"/>
      <c r="R411" s="157"/>
      <c r="S411" s="157"/>
      <c r="T411" s="157"/>
      <c r="W411" s="157"/>
      <c r="X411" s="157"/>
      <c r="Y411" s="157"/>
      <c r="AB411" s="157"/>
      <c r="AC411" s="157"/>
      <c r="AD411" s="157"/>
      <c r="AG411" s="157"/>
      <c r="AH411" s="157"/>
      <c r="AI411" s="157"/>
    </row>
    <row r="412" spans="2:35" x14ac:dyDescent="0.2">
      <c r="B412" s="146"/>
      <c r="C412" s="146"/>
      <c r="D412" s="146"/>
      <c r="E412" s="146"/>
      <c r="F412" s="146"/>
      <c r="G412" s="146"/>
      <c r="H412" s="146"/>
      <c r="I412" s="146"/>
      <c r="J412" s="146"/>
      <c r="K412" s="146"/>
      <c r="L412" s="146"/>
      <c r="R412" s="157"/>
      <c r="S412" s="157"/>
      <c r="T412" s="157"/>
      <c r="W412" s="157"/>
      <c r="X412" s="157"/>
      <c r="Y412" s="157"/>
      <c r="AB412" s="157"/>
      <c r="AC412" s="157"/>
      <c r="AD412" s="157"/>
      <c r="AG412" s="157"/>
      <c r="AH412" s="157"/>
      <c r="AI412" s="157"/>
    </row>
    <row r="413" spans="2:35" x14ac:dyDescent="0.2">
      <c r="B413" s="146"/>
      <c r="C413" s="146"/>
      <c r="D413" s="146"/>
      <c r="E413" s="146"/>
      <c r="F413" s="146"/>
      <c r="G413" s="146"/>
      <c r="H413" s="146"/>
      <c r="I413" s="146"/>
      <c r="J413" s="146"/>
      <c r="K413" s="146"/>
      <c r="L413" s="146"/>
      <c r="R413" s="157"/>
      <c r="S413" s="157"/>
      <c r="T413" s="157"/>
      <c r="W413" s="157"/>
      <c r="X413" s="157"/>
      <c r="Y413" s="157"/>
      <c r="AB413" s="157"/>
      <c r="AC413" s="157"/>
      <c r="AD413" s="157"/>
      <c r="AG413" s="157"/>
      <c r="AH413" s="157"/>
      <c r="AI413" s="157"/>
    </row>
    <row r="414" spans="2:35" x14ac:dyDescent="0.2">
      <c r="B414" s="146"/>
      <c r="C414" s="146"/>
      <c r="D414" s="146"/>
      <c r="E414" s="146"/>
      <c r="F414" s="146"/>
      <c r="G414" s="146"/>
      <c r="H414" s="146"/>
      <c r="I414" s="146"/>
      <c r="J414" s="146"/>
      <c r="K414" s="146"/>
      <c r="L414" s="146"/>
      <c r="R414" s="157"/>
      <c r="S414" s="157"/>
      <c r="T414" s="157"/>
      <c r="W414" s="157"/>
      <c r="X414" s="157"/>
      <c r="Y414" s="157"/>
      <c r="AB414" s="157"/>
      <c r="AC414" s="157"/>
      <c r="AD414" s="157"/>
      <c r="AG414" s="157"/>
      <c r="AH414" s="157"/>
      <c r="AI414" s="157"/>
    </row>
    <row r="415" spans="2:35" x14ac:dyDescent="0.2">
      <c r="B415" s="146"/>
      <c r="C415" s="146"/>
      <c r="D415" s="146"/>
      <c r="E415" s="146"/>
      <c r="F415" s="146"/>
      <c r="G415" s="146"/>
      <c r="H415" s="146"/>
      <c r="I415" s="146"/>
      <c r="J415" s="146"/>
      <c r="K415" s="146"/>
      <c r="L415" s="146"/>
      <c r="R415" s="157"/>
      <c r="S415" s="157"/>
      <c r="T415" s="157"/>
      <c r="W415" s="157"/>
      <c r="X415" s="157"/>
      <c r="Y415" s="157"/>
      <c r="AB415" s="157"/>
      <c r="AC415" s="157"/>
      <c r="AD415" s="157"/>
      <c r="AG415" s="157"/>
      <c r="AH415" s="157"/>
      <c r="AI415" s="157"/>
    </row>
    <row r="416" spans="2:35" x14ac:dyDescent="0.2">
      <c r="B416" s="146"/>
      <c r="C416" s="146"/>
      <c r="D416" s="146"/>
      <c r="E416" s="146"/>
      <c r="F416" s="146"/>
      <c r="G416" s="146"/>
      <c r="H416" s="146"/>
      <c r="I416" s="146"/>
      <c r="J416" s="146"/>
      <c r="K416" s="146"/>
      <c r="L416" s="146"/>
      <c r="R416" s="157"/>
      <c r="S416" s="157"/>
      <c r="T416" s="157"/>
      <c r="W416" s="157"/>
      <c r="X416" s="157"/>
      <c r="Y416" s="157"/>
      <c r="AB416" s="157"/>
      <c r="AC416" s="157"/>
      <c r="AD416" s="157"/>
      <c r="AG416" s="157"/>
      <c r="AH416" s="157"/>
      <c r="AI416" s="157"/>
    </row>
    <row r="417" spans="2:35" x14ac:dyDescent="0.2">
      <c r="B417" s="146"/>
      <c r="C417" s="146"/>
      <c r="D417" s="146"/>
      <c r="E417" s="146"/>
      <c r="F417" s="146"/>
      <c r="G417" s="146"/>
      <c r="H417" s="146"/>
      <c r="I417" s="146"/>
      <c r="J417" s="146"/>
      <c r="K417" s="146"/>
      <c r="L417" s="146"/>
      <c r="R417" s="157"/>
      <c r="S417" s="157"/>
      <c r="T417" s="157"/>
      <c r="W417" s="157"/>
      <c r="X417" s="157"/>
      <c r="Y417" s="157"/>
      <c r="AB417" s="157"/>
      <c r="AC417" s="157"/>
      <c r="AD417" s="157"/>
      <c r="AG417" s="157"/>
      <c r="AH417" s="157"/>
      <c r="AI417" s="157"/>
    </row>
    <row r="418" spans="2:35" x14ac:dyDescent="0.2">
      <c r="B418" s="146"/>
      <c r="C418" s="146"/>
      <c r="D418" s="146"/>
      <c r="E418" s="146"/>
      <c r="F418" s="146"/>
      <c r="G418" s="146"/>
      <c r="H418" s="146"/>
      <c r="I418" s="146"/>
      <c r="J418" s="146"/>
      <c r="K418" s="146"/>
      <c r="L418" s="146"/>
      <c r="R418" s="157"/>
      <c r="S418" s="157"/>
      <c r="T418" s="157"/>
      <c r="W418" s="157"/>
      <c r="X418" s="157"/>
      <c r="Y418" s="157"/>
      <c r="AB418" s="157"/>
      <c r="AC418" s="157"/>
      <c r="AD418" s="157"/>
      <c r="AG418" s="157"/>
      <c r="AH418" s="157"/>
      <c r="AI418" s="157"/>
    </row>
    <row r="419" spans="2:35" x14ac:dyDescent="0.2">
      <c r="B419" s="146"/>
      <c r="C419" s="146"/>
      <c r="D419" s="146"/>
      <c r="E419" s="146"/>
      <c r="F419" s="146"/>
      <c r="G419" s="146"/>
      <c r="H419" s="146"/>
      <c r="I419" s="146"/>
      <c r="J419" s="146"/>
      <c r="K419" s="146"/>
      <c r="L419" s="146"/>
      <c r="R419" s="157"/>
      <c r="S419" s="157"/>
      <c r="T419" s="157"/>
      <c r="W419" s="157"/>
      <c r="X419" s="157"/>
      <c r="Y419" s="157"/>
      <c r="AB419" s="157"/>
      <c r="AC419" s="157"/>
      <c r="AD419" s="157"/>
      <c r="AG419" s="157"/>
      <c r="AH419" s="157"/>
      <c r="AI419" s="157"/>
    </row>
    <row r="420" spans="2:35" x14ac:dyDescent="0.2">
      <c r="B420" s="146"/>
      <c r="C420" s="146"/>
      <c r="D420" s="146"/>
      <c r="E420" s="146"/>
      <c r="F420" s="146"/>
      <c r="G420" s="146"/>
      <c r="H420" s="146"/>
      <c r="I420" s="146"/>
      <c r="J420" s="146"/>
      <c r="K420" s="146"/>
      <c r="L420" s="146"/>
      <c r="R420" s="157"/>
      <c r="S420" s="157"/>
      <c r="T420" s="157"/>
      <c r="W420" s="157"/>
      <c r="X420" s="157"/>
      <c r="Y420" s="157"/>
      <c r="AB420" s="157"/>
      <c r="AC420" s="157"/>
      <c r="AD420" s="157"/>
      <c r="AG420" s="157"/>
      <c r="AH420" s="157"/>
      <c r="AI420" s="157"/>
    </row>
    <row r="421" spans="2:35" x14ac:dyDescent="0.2">
      <c r="B421" s="146"/>
      <c r="C421" s="146"/>
      <c r="D421" s="146"/>
      <c r="E421" s="146"/>
      <c r="F421" s="146"/>
      <c r="G421" s="146"/>
      <c r="H421" s="146"/>
      <c r="I421" s="146"/>
      <c r="J421" s="146"/>
      <c r="K421" s="146"/>
      <c r="L421" s="146"/>
      <c r="R421" s="157"/>
      <c r="S421" s="157"/>
      <c r="T421" s="157"/>
      <c r="W421" s="157"/>
      <c r="X421" s="157"/>
      <c r="Y421" s="157"/>
      <c r="AB421" s="157"/>
      <c r="AC421" s="157"/>
      <c r="AD421" s="157"/>
      <c r="AG421" s="157"/>
      <c r="AH421" s="157"/>
      <c r="AI421" s="157"/>
    </row>
    <row r="422" spans="2:35" x14ac:dyDescent="0.2">
      <c r="B422" s="146"/>
      <c r="C422" s="146"/>
      <c r="D422" s="146"/>
      <c r="E422" s="146"/>
      <c r="F422" s="146"/>
      <c r="G422" s="146"/>
      <c r="H422" s="146"/>
      <c r="I422" s="146"/>
      <c r="J422" s="146"/>
      <c r="K422" s="146"/>
      <c r="L422" s="146"/>
      <c r="R422" s="157"/>
      <c r="S422" s="157"/>
      <c r="T422" s="157"/>
      <c r="W422" s="157"/>
      <c r="X422" s="157"/>
      <c r="Y422" s="157"/>
      <c r="AB422" s="157"/>
      <c r="AC422" s="157"/>
      <c r="AD422" s="157"/>
      <c r="AG422" s="157"/>
      <c r="AH422" s="157"/>
      <c r="AI422" s="157"/>
    </row>
    <row r="423" spans="2:35" x14ac:dyDescent="0.2">
      <c r="B423" s="146"/>
      <c r="C423" s="146"/>
      <c r="D423" s="146"/>
      <c r="E423" s="146"/>
      <c r="F423" s="146"/>
      <c r="G423" s="146"/>
      <c r="H423" s="146"/>
      <c r="I423" s="146"/>
      <c r="J423" s="146"/>
      <c r="K423" s="146"/>
      <c r="L423" s="146"/>
      <c r="R423" s="157"/>
      <c r="S423" s="157"/>
      <c r="T423" s="157"/>
      <c r="W423" s="157"/>
      <c r="X423" s="157"/>
      <c r="Y423" s="157"/>
      <c r="AB423" s="157"/>
      <c r="AC423" s="157"/>
      <c r="AD423" s="157"/>
      <c r="AG423" s="157"/>
      <c r="AH423" s="157"/>
      <c r="AI423" s="157"/>
    </row>
    <row r="424" spans="2:35" x14ac:dyDescent="0.2">
      <c r="B424" s="146"/>
      <c r="C424" s="146"/>
      <c r="D424" s="146"/>
      <c r="E424" s="146"/>
      <c r="F424" s="146"/>
      <c r="G424" s="146"/>
      <c r="H424" s="146"/>
      <c r="I424" s="146"/>
      <c r="J424" s="146"/>
      <c r="K424" s="146"/>
      <c r="L424" s="146"/>
      <c r="R424" s="157"/>
      <c r="S424" s="157"/>
      <c r="T424" s="157"/>
      <c r="W424" s="157"/>
      <c r="X424" s="157"/>
      <c r="Y424" s="157"/>
      <c r="AB424" s="157"/>
      <c r="AC424" s="157"/>
      <c r="AD424" s="157"/>
      <c r="AG424" s="157"/>
      <c r="AH424" s="157"/>
      <c r="AI424" s="157"/>
    </row>
    <row r="425" spans="2:35" x14ac:dyDescent="0.2">
      <c r="B425" s="146"/>
      <c r="C425" s="146"/>
      <c r="D425" s="146"/>
      <c r="E425" s="146"/>
      <c r="F425" s="146"/>
      <c r="G425" s="146"/>
      <c r="H425" s="146"/>
      <c r="I425" s="146"/>
      <c r="J425" s="146"/>
      <c r="K425" s="146"/>
      <c r="L425" s="146"/>
      <c r="R425" s="157"/>
      <c r="S425" s="157"/>
      <c r="T425" s="157"/>
      <c r="W425" s="157"/>
      <c r="X425" s="157"/>
      <c r="Y425" s="157"/>
      <c r="AB425" s="157"/>
      <c r="AC425" s="157"/>
      <c r="AD425" s="157"/>
      <c r="AG425" s="157"/>
      <c r="AH425" s="157"/>
      <c r="AI425" s="157"/>
    </row>
    <row r="426" spans="2:35" x14ac:dyDescent="0.2">
      <c r="B426" s="146"/>
      <c r="C426" s="146"/>
      <c r="D426" s="146"/>
      <c r="E426" s="146"/>
      <c r="F426" s="146"/>
      <c r="G426" s="146"/>
      <c r="H426" s="146"/>
      <c r="I426" s="146"/>
      <c r="J426" s="146"/>
      <c r="K426" s="146"/>
      <c r="L426" s="146"/>
      <c r="R426" s="157"/>
      <c r="S426" s="157"/>
      <c r="T426" s="157"/>
      <c r="W426" s="157"/>
      <c r="X426" s="157"/>
      <c r="Y426" s="157"/>
      <c r="AB426" s="157"/>
      <c r="AC426" s="157"/>
      <c r="AD426" s="157"/>
      <c r="AG426" s="157"/>
      <c r="AH426" s="157"/>
      <c r="AI426" s="157"/>
    </row>
    <row r="427" spans="2:35" x14ac:dyDescent="0.2">
      <c r="B427" s="146"/>
      <c r="C427" s="146"/>
      <c r="D427" s="146"/>
      <c r="E427" s="146"/>
      <c r="F427" s="146"/>
      <c r="G427" s="146"/>
      <c r="H427" s="146"/>
      <c r="I427" s="146"/>
      <c r="J427" s="146"/>
      <c r="K427" s="146"/>
      <c r="L427" s="146"/>
      <c r="R427" s="157"/>
      <c r="S427" s="157"/>
      <c r="T427" s="157"/>
      <c r="W427" s="157"/>
      <c r="X427" s="157"/>
      <c r="Y427" s="157"/>
      <c r="AB427" s="157"/>
      <c r="AC427" s="157"/>
      <c r="AD427" s="157"/>
      <c r="AG427" s="157"/>
      <c r="AH427" s="157"/>
      <c r="AI427" s="157"/>
    </row>
    <row r="428" spans="2:35" x14ac:dyDescent="0.2">
      <c r="B428" s="146"/>
      <c r="C428" s="146"/>
      <c r="D428" s="146"/>
      <c r="E428" s="146"/>
      <c r="F428" s="146"/>
      <c r="G428" s="146"/>
      <c r="H428" s="146"/>
      <c r="I428" s="146"/>
      <c r="J428" s="146"/>
      <c r="K428" s="146"/>
      <c r="L428" s="146"/>
      <c r="R428" s="157"/>
      <c r="S428" s="157"/>
      <c r="T428" s="157"/>
      <c r="W428" s="157"/>
      <c r="X428" s="157"/>
      <c r="Y428" s="157"/>
      <c r="AB428" s="157"/>
      <c r="AC428" s="157"/>
      <c r="AD428" s="157"/>
      <c r="AG428" s="157"/>
      <c r="AH428" s="157"/>
      <c r="AI428" s="157"/>
    </row>
    <row r="429" spans="2:35" x14ac:dyDescent="0.2">
      <c r="B429" s="146"/>
      <c r="C429" s="146"/>
      <c r="D429" s="146"/>
      <c r="E429" s="146"/>
      <c r="F429" s="146"/>
      <c r="G429" s="146"/>
      <c r="H429" s="146"/>
      <c r="I429" s="146"/>
      <c r="J429" s="146"/>
      <c r="K429" s="146"/>
      <c r="L429" s="146"/>
      <c r="R429" s="157"/>
      <c r="S429" s="157"/>
      <c r="T429" s="157"/>
      <c r="W429" s="157"/>
      <c r="X429" s="157"/>
      <c r="Y429" s="157"/>
      <c r="AB429" s="157"/>
      <c r="AC429" s="157"/>
      <c r="AD429" s="157"/>
      <c r="AG429" s="157"/>
      <c r="AH429" s="157"/>
      <c r="AI429" s="157"/>
    </row>
    <row r="430" spans="2:35" x14ac:dyDescent="0.2">
      <c r="B430" s="146"/>
      <c r="C430" s="146"/>
      <c r="D430" s="146"/>
      <c r="E430" s="146"/>
      <c r="F430" s="146"/>
      <c r="G430" s="146"/>
      <c r="H430" s="146"/>
      <c r="I430" s="146"/>
      <c r="J430" s="146"/>
      <c r="K430" s="146"/>
      <c r="L430" s="146"/>
      <c r="R430" s="157"/>
      <c r="S430" s="157"/>
      <c r="T430" s="157"/>
      <c r="W430" s="157"/>
      <c r="X430" s="157"/>
      <c r="Y430" s="157"/>
      <c r="AB430" s="157"/>
      <c r="AC430" s="157"/>
      <c r="AD430" s="157"/>
      <c r="AG430" s="157"/>
      <c r="AH430" s="157"/>
      <c r="AI430" s="157"/>
    </row>
    <row r="431" spans="2:35" x14ac:dyDescent="0.2">
      <c r="B431" s="146"/>
      <c r="C431" s="146"/>
      <c r="D431" s="146"/>
      <c r="E431" s="146"/>
      <c r="F431" s="146"/>
      <c r="G431" s="146"/>
      <c r="H431" s="146"/>
      <c r="I431" s="146"/>
      <c r="J431" s="146"/>
      <c r="K431" s="146"/>
      <c r="L431" s="146"/>
      <c r="R431" s="157"/>
      <c r="S431" s="157"/>
      <c r="T431" s="157"/>
      <c r="W431" s="157"/>
      <c r="X431" s="157"/>
      <c r="Y431" s="157"/>
      <c r="AB431" s="157"/>
      <c r="AC431" s="157"/>
      <c r="AD431" s="157"/>
      <c r="AG431" s="157"/>
      <c r="AH431" s="157"/>
      <c r="AI431" s="157"/>
    </row>
    <row r="432" spans="2:35" x14ac:dyDescent="0.2">
      <c r="B432" s="146"/>
      <c r="C432" s="146"/>
      <c r="D432" s="146"/>
      <c r="E432" s="146"/>
      <c r="F432" s="146"/>
      <c r="G432" s="146"/>
      <c r="H432" s="146"/>
      <c r="I432" s="146"/>
      <c r="J432" s="146"/>
      <c r="K432" s="146"/>
      <c r="L432" s="146"/>
      <c r="R432" s="157"/>
      <c r="S432" s="157"/>
      <c r="T432" s="157"/>
      <c r="W432" s="157"/>
      <c r="X432" s="157"/>
      <c r="Y432" s="157"/>
      <c r="AB432" s="157"/>
      <c r="AC432" s="157"/>
      <c r="AD432" s="157"/>
      <c r="AG432" s="157"/>
      <c r="AH432" s="157"/>
      <c r="AI432" s="157"/>
    </row>
    <row r="433" spans="2:35" x14ac:dyDescent="0.2">
      <c r="B433" s="146"/>
      <c r="C433" s="146"/>
      <c r="D433" s="146"/>
      <c r="E433" s="146"/>
      <c r="F433" s="146"/>
      <c r="G433" s="146"/>
      <c r="H433" s="146"/>
      <c r="I433" s="146"/>
      <c r="J433" s="146"/>
      <c r="K433" s="146"/>
      <c r="L433" s="146"/>
      <c r="R433" s="157"/>
      <c r="S433" s="157"/>
      <c r="T433" s="157"/>
      <c r="W433" s="157"/>
      <c r="X433" s="157"/>
      <c r="Y433" s="157"/>
      <c r="AB433" s="157"/>
      <c r="AC433" s="157"/>
      <c r="AD433" s="157"/>
      <c r="AG433" s="157"/>
      <c r="AH433" s="157"/>
      <c r="AI433" s="157"/>
    </row>
    <row r="434" spans="2:35" x14ac:dyDescent="0.2">
      <c r="B434" s="146"/>
      <c r="C434" s="146"/>
      <c r="D434" s="146"/>
      <c r="E434" s="146"/>
      <c r="F434" s="146"/>
      <c r="G434" s="146"/>
      <c r="H434" s="146"/>
      <c r="I434" s="146"/>
      <c r="J434" s="146"/>
      <c r="K434" s="146"/>
      <c r="L434" s="146"/>
      <c r="R434" s="157"/>
      <c r="S434" s="157"/>
      <c r="T434" s="157"/>
      <c r="W434" s="157"/>
      <c r="X434" s="157"/>
      <c r="Y434" s="157"/>
      <c r="AB434" s="157"/>
      <c r="AC434" s="157"/>
      <c r="AD434" s="157"/>
      <c r="AG434" s="157"/>
      <c r="AH434" s="157"/>
      <c r="AI434" s="157"/>
    </row>
    <row r="435" spans="2:35" x14ac:dyDescent="0.2">
      <c r="B435" s="146"/>
      <c r="C435" s="146"/>
      <c r="D435" s="146"/>
      <c r="E435" s="146"/>
      <c r="F435" s="146"/>
      <c r="G435" s="146"/>
      <c r="H435" s="146"/>
      <c r="I435" s="146"/>
      <c r="J435" s="146"/>
      <c r="K435" s="146"/>
      <c r="L435" s="146"/>
      <c r="R435" s="157"/>
      <c r="S435" s="157"/>
      <c r="T435" s="157"/>
      <c r="W435" s="157"/>
      <c r="X435" s="157"/>
      <c r="Y435" s="157"/>
      <c r="AB435" s="157"/>
      <c r="AC435" s="157"/>
      <c r="AD435" s="157"/>
      <c r="AG435" s="157"/>
      <c r="AH435" s="157"/>
      <c r="AI435" s="157"/>
    </row>
    <row r="436" spans="2:35" x14ac:dyDescent="0.2">
      <c r="B436" s="146"/>
      <c r="C436" s="146"/>
      <c r="D436" s="146"/>
      <c r="E436" s="146"/>
      <c r="F436" s="146"/>
      <c r="G436" s="146"/>
      <c r="H436" s="146"/>
      <c r="I436" s="146"/>
      <c r="J436" s="146"/>
      <c r="K436" s="146"/>
      <c r="L436" s="146"/>
      <c r="R436" s="157"/>
      <c r="S436" s="157"/>
      <c r="T436" s="157"/>
      <c r="W436" s="157"/>
      <c r="X436" s="157"/>
      <c r="Y436" s="157"/>
      <c r="AB436" s="157"/>
      <c r="AC436" s="157"/>
      <c r="AD436" s="157"/>
      <c r="AG436" s="157"/>
      <c r="AH436" s="157"/>
      <c r="AI436" s="157"/>
    </row>
    <row r="437" spans="2:35" x14ac:dyDescent="0.2">
      <c r="B437" s="146"/>
      <c r="C437" s="146"/>
      <c r="D437" s="146"/>
      <c r="E437" s="146"/>
      <c r="F437" s="146"/>
      <c r="G437" s="146"/>
      <c r="H437" s="146"/>
      <c r="I437" s="146"/>
      <c r="J437" s="146"/>
      <c r="K437" s="146"/>
      <c r="L437" s="146"/>
      <c r="R437" s="157"/>
      <c r="S437" s="157"/>
      <c r="T437" s="157"/>
      <c r="W437" s="157"/>
      <c r="X437" s="157"/>
      <c r="Y437" s="157"/>
      <c r="AB437" s="157"/>
      <c r="AC437" s="157"/>
      <c r="AD437" s="157"/>
      <c r="AG437" s="157"/>
      <c r="AH437" s="157"/>
      <c r="AI437" s="157"/>
    </row>
    <row r="438" spans="2:35" x14ac:dyDescent="0.2">
      <c r="B438" s="146"/>
      <c r="C438" s="146"/>
      <c r="D438" s="146"/>
      <c r="E438" s="146"/>
      <c r="F438" s="146"/>
      <c r="G438" s="146"/>
      <c r="H438" s="146"/>
      <c r="I438" s="146"/>
      <c r="J438" s="146"/>
      <c r="K438" s="146"/>
      <c r="L438" s="146"/>
      <c r="R438" s="157"/>
      <c r="S438" s="157"/>
      <c r="T438" s="157"/>
      <c r="W438" s="157"/>
      <c r="X438" s="157"/>
      <c r="Y438" s="157"/>
      <c r="AB438" s="157"/>
      <c r="AC438" s="157"/>
      <c r="AD438" s="157"/>
      <c r="AG438" s="157"/>
      <c r="AH438" s="157"/>
      <c r="AI438" s="157"/>
    </row>
    <row r="439" spans="2:35" x14ac:dyDescent="0.2">
      <c r="B439" s="146"/>
      <c r="C439" s="146"/>
      <c r="D439" s="146"/>
      <c r="E439" s="146"/>
      <c r="F439" s="146"/>
      <c r="G439" s="146"/>
      <c r="H439" s="146"/>
      <c r="I439" s="146"/>
      <c r="J439" s="146"/>
      <c r="K439" s="146"/>
      <c r="L439" s="146"/>
      <c r="R439" s="157"/>
      <c r="S439" s="157"/>
      <c r="T439" s="157"/>
      <c r="W439" s="157"/>
      <c r="X439" s="157"/>
      <c r="Y439" s="157"/>
      <c r="AB439" s="157"/>
      <c r="AC439" s="157"/>
      <c r="AD439" s="157"/>
      <c r="AG439" s="157"/>
      <c r="AH439" s="157"/>
      <c r="AI439" s="157"/>
    </row>
    <row r="440" spans="2:35" x14ac:dyDescent="0.2">
      <c r="B440" s="146"/>
      <c r="C440" s="146"/>
      <c r="D440" s="146"/>
      <c r="E440" s="146"/>
      <c r="F440" s="146"/>
      <c r="G440" s="146"/>
      <c r="H440" s="146"/>
      <c r="I440" s="146"/>
      <c r="J440" s="146"/>
      <c r="K440" s="146"/>
      <c r="L440" s="146"/>
      <c r="R440" s="157"/>
      <c r="S440" s="157"/>
      <c r="T440" s="157"/>
      <c r="W440" s="157"/>
      <c r="X440" s="157"/>
      <c r="Y440" s="157"/>
      <c r="AB440" s="157"/>
      <c r="AC440" s="157"/>
      <c r="AD440" s="157"/>
      <c r="AG440" s="157"/>
      <c r="AH440" s="157"/>
      <c r="AI440" s="157"/>
    </row>
    <row r="441" spans="2:35" x14ac:dyDescent="0.2">
      <c r="B441" s="146"/>
      <c r="C441" s="146"/>
      <c r="D441" s="146"/>
      <c r="E441" s="146"/>
      <c r="F441" s="146"/>
      <c r="G441" s="146"/>
      <c r="H441" s="146"/>
      <c r="I441" s="146"/>
      <c r="J441" s="146"/>
      <c r="K441" s="146"/>
      <c r="L441" s="146"/>
      <c r="R441" s="157"/>
      <c r="S441" s="157"/>
      <c r="T441" s="157"/>
      <c r="W441" s="157"/>
      <c r="X441" s="157"/>
      <c r="Y441" s="157"/>
      <c r="AB441" s="157"/>
      <c r="AC441" s="157"/>
      <c r="AD441" s="157"/>
      <c r="AG441" s="157"/>
      <c r="AH441" s="157"/>
      <c r="AI441" s="157"/>
    </row>
    <row r="442" spans="2:35" x14ac:dyDescent="0.2">
      <c r="B442" s="146"/>
      <c r="C442" s="146"/>
      <c r="D442" s="146"/>
      <c r="E442" s="146"/>
      <c r="F442" s="146"/>
      <c r="G442" s="146"/>
      <c r="H442" s="146"/>
      <c r="I442" s="146"/>
      <c r="J442" s="146"/>
      <c r="K442" s="146"/>
      <c r="L442" s="146"/>
      <c r="R442" s="157"/>
      <c r="S442" s="157"/>
      <c r="T442" s="157"/>
      <c r="W442" s="157"/>
      <c r="X442" s="157"/>
      <c r="Y442" s="157"/>
      <c r="AB442" s="157"/>
      <c r="AC442" s="157"/>
      <c r="AD442" s="157"/>
      <c r="AG442" s="157"/>
      <c r="AH442" s="157"/>
      <c r="AI442" s="157"/>
    </row>
    <row r="443" spans="2:35" x14ac:dyDescent="0.2">
      <c r="B443" s="146"/>
      <c r="C443" s="146"/>
      <c r="D443" s="146"/>
      <c r="E443" s="146"/>
      <c r="F443" s="146"/>
      <c r="G443" s="146"/>
      <c r="H443" s="146"/>
      <c r="I443" s="146"/>
      <c r="J443" s="146"/>
      <c r="K443" s="146"/>
      <c r="L443" s="146"/>
      <c r="R443" s="157"/>
      <c r="S443" s="157"/>
      <c r="T443" s="157"/>
      <c r="W443" s="157"/>
      <c r="X443" s="157"/>
      <c r="Y443" s="157"/>
      <c r="AB443" s="157"/>
      <c r="AC443" s="157"/>
      <c r="AD443" s="157"/>
      <c r="AG443" s="157"/>
      <c r="AH443" s="157"/>
      <c r="AI443" s="157"/>
    </row>
    <row r="444" spans="2:35" x14ac:dyDescent="0.2">
      <c r="B444" s="146"/>
      <c r="C444" s="146"/>
      <c r="D444" s="146"/>
      <c r="E444" s="146"/>
      <c r="F444" s="146"/>
      <c r="G444" s="146"/>
      <c r="H444" s="146"/>
      <c r="I444" s="146"/>
      <c r="J444" s="146"/>
      <c r="K444" s="146"/>
      <c r="L444" s="146"/>
      <c r="R444" s="157"/>
      <c r="S444" s="157"/>
      <c r="T444" s="157"/>
      <c r="W444" s="157"/>
      <c r="X444" s="157"/>
      <c r="Y444" s="157"/>
      <c r="AB444" s="157"/>
      <c r="AC444" s="157"/>
      <c r="AD444" s="157"/>
      <c r="AG444" s="157"/>
      <c r="AH444" s="157"/>
      <c r="AI444" s="157"/>
    </row>
    <row r="445" spans="2:35" x14ac:dyDescent="0.2">
      <c r="B445" s="146"/>
      <c r="C445" s="146"/>
      <c r="D445" s="146"/>
      <c r="E445" s="146"/>
      <c r="F445" s="146"/>
      <c r="G445" s="146"/>
      <c r="H445" s="146"/>
      <c r="I445" s="146"/>
      <c r="J445" s="146"/>
      <c r="K445" s="146"/>
      <c r="L445" s="146"/>
      <c r="R445" s="157"/>
      <c r="S445" s="157"/>
      <c r="T445" s="157"/>
      <c r="W445" s="157"/>
      <c r="X445" s="157"/>
      <c r="Y445" s="157"/>
      <c r="AB445" s="157"/>
      <c r="AC445" s="157"/>
      <c r="AD445" s="157"/>
      <c r="AG445" s="157"/>
      <c r="AH445" s="157"/>
      <c r="AI445" s="157"/>
    </row>
    <row r="446" spans="2:35" x14ac:dyDescent="0.2">
      <c r="B446" s="146"/>
      <c r="C446" s="146"/>
      <c r="D446" s="146"/>
      <c r="E446" s="146"/>
      <c r="F446" s="146"/>
      <c r="G446" s="146"/>
      <c r="H446" s="146"/>
      <c r="I446" s="146"/>
      <c r="J446" s="146"/>
      <c r="K446" s="146"/>
      <c r="L446" s="146"/>
      <c r="R446" s="157"/>
      <c r="S446" s="157"/>
      <c r="T446" s="157"/>
      <c r="W446" s="157"/>
      <c r="X446" s="157"/>
      <c r="Y446" s="157"/>
      <c r="AB446" s="157"/>
      <c r="AC446" s="157"/>
      <c r="AD446" s="157"/>
      <c r="AG446" s="157"/>
      <c r="AH446" s="157"/>
      <c r="AI446" s="157"/>
    </row>
    <row r="447" spans="2:35" x14ac:dyDescent="0.2">
      <c r="B447" s="146"/>
      <c r="C447" s="146"/>
      <c r="D447" s="146"/>
      <c r="E447" s="146"/>
      <c r="F447" s="146"/>
      <c r="G447" s="146"/>
      <c r="H447" s="146"/>
      <c r="I447" s="146"/>
      <c r="J447" s="146"/>
      <c r="K447" s="146"/>
      <c r="L447" s="146"/>
      <c r="R447" s="157"/>
      <c r="S447" s="157"/>
      <c r="T447" s="157"/>
      <c r="W447" s="157"/>
      <c r="X447" s="157"/>
      <c r="Y447" s="157"/>
      <c r="AB447" s="157"/>
      <c r="AC447" s="157"/>
      <c r="AD447" s="157"/>
      <c r="AG447" s="157"/>
      <c r="AH447" s="157"/>
      <c r="AI447" s="157"/>
    </row>
    <row r="448" spans="2:35" x14ac:dyDescent="0.2">
      <c r="B448" s="146"/>
      <c r="C448" s="146"/>
      <c r="D448" s="146"/>
      <c r="E448" s="146"/>
      <c r="F448" s="146"/>
      <c r="G448" s="146"/>
      <c r="H448" s="146"/>
      <c r="I448" s="146"/>
      <c r="J448" s="146"/>
      <c r="K448" s="146"/>
      <c r="L448" s="146"/>
      <c r="R448" s="157"/>
      <c r="S448" s="157"/>
      <c r="T448" s="157"/>
      <c r="W448" s="157"/>
      <c r="X448" s="157"/>
      <c r="Y448" s="157"/>
      <c r="AB448" s="157"/>
      <c r="AC448" s="157"/>
      <c r="AD448" s="157"/>
      <c r="AG448" s="157"/>
      <c r="AH448" s="157"/>
      <c r="AI448" s="157"/>
    </row>
    <row r="449" spans="2:35" x14ac:dyDescent="0.2">
      <c r="B449" s="146"/>
      <c r="C449" s="146"/>
      <c r="D449" s="146"/>
      <c r="E449" s="146"/>
      <c r="F449" s="146"/>
      <c r="G449" s="146"/>
      <c r="H449" s="146"/>
      <c r="I449" s="146"/>
      <c r="J449" s="146"/>
      <c r="K449" s="146"/>
      <c r="L449" s="146"/>
      <c r="R449" s="157"/>
      <c r="S449" s="157"/>
      <c r="T449" s="157"/>
      <c r="W449" s="157"/>
      <c r="X449" s="157"/>
      <c r="Y449" s="157"/>
      <c r="AB449" s="157"/>
      <c r="AC449" s="157"/>
      <c r="AD449" s="157"/>
      <c r="AG449" s="157"/>
      <c r="AH449" s="157"/>
      <c r="AI449" s="157"/>
    </row>
    <row r="450" spans="2:35" x14ac:dyDescent="0.2">
      <c r="B450" s="146"/>
      <c r="C450" s="146"/>
      <c r="D450" s="146"/>
      <c r="E450" s="146"/>
      <c r="F450" s="146"/>
      <c r="G450" s="146"/>
      <c r="H450" s="146"/>
      <c r="I450" s="146"/>
      <c r="J450" s="146"/>
      <c r="K450" s="146"/>
      <c r="L450" s="146"/>
      <c r="R450" s="157"/>
      <c r="S450" s="157"/>
      <c r="T450" s="157"/>
      <c r="W450" s="157"/>
      <c r="X450" s="157"/>
      <c r="Y450" s="157"/>
      <c r="AB450" s="157"/>
      <c r="AC450" s="157"/>
      <c r="AD450" s="157"/>
      <c r="AG450" s="157"/>
      <c r="AH450" s="157"/>
      <c r="AI450" s="157"/>
    </row>
    <row r="451" spans="2:35" x14ac:dyDescent="0.2">
      <c r="B451" s="146"/>
      <c r="C451" s="146"/>
      <c r="D451" s="146"/>
      <c r="E451" s="146"/>
      <c r="F451" s="146"/>
      <c r="G451" s="146"/>
      <c r="H451" s="146"/>
      <c r="I451" s="146"/>
      <c r="J451" s="146"/>
      <c r="K451" s="146"/>
      <c r="L451" s="146"/>
      <c r="R451" s="157"/>
      <c r="S451" s="157"/>
      <c r="T451" s="157"/>
      <c r="W451" s="157"/>
      <c r="X451" s="157"/>
      <c r="Y451" s="157"/>
      <c r="AB451" s="157"/>
      <c r="AC451" s="157"/>
      <c r="AD451" s="157"/>
      <c r="AG451" s="157"/>
      <c r="AH451" s="157"/>
      <c r="AI451" s="157"/>
    </row>
    <row r="452" spans="2:35" x14ac:dyDescent="0.2">
      <c r="B452" s="146"/>
      <c r="C452" s="146"/>
      <c r="D452" s="146"/>
      <c r="E452" s="146"/>
      <c r="F452" s="146"/>
      <c r="G452" s="146"/>
      <c r="H452" s="146"/>
      <c r="I452" s="146"/>
      <c r="J452" s="146"/>
      <c r="K452" s="146"/>
      <c r="L452" s="146"/>
      <c r="R452" s="157"/>
      <c r="S452" s="157"/>
      <c r="T452" s="157"/>
      <c r="W452" s="157"/>
      <c r="X452" s="157"/>
      <c r="Y452" s="157"/>
      <c r="AB452" s="157"/>
      <c r="AC452" s="157"/>
      <c r="AD452" s="157"/>
      <c r="AG452" s="157"/>
      <c r="AH452" s="157"/>
      <c r="AI452" s="157"/>
    </row>
    <row r="453" spans="2:35" x14ac:dyDescent="0.2">
      <c r="B453" s="146"/>
      <c r="C453" s="146"/>
      <c r="D453" s="146"/>
      <c r="E453" s="146"/>
      <c r="F453" s="146"/>
      <c r="G453" s="146"/>
      <c r="H453" s="146"/>
      <c r="I453" s="146"/>
      <c r="J453" s="146"/>
      <c r="K453" s="146"/>
      <c r="L453" s="146"/>
      <c r="R453" s="157"/>
      <c r="S453" s="157"/>
      <c r="T453" s="157"/>
      <c r="W453" s="157"/>
      <c r="X453" s="157"/>
      <c r="Y453" s="157"/>
      <c r="AB453" s="157"/>
      <c r="AC453" s="157"/>
      <c r="AD453" s="157"/>
      <c r="AG453" s="157"/>
      <c r="AH453" s="157"/>
      <c r="AI453" s="157"/>
    </row>
    <row r="454" spans="2:35" x14ac:dyDescent="0.2">
      <c r="B454" s="146"/>
      <c r="C454" s="146"/>
      <c r="D454" s="146"/>
      <c r="E454" s="146"/>
      <c r="F454" s="146"/>
      <c r="G454" s="146"/>
      <c r="H454" s="146"/>
      <c r="I454" s="146"/>
      <c r="J454" s="146"/>
      <c r="K454" s="146"/>
      <c r="L454" s="146"/>
      <c r="AG454" s="157"/>
      <c r="AH454" s="157"/>
      <c r="AI454" s="157"/>
    </row>
    <row r="455" spans="2:35" x14ac:dyDescent="0.2">
      <c r="B455" s="146"/>
      <c r="C455" s="146"/>
      <c r="D455" s="146"/>
      <c r="E455" s="146"/>
      <c r="F455" s="146"/>
      <c r="G455" s="146"/>
      <c r="H455" s="146"/>
      <c r="I455" s="146"/>
      <c r="J455" s="146"/>
      <c r="K455" s="146"/>
      <c r="L455" s="146"/>
    </row>
    <row r="456" spans="2:35" x14ac:dyDescent="0.2">
      <c r="B456" s="146"/>
      <c r="C456" s="146"/>
      <c r="D456" s="146"/>
      <c r="E456" s="146"/>
      <c r="F456" s="146"/>
      <c r="G456" s="146"/>
      <c r="H456" s="146"/>
      <c r="I456" s="146"/>
      <c r="J456" s="146"/>
      <c r="K456" s="146"/>
      <c r="L456" s="146"/>
    </row>
    <row r="457" spans="2:35" x14ac:dyDescent="0.2">
      <c r="B457" s="146"/>
      <c r="C457" s="146"/>
      <c r="D457" s="146"/>
      <c r="E457" s="146"/>
      <c r="F457" s="146"/>
      <c r="G457" s="146"/>
      <c r="H457" s="146"/>
      <c r="I457" s="146"/>
      <c r="J457" s="146"/>
      <c r="K457" s="146"/>
      <c r="L457" s="146"/>
    </row>
    <row r="458" spans="2:35" x14ac:dyDescent="0.2">
      <c r="B458" s="146"/>
      <c r="C458" s="146"/>
      <c r="D458" s="146"/>
      <c r="E458" s="146"/>
      <c r="F458" s="146"/>
      <c r="G458" s="146"/>
      <c r="H458" s="146"/>
      <c r="I458" s="146"/>
      <c r="J458" s="146"/>
      <c r="K458" s="146"/>
      <c r="L458" s="146"/>
    </row>
    <row r="459" spans="2:35" x14ac:dyDescent="0.2">
      <c r="B459" s="146"/>
      <c r="C459" s="146"/>
      <c r="D459" s="146"/>
      <c r="E459" s="146"/>
      <c r="F459" s="146"/>
      <c r="G459" s="146"/>
      <c r="H459" s="146"/>
      <c r="I459" s="146"/>
      <c r="J459" s="146"/>
      <c r="K459" s="146"/>
      <c r="L459" s="146"/>
    </row>
    <row r="460" spans="2:35" x14ac:dyDescent="0.2">
      <c r="B460" s="146"/>
      <c r="C460" s="146"/>
      <c r="D460" s="146"/>
      <c r="E460" s="146"/>
      <c r="F460" s="146"/>
      <c r="G460" s="146"/>
      <c r="H460" s="146"/>
      <c r="I460" s="146"/>
      <c r="J460" s="146"/>
      <c r="K460" s="146"/>
      <c r="L460" s="146"/>
    </row>
    <row r="461" spans="2:35" x14ac:dyDescent="0.2">
      <c r="B461" s="146"/>
      <c r="C461" s="146"/>
      <c r="D461" s="146"/>
      <c r="E461" s="146"/>
      <c r="F461" s="146"/>
      <c r="G461" s="146"/>
      <c r="H461" s="146"/>
      <c r="I461" s="146"/>
      <c r="J461" s="146"/>
      <c r="K461" s="146"/>
      <c r="L461" s="146"/>
    </row>
    <row r="462" spans="2:35" x14ac:dyDescent="0.2">
      <c r="B462" s="146"/>
      <c r="C462" s="146"/>
      <c r="D462" s="146"/>
      <c r="E462" s="146"/>
      <c r="F462" s="146"/>
      <c r="G462" s="146"/>
      <c r="H462" s="146"/>
      <c r="I462" s="146"/>
      <c r="J462" s="146"/>
      <c r="K462" s="146"/>
      <c r="L462" s="146"/>
    </row>
    <row r="463" spans="2:35" x14ac:dyDescent="0.2">
      <c r="B463" s="146"/>
      <c r="C463" s="146"/>
      <c r="D463" s="146"/>
      <c r="E463" s="146"/>
      <c r="F463" s="146"/>
      <c r="G463" s="146"/>
      <c r="H463" s="146"/>
      <c r="I463" s="146"/>
      <c r="J463" s="146"/>
      <c r="K463" s="146"/>
      <c r="L463" s="146"/>
    </row>
    <row r="464" spans="2:35" x14ac:dyDescent="0.2">
      <c r="B464" s="146"/>
      <c r="C464" s="146"/>
      <c r="D464" s="146"/>
      <c r="E464" s="146"/>
      <c r="F464" s="146"/>
      <c r="G464" s="146"/>
      <c r="H464" s="146"/>
      <c r="I464" s="146"/>
      <c r="J464" s="146"/>
      <c r="K464" s="146"/>
      <c r="L464" s="146"/>
    </row>
    <row r="465" spans="2:12" x14ac:dyDescent="0.2">
      <c r="B465" s="146"/>
      <c r="C465" s="146"/>
      <c r="D465" s="146"/>
      <c r="E465" s="146"/>
      <c r="F465" s="146"/>
      <c r="G465" s="146"/>
      <c r="H465" s="146"/>
      <c r="I465" s="146"/>
      <c r="J465" s="146"/>
      <c r="K465" s="146"/>
      <c r="L465" s="146"/>
    </row>
    <row r="466" spans="2:12" x14ac:dyDescent="0.2">
      <c r="B466" s="146"/>
      <c r="C466" s="146"/>
      <c r="D466" s="146"/>
      <c r="E466" s="146"/>
      <c r="F466" s="146"/>
      <c r="G466" s="146"/>
      <c r="H466" s="146"/>
      <c r="I466" s="146"/>
      <c r="J466" s="146"/>
      <c r="K466" s="146"/>
      <c r="L466" s="146"/>
    </row>
    <row r="467" spans="2:12" x14ac:dyDescent="0.2">
      <c r="B467" s="146"/>
      <c r="C467" s="146"/>
      <c r="D467" s="146"/>
      <c r="E467" s="146"/>
      <c r="F467" s="146"/>
      <c r="G467" s="146"/>
      <c r="H467" s="146"/>
      <c r="I467" s="146"/>
      <c r="J467" s="146"/>
      <c r="K467" s="146"/>
      <c r="L467" s="146"/>
    </row>
    <row r="468" spans="2:12" x14ac:dyDescent="0.2">
      <c r="B468" s="146"/>
      <c r="C468" s="146"/>
      <c r="D468" s="146"/>
      <c r="E468" s="146"/>
      <c r="F468" s="146"/>
      <c r="G468" s="146"/>
      <c r="H468" s="146"/>
      <c r="I468" s="146"/>
      <c r="J468" s="146"/>
      <c r="K468" s="146"/>
      <c r="L468" s="146"/>
    </row>
    <row r="469" spans="2:12" x14ac:dyDescent="0.2">
      <c r="B469" s="146"/>
      <c r="C469" s="146"/>
      <c r="D469" s="146"/>
      <c r="E469" s="146"/>
      <c r="F469" s="146"/>
      <c r="G469" s="146"/>
      <c r="H469" s="146"/>
      <c r="I469" s="146"/>
      <c r="J469" s="146"/>
      <c r="K469" s="146"/>
      <c r="L469" s="146"/>
    </row>
    <row r="470" spans="2:12" x14ac:dyDescent="0.2">
      <c r="B470" s="146"/>
      <c r="C470" s="146"/>
      <c r="D470" s="146"/>
      <c r="E470" s="146"/>
      <c r="F470" s="146"/>
      <c r="G470" s="146"/>
      <c r="H470" s="146"/>
      <c r="I470" s="146"/>
      <c r="J470" s="146"/>
      <c r="K470" s="146"/>
      <c r="L470" s="146"/>
    </row>
    <row r="471" spans="2:12" x14ac:dyDescent="0.2">
      <c r="B471" s="146"/>
      <c r="C471" s="146"/>
      <c r="D471" s="146"/>
      <c r="E471" s="146"/>
      <c r="F471" s="146"/>
      <c r="G471" s="146"/>
      <c r="H471" s="146"/>
      <c r="I471" s="146"/>
      <c r="J471" s="146"/>
      <c r="K471" s="146"/>
      <c r="L471" s="146"/>
    </row>
    <row r="472" spans="2:12" x14ac:dyDescent="0.2">
      <c r="B472" s="146"/>
      <c r="C472" s="146"/>
      <c r="D472" s="146"/>
      <c r="E472" s="146"/>
      <c r="F472" s="146"/>
      <c r="G472" s="146"/>
      <c r="H472" s="146"/>
      <c r="I472" s="146"/>
      <c r="J472" s="146"/>
      <c r="K472" s="146"/>
      <c r="L472" s="146"/>
    </row>
    <row r="473" spans="2:12" x14ac:dyDescent="0.2">
      <c r="B473" s="146"/>
      <c r="C473" s="146"/>
      <c r="D473" s="146"/>
      <c r="E473" s="146"/>
      <c r="F473" s="146"/>
      <c r="G473" s="146"/>
      <c r="H473" s="146"/>
      <c r="I473" s="146"/>
      <c r="J473" s="146"/>
      <c r="K473" s="146"/>
      <c r="L473" s="146"/>
    </row>
    <row r="474" spans="2:12" x14ac:dyDescent="0.2">
      <c r="B474" s="146"/>
      <c r="C474" s="146"/>
      <c r="D474" s="146"/>
      <c r="E474" s="146"/>
      <c r="F474" s="146"/>
      <c r="G474" s="146"/>
      <c r="H474" s="146"/>
      <c r="I474" s="146"/>
      <c r="J474" s="146"/>
      <c r="K474" s="146"/>
      <c r="L474" s="146"/>
    </row>
    <row r="475" spans="2:12" x14ac:dyDescent="0.2">
      <c r="B475" s="146"/>
      <c r="C475" s="146"/>
      <c r="D475" s="146"/>
      <c r="E475" s="146"/>
      <c r="F475" s="146"/>
      <c r="G475" s="146"/>
      <c r="H475" s="146"/>
      <c r="I475" s="146"/>
      <c r="J475" s="146"/>
      <c r="K475" s="146"/>
      <c r="L475" s="146"/>
    </row>
    <row r="476" spans="2:12" x14ac:dyDescent="0.2">
      <c r="B476" s="146"/>
      <c r="C476" s="146"/>
      <c r="D476" s="146"/>
      <c r="E476" s="146"/>
      <c r="F476" s="146"/>
      <c r="G476" s="146"/>
      <c r="H476" s="146"/>
      <c r="I476" s="146"/>
      <c r="J476" s="146"/>
      <c r="K476" s="146"/>
      <c r="L476" s="146"/>
    </row>
    <row r="477" spans="2:12" x14ac:dyDescent="0.2">
      <c r="B477" s="146"/>
      <c r="C477" s="146"/>
      <c r="D477" s="146"/>
      <c r="E477" s="146"/>
      <c r="F477" s="146"/>
      <c r="G477" s="146"/>
      <c r="H477" s="146"/>
      <c r="I477" s="146"/>
      <c r="J477" s="146"/>
      <c r="K477" s="146"/>
      <c r="L477" s="146"/>
    </row>
    <row r="478" spans="2:12" x14ac:dyDescent="0.2">
      <c r="B478" s="146"/>
      <c r="C478" s="146"/>
      <c r="D478" s="146"/>
      <c r="E478" s="146"/>
      <c r="F478" s="146"/>
      <c r="G478" s="146"/>
      <c r="H478" s="146"/>
      <c r="I478" s="146"/>
      <c r="J478" s="146"/>
      <c r="K478" s="146"/>
      <c r="L478" s="146"/>
    </row>
    <row r="479" spans="2:12" x14ac:dyDescent="0.2">
      <c r="B479" s="146"/>
      <c r="C479" s="146"/>
      <c r="D479" s="146"/>
      <c r="E479" s="146"/>
      <c r="F479" s="146"/>
      <c r="G479" s="146"/>
      <c r="H479" s="146"/>
      <c r="I479" s="146"/>
      <c r="J479" s="146"/>
      <c r="K479" s="146"/>
      <c r="L479" s="146"/>
    </row>
    <row r="480" spans="2:12" x14ac:dyDescent="0.2">
      <c r="B480" s="146"/>
      <c r="C480" s="146"/>
      <c r="D480" s="146"/>
      <c r="E480" s="146"/>
      <c r="F480" s="146"/>
      <c r="G480" s="146"/>
      <c r="H480" s="146"/>
      <c r="I480" s="146"/>
      <c r="J480" s="146"/>
      <c r="K480" s="146"/>
      <c r="L480" s="146"/>
    </row>
    <row r="481" spans="2:12" x14ac:dyDescent="0.2">
      <c r="B481" s="146"/>
      <c r="C481" s="146"/>
      <c r="D481" s="146"/>
      <c r="E481" s="146"/>
      <c r="F481" s="146"/>
      <c r="G481" s="146"/>
      <c r="H481" s="146"/>
      <c r="I481" s="146"/>
      <c r="J481" s="146"/>
      <c r="K481" s="146"/>
      <c r="L481" s="146"/>
    </row>
    <row r="482" spans="2:12" x14ac:dyDescent="0.2">
      <c r="B482" s="146"/>
      <c r="C482" s="146"/>
      <c r="D482" s="146"/>
      <c r="E482" s="146"/>
      <c r="F482" s="146"/>
      <c r="G482" s="146"/>
      <c r="H482" s="146"/>
      <c r="I482" s="146"/>
      <c r="J482" s="146"/>
      <c r="K482" s="146"/>
      <c r="L482" s="146"/>
    </row>
    <row r="483" spans="2:12" x14ac:dyDescent="0.2">
      <c r="B483" s="146"/>
      <c r="C483" s="146"/>
      <c r="D483" s="146"/>
      <c r="E483" s="146"/>
      <c r="F483" s="146"/>
      <c r="G483" s="146"/>
      <c r="H483" s="146"/>
      <c r="I483" s="146"/>
      <c r="J483" s="146"/>
      <c r="K483" s="146"/>
      <c r="L483" s="146"/>
    </row>
    <row r="484" spans="2:12" x14ac:dyDescent="0.2">
      <c r="B484" s="146"/>
      <c r="C484" s="146"/>
      <c r="D484" s="146"/>
      <c r="E484" s="146"/>
      <c r="F484" s="146"/>
      <c r="G484" s="146"/>
      <c r="H484" s="146"/>
      <c r="I484" s="146"/>
      <c r="J484" s="146"/>
      <c r="K484" s="146"/>
      <c r="L484" s="146"/>
    </row>
    <row r="485" spans="2:12" x14ac:dyDescent="0.2">
      <c r="B485" s="146"/>
      <c r="C485" s="146"/>
      <c r="D485" s="146"/>
      <c r="E485" s="146"/>
      <c r="F485" s="146"/>
      <c r="G485" s="146"/>
      <c r="H485" s="146"/>
      <c r="I485" s="146"/>
      <c r="J485" s="146"/>
      <c r="K485" s="146"/>
      <c r="L485" s="146"/>
    </row>
    <row r="486" spans="2:12" x14ac:dyDescent="0.2">
      <c r="B486" s="146"/>
      <c r="C486" s="146"/>
      <c r="D486" s="146"/>
      <c r="E486" s="146"/>
      <c r="F486" s="146"/>
      <c r="G486" s="146"/>
      <c r="H486" s="146"/>
      <c r="I486" s="146"/>
      <c r="J486" s="146"/>
      <c r="K486" s="146"/>
      <c r="L486" s="146"/>
    </row>
    <row r="487" spans="2:12" x14ac:dyDescent="0.2">
      <c r="B487" s="146"/>
      <c r="C487" s="146"/>
      <c r="D487" s="146"/>
      <c r="E487" s="146"/>
      <c r="F487" s="146"/>
      <c r="G487" s="146"/>
      <c r="H487" s="146"/>
      <c r="I487" s="146"/>
      <c r="J487" s="146"/>
      <c r="K487" s="146"/>
      <c r="L487" s="146"/>
    </row>
    <row r="488" spans="2:12" x14ac:dyDescent="0.2">
      <c r="B488" s="146"/>
      <c r="C488" s="146"/>
      <c r="D488" s="146"/>
      <c r="E488" s="146"/>
      <c r="F488" s="146"/>
      <c r="G488" s="146"/>
      <c r="H488" s="146"/>
      <c r="I488" s="146"/>
      <c r="J488" s="146"/>
      <c r="K488" s="146"/>
      <c r="L488" s="146"/>
    </row>
    <row r="489" spans="2:12" x14ac:dyDescent="0.2">
      <c r="B489" s="146"/>
      <c r="C489" s="146"/>
      <c r="D489" s="146"/>
      <c r="E489" s="146"/>
      <c r="F489" s="146"/>
      <c r="G489" s="146"/>
      <c r="H489" s="146"/>
      <c r="I489" s="146"/>
      <c r="J489" s="146"/>
      <c r="K489" s="146"/>
      <c r="L489" s="146"/>
    </row>
    <row r="490" spans="2:12" x14ac:dyDescent="0.2">
      <c r="B490" s="146"/>
      <c r="C490" s="146"/>
      <c r="D490" s="146"/>
      <c r="E490" s="146"/>
      <c r="F490" s="146"/>
      <c r="G490" s="146"/>
      <c r="H490" s="146"/>
      <c r="I490" s="146"/>
      <c r="J490" s="146"/>
      <c r="K490" s="146"/>
      <c r="L490" s="146"/>
    </row>
    <row r="491" spans="2:12" x14ac:dyDescent="0.2">
      <c r="B491" s="146"/>
      <c r="C491" s="146"/>
      <c r="D491" s="146"/>
      <c r="E491" s="146"/>
      <c r="F491" s="146"/>
      <c r="G491" s="146"/>
      <c r="H491" s="146"/>
      <c r="I491" s="146"/>
      <c r="J491" s="146"/>
      <c r="K491" s="146"/>
      <c r="L491" s="146"/>
    </row>
    <row r="492" spans="2:12" x14ac:dyDescent="0.2">
      <c r="B492" s="146"/>
      <c r="C492" s="146"/>
      <c r="D492" s="146"/>
      <c r="E492" s="146"/>
      <c r="F492" s="146"/>
      <c r="G492" s="146"/>
      <c r="H492" s="146"/>
      <c r="I492" s="146"/>
      <c r="J492" s="146"/>
      <c r="K492" s="146"/>
      <c r="L492" s="146"/>
    </row>
    <row r="493" spans="2:12" x14ac:dyDescent="0.2">
      <c r="B493" s="146"/>
      <c r="C493" s="146"/>
      <c r="D493" s="146"/>
      <c r="E493" s="146"/>
      <c r="F493" s="146"/>
      <c r="G493" s="146"/>
      <c r="H493" s="146"/>
      <c r="I493" s="146"/>
      <c r="J493" s="146"/>
      <c r="K493" s="146"/>
      <c r="L493" s="146"/>
    </row>
    <row r="494" spans="2:12" x14ac:dyDescent="0.2">
      <c r="B494" s="146"/>
      <c r="C494" s="146"/>
      <c r="D494" s="146"/>
      <c r="E494" s="146"/>
      <c r="F494" s="146"/>
      <c r="G494" s="146"/>
      <c r="H494" s="146"/>
      <c r="I494" s="146"/>
      <c r="J494" s="146"/>
      <c r="K494" s="146"/>
      <c r="L494" s="146"/>
    </row>
    <row r="495" spans="2:12" x14ac:dyDescent="0.2">
      <c r="B495" s="146"/>
      <c r="C495" s="146"/>
      <c r="D495" s="146"/>
      <c r="E495" s="146"/>
      <c r="F495" s="146"/>
      <c r="G495" s="146"/>
      <c r="H495" s="146"/>
      <c r="I495" s="146"/>
      <c r="J495" s="146"/>
      <c r="K495" s="146"/>
      <c r="L495" s="146"/>
    </row>
    <row r="496" spans="2:12" x14ac:dyDescent="0.2">
      <c r="B496" s="146"/>
      <c r="C496" s="146"/>
      <c r="D496" s="146"/>
      <c r="E496" s="146"/>
      <c r="F496" s="146"/>
      <c r="G496" s="146"/>
      <c r="H496" s="146"/>
      <c r="I496" s="146"/>
      <c r="J496" s="146"/>
      <c r="K496" s="146"/>
      <c r="L496" s="146"/>
    </row>
    <row r="497" spans="2:12" x14ac:dyDescent="0.2">
      <c r="B497" s="146"/>
      <c r="C497" s="146"/>
      <c r="D497" s="146"/>
      <c r="E497" s="146"/>
      <c r="F497" s="146"/>
      <c r="G497" s="146"/>
      <c r="H497" s="146"/>
      <c r="I497" s="146"/>
      <c r="J497" s="146"/>
      <c r="K497" s="146"/>
      <c r="L497" s="146"/>
    </row>
    <row r="498" spans="2:12" x14ac:dyDescent="0.2">
      <c r="B498" s="146"/>
      <c r="C498" s="146"/>
      <c r="D498" s="146"/>
      <c r="E498" s="146"/>
      <c r="F498" s="146"/>
      <c r="G498" s="146"/>
      <c r="H498" s="146"/>
      <c r="I498" s="146"/>
      <c r="J498" s="146"/>
      <c r="K498" s="146"/>
      <c r="L498" s="146"/>
    </row>
    <row r="499" spans="2:12" x14ac:dyDescent="0.2">
      <c r="B499" s="146"/>
      <c r="C499" s="146"/>
      <c r="D499" s="146"/>
      <c r="E499" s="146"/>
      <c r="F499" s="146"/>
      <c r="G499" s="146"/>
      <c r="H499" s="146"/>
      <c r="I499" s="146"/>
      <c r="J499" s="146"/>
      <c r="K499" s="146"/>
      <c r="L499" s="146"/>
    </row>
    <row r="500" spans="2:12" x14ac:dyDescent="0.2">
      <c r="B500" s="146"/>
      <c r="C500" s="146"/>
      <c r="D500" s="146"/>
      <c r="E500" s="146"/>
      <c r="F500" s="146"/>
      <c r="G500" s="146"/>
      <c r="H500" s="146"/>
      <c r="I500" s="146"/>
      <c r="J500" s="146"/>
      <c r="K500" s="146"/>
      <c r="L500" s="146"/>
    </row>
    <row r="501" spans="2:12" x14ac:dyDescent="0.2">
      <c r="B501" s="146"/>
      <c r="C501" s="146"/>
      <c r="D501" s="146"/>
      <c r="E501" s="146"/>
      <c r="F501" s="146"/>
      <c r="G501" s="146"/>
      <c r="H501" s="146"/>
      <c r="I501" s="146"/>
      <c r="J501" s="146"/>
      <c r="K501" s="146"/>
      <c r="L501" s="146"/>
    </row>
    <row r="502" spans="2:12" x14ac:dyDescent="0.2">
      <c r="B502" s="146"/>
      <c r="C502" s="146"/>
      <c r="D502" s="146"/>
      <c r="E502" s="146"/>
      <c r="F502" s="146"/>
      <c r="G502" s="146"/>
      <c r="H502" s="146"/>
      <c r="I502" s="146"/>
      <c r="J502" s="146"/>
      <c r="K502" s="146"/>
      <c r="L502" s="146"/>
    </row>
    <row r="503" spans="2:12" x14ac:dyDescent="0.2">
      <c r="B503" s="146"/>
      <c r="C503" s="146"/>
      <c r="D503" s="146"/>
      <c r="E503" s="146"/>
      <c r="F503" s="146"/>
      <c r="G503" s="146"/>
      <c r="H503" s="146"/>
      <c r="I503" s="146"/>
      <c r="J503" s="146"/>
      <c r="K503" s="146"/>
      <c r="L503" s="146"/>
    </row>
    <row r="504" spans="2:12" x14ac:dyDescent="0.2">
      <c r="B504" s="146"/>
      <c r="C504" s="146"/>
      <c r="D504" s="146"/>
      <c r="E504" s="146"/>
      <c r="F504" s="146"/>
      <c r="G504" s="146"/>
      <c r="H504" s="146"/>
      <c r="I504" s="146"/>
      <c r="J504" s="146"/>
      <c r="K504" s="146"/>
      <c r="L504" s="146"/>
    </row>
    <row r="505" spans="2:12" x14ac:dyDescent="0.2">
      <c r="B505" s="146"/>
      <c r="C505" s="146"/>
      <c r="D505" s="146"/>
      <c r="E505" s="146"/>
      <c r="F505" s="146"/>
      <c r="G505" s="146"/>
      <c r="H505" s="146"/>
      <c r="I505" s="146"/>
      <c r="J505" s="146"/>
      <c r="K505" s="146"/>
      <c r="L505" s="146"/>
    </row>
    <row r="506" spans="2:12" x14ac:dyDescent="0.2">
      <c r="B506" s="146"/>
      <c r="C506" s="146"/>
      <c r="D506" s="146"/>
      <c r="E506" s="146"/>
      <c r="F506" s="146"/>
      <c r="G506" s="146"/>
      <c r="H506" s="146"/>
      <c r="I506" s="146"/>
      <c r="J506" s="146"/>
      <c r="K506" s="146"/>
      <c r="L506" s="146"/>
    </row>
    <row r="507" spans="2:12" x14ac:dyDescent="0.2">
      <c r="B507" s="146"/>
      <c r="C507" s="146"/>
      <c r="D507" s="146"/>
      <c r="E507" s="146"/>
      <c r="F507" s="146"/>
      <c r="G507" s="146"/>
      <c r="H507" s="146"/>
      <c r="I507" s="146"/>
      <c r="J507" s="146"/>
      <c r="K507" s="146"/>
      <c r="L507" s="146"/>
    </row>
    <row r="508" spans="2:12" x14ac:dyDescent="0.2">
      <c r="B508" s="146"/>
      <c r="C508" s="146"/>
      <c r="D508" s="146"/>
      <c r="E508" s="146"/>
      <c r="F508" s="146"/>
      <c r="G508" s="146"/>
      <c r="H508" s="146"/>
      <c r="I508" s="146"/>
      <c r="J508" s="146"/>
      <c r="K508" s="146"/>
      <c r="L508" s="146"/>
    </row>
    <row r="509" spans="2:12" x14ac:dyDescent="0.2">
      <c r="B509" s="146"/>
      <c r="C509" s="146"/>
      <c r="D509" s="146"/>
      <c r="E509" s="146"/>
      <c r="F509" s="146"/>
      <c r="G509" s="146"/>
      <c r="H509" s="146"/>
      <c r="I509" s="146"/>
      <c r="J509" s="146"/>
      <c r="K509" s="146"/>
      <c r="L509" s="146"/>
    </row>
    <row r="510" spans="2:12" x14ac:dyDescent="0.2">
      <c r="B510" s="146"/>
      <c r="C510" s="146"/>
      <c r="D510" s="146"/>
      <c r="E510" s="146"/>
      <c r="F510" s="146"/>
      <c r="G510" s="146"/>
      <c r="H510" s="146"/>
      <c r="I510" s="146"/>
      <c r="J510" s="146"/>
      <c r="K510" s="146"/>
      <c r="L510" s="146"/>
    </row>
    <row r="511" spans="2:12" x14ac:dyDescent="0.2">
      <c r="B511" s="146"/>
      <c r="C511" s="146"/>
      <c r="D511" s="146"/>
      <c r="E511" s="146"/>
      <c r="F511" s="146"/>
      <c r="G511" s="146"/>
      <c r="H511" s="146"/>
      <c r="I511" s="146"/>
      <c r="J511" s="146"/>
      <c r="K511" s="146"/>
      <c r="L511" s="146"/>
    </row>
    <row r="512" spans="2:12" x14ac:dyDescent="0.2">
      <c r="B512" s="146"/>
      <c r="C512" s="146"/>
      <c r="D512" s="146"/>
      <c r="E512" s="146"/>
      <c r="F512" s="146"/>
      <c r="G512" s="146"/>
      <c r="H512" s="146"/>
      <c r="I512" s="146"/>
      <c r="J512" s="146"/>
      <c r="K512" s="146"/>
      <c r="L512" s="146"/>
    </row>
    <row r="513" spans="2:12" x14ac:dyDescent="0.2">
      <c r="B513" s="146"/>
      <c r="C513" s="146"/>
      <c r="D513" s="146"/>
      <c r="E513" s="146"/>
      <c r="F513" s="146"/>
      <c r="G513" s="146"/>
      <c r="H513" s="146"/>
      <c r="I513" s="146"/>
      <c r="J513" s="146"/>
      <c r="K513" s="146"/>
      <c r="L513" s="146"/>
    </row>
    <row r="514" spans="2:12" x14ac:dyDescent="0.2">
      <c r="B514" s="146"/>
      <c r="C514" s="146"/>
      <c r="D514" s="146"/>
      <c r="E514" s="146"/>
      <c r="F514" s="146"/>
      <c r="G514" s="146"/>
      <c r="H514" s="146"/>
      <c r="I514" s="146"/>
      <c r="J514" s="146"/>
      <c r="K514" s="146"/>
      <c r="L514" s="146"/>
    </row>
    <row r="515" spans="2:12" x14ac:dyDescent="0.2">
      <c r="B515" s="146"/>
      <c r="C515" s="146"/>
      <c r="D515" s="146"/>
      <c r="E515" s="146"/>
      <c r="F515" s="146"/>
      <c r="G515" s="146"/>
      <c r="H515" s="146"/>
      <c r="I515" s="146"/>
      <c r="J515" s="146"/>
      <c r="K515" s="146"/>
      <c r="L515" s="146"/>
    </row>
    <row r="516" spans="2:12" x14ac:dyDescent="0.2">
      <c r="B516" s="146"/>
      <c r="C516" s="146"/>
      <c r="D516" s="146"/>
      <c r="E516" s="146"/>
      <c r="F516" s="146"/>
      <c r="G516" s="146"/>
      <c r="H516" s="146"/>
      <c r="I516" s="146"/>
      <c r="J516" s="146"/>
      <c r="K516" s="146"/>
      <c r="L516" s="146"/>
    </row>
    <row r="517" spans="2:12" x14ac:dyDescent="0.2">
      <c r="B517" s="146"/>
      <c r="C517" s="146"/>
      <c r="D517" s="146"/>
      <c r="E517" s="146"/>
      <c r="F517" s="146"/>
      <c r="G517" s="146"/>
      <c r="H517" s="146"/>
      <c r="I517" s="146"/>
      <c r="J517" s="146"/>
      <c r="K517" s="146"/>
      <c r="L517" s="146"/>
    </row>
    <row r="518" spans="2:12" x14ac:dyDescent="0.2">
      <c r="B518" s="146"/>
      <c r="C518" s="146"/>
      <c r="D518" s="146"/>
      <c r="E518" s="146"/>
      <c r="F518" s="146"/>
      <c r="G518" s="146"/>
      <c r="H518" s="146"/>
      <c r="I518" s="146"/>
      <c r="J518" s="146"/>
      <c r="K518" s="146"/>
      <c r="L518" s="146"/>
    </row>
    <row r="519" spans="2:12" x14ac:dyDescent="0.2">
      <c r="B519" s="146"/>
      <c r="C519" s="146"/>
      <c r="D519" s="146"/>
      <c r="E519" s="146"/>
      <c r="F519" s="146"/>
      <c r="G519" s="146"/>
      <c r="H519" s="146"/>
      <c r="I519" s="146"/>
      <c r="J519" s="146"/>
      <c r="K519" s="146"/>
      <c r="L519" s="146"/>
    </row>
    <row r="520" spans="2:12" x14ac:dyDescent="0.2">
      <c r="B520" s="146"/>
      <c r="C520" s="146"/>
      <c r="D520" s="146"/>
      <c r="E520" s="146"/>
      <c r="F520" s="146"/>
      <c r="G520" s="146"/>
      <c r="H520" s="146"/>
      <c r="I520" s="146"/>
      <c r="J520" s="146"/>
      <c r="K520" s="146"/>
      <c r="L520" s="146"/>
    </row>
    <row r="521" spans="2:12" x14ac:dyDescent="0.2">
      <c r="B521" s="146"/>
      <c r="C521" s="146"/>
      <c r="D521" s="146"/>
      <c r="E521" s="146"/>
      <c r="F521" s="146"/>
      <c r="G521" s="146"/>
      <c r="H521" s="146"/>
      <c r="I521" s="146"/>
      <c r="J521" s="146"/>
      <c r="K521" s="146"/>
      <c r="L521" s="146"/>
    </row>
    <row r="522" spans="2:12" x14ac:dyDescent="0.2">
      <c r="B522" s="146"/>
      <c r="C522" s="146"/>
      <c r="D522" s="146"/>
      <c r="E522" s="146"/>
      <c r="F522" s="146"/>
      <c r="G522" s="146"/>
      <c r="H522" s="146"/>
      <c r="I522" s="146"/>
      <c r="J522" s="146"/>
      <c r="K522" s="146"/>
      <c r="L522" s="146"/>
    </row>
    <row r="523" spans="2:12" x14ac:dyDescent="0.2">
      <c r="B523" s="146"/>
      <c r="C523" s="146"/>
      <c r="D523" s="146"/>
      <c r="E523" s="146"/>
      <c r="F523" s="146"/>
      <c r="G523" s="146"/>
      <c r="H523" s="146"/>
      <c r="I523" s="146"/>
      <c r="J523" s="146"/>
      <c r="K523" s="146"/>
      <c r="L523" s="146"/>
    </row>
    <row r="524" spans="2:12" x14ac:dyDescent="0.2">
      <c r="B524" s="146"/>
      <c r="C524" s="146"/>
      <c r="D524" s="146"/>
      <c r="E524" s="146"/>
      <c r="F524" s="146"/>
      <c r="G524" s="146"/>
      <c r="H524" s="146"/>
      <c r="I524" s="146"/>
      <c r="J524" s="146"/>
      <c r="K524" s="146"/>
      <c r="L524" s="146"/>
    </row>
    <row r="525" spans="2:12" x14ac:dyDescent="0.2">
      <c r="B525" s="146"/>
      <c r="C525" s="146"/>
      <c r="D525" s="146"/>
      <c r="E525" s="146"/>
      <c r="F525" s="146"/>
      <c r="G525" s="146"/>
      <c r="H525" s="146"/>
      <c r="I525" s="146"/>
      <c r="J525" s="146"/>
      <c r="K525" s="146"/>
      <c r="L525" s="146"/>
    </row>
    <row r="526" spans="2:12" x14ac:dyDescent="0.2">
      <c r="B526" s="146"/>
      <c r="C526" s="146"/>
      <c r="D526" s="146"/>
      <c r="E526" s="146"/>
      <c r="F526" s="146"/>
      <c r="G526" s="146"/>
      <c r="H526" s="146"/>
      <c r="I526" s="146"/>
      <c r="J526" s="146"/>
      <c r="K526" s="146"/>
      <c r="L526" s="146"/>
    </row>
    <row r="527" spans="2:12" x14ac:dyDescent="0.2">
      <c r="B527" s="146"/>
      <c r="C527" s="146"/>
      <c r="D527" s="146"/>
      <c r="E527" s="146"/>
      <c r="F527" s="146"/>
      <c r="G527" s="146"/>
      <c r="H527" s="146"/>
      <c r="I527" s="146"/>
      <c r="J527" s="146"/>
      <c r="K527" s="146"/>
      <c r="L527" s="146"/>
    </row>
    <row r="528" spans="2:12" x14ac:dyDescent="0.2">
      <c r="B528" s="146"/>
      <c r="C528" s="146"/>
      <c r="D528" s="146"/>
      <c r="E528" s="146"/>
      <c r="F528" s="146"/>
      <c r="G528" s="146"/>
      <c r="H528" s="146"/>
      <c r="I528" s="146"/>
      <c r="J528" s="146"/>
      <c r="K528" s="146"/>
      <c r="L528" s="146"/>
    </row>
    <row r="529" spans="2:12" x14ac:dyDescent="0.2">
      <c r="B529" s="146"/>
      <c r="C529" s="146"/>
      <c r="D529" s="146"/>
      <c r="E529" s="146"/>
      <c r="F529" s="146"/>
      <c r="G529" s="146"/>
      <c r="H529" s="146"/>
      <c r="I529" s="146"/>
      <c r="J529" s="146"/>
      <c r="K529" s="146"/>
      <c r="L529" s="146"/>
    </row>
    <row r="530" spans="2:12" x14ac:dyDescent="0.2">
      <c r="B530" s="146"/>
      <c r="C530" s="146"/>
      <c r="D530" s="146"/>
      <c r="E530" s="146"/>
      <c r="F530" s="146"/>
      <c r="G530" s="146"/>
      <c r="H530" s="146"/>
      <c r="I530" s="146"/>
      <c r="J530" s="146"/>
      <c r="K530" s="146"/>
      <c r="L530" s="146"/>
    </row>
    <row r="531" spans="2:12" x14ac:dyDescent="0.2">
      <c r="B531" s="146"/>
      <c r="C531" s="146"/>
      <c r="D531" s="146"/>
      <c r="E531" s="146"/>
      <c r="F531" s="146"/>
      <c r="G531" s="146"/>
      <c r="H531" s="146"/>
      <c r="I531" s="146"/>
      <c r="J531" s="146"/>
      <c r="K531" s="146"/>
      <c r="L531" s="146"/>
    </row>
    <row r="532" spans="2:12" x14ac:dyDescent="0.2">
      <c r="B532" s="146"/>
      <c r="C532" s="146"/>
      <c r="D532" s="146"/>
      <c r="E532" s="146"/>
      <c r="F532" s="146"/>
      <c r="G532" s="146"/>
      <c r="H532" s="146"/>
      <c r="I532" s="146"/>
      <c r="J532" s="146"/>
      <c r="K532" s="146"/>
      <c r="L532" s="146"/>
    </row>
    <row r="533" spans="2:12" x14ac:dyDescent="0.2">
      <c r="B533" s="146"/>
      <c r="C533" s="146"/>
      <c r="D533" s="146"/>
      <c r="E533" s="146"/>
      <c r="F533" s="146"/>
      <c r="G533" s="146"/>
      <c r="H533" s="146"/>
      <c r="I533" s="146"/>
      <c r="J533" s="146"/>
      <c r="K533" s="146"/>
      <c r="L533" s="146"/>
    </row>
    <row r="534" spans="2:12" x14ac:dyDescent="0.2">
      <c r="B534" s="146"/>
      <c r="C534" s="146"/>
      <c r="D534" s="146"/>
      <c r="E534" s="146"/>
      <c r="F534" s="146"/>
      <c r="G534" s="146"/>
      <c r="H534" s="146"/>
      <c r="I534" s="146"/>
      <c r="J534" s="146"/>
      <c r="K534" s="146"/>
      <c r="L534" s="146"/>
    </row>
    <row r="535" spans="2:12" x14ac:dyDescent="0.2">
      <c r="B535" s="146"/>
      <c r="C535" s="146"/>
      <c r="D535" s="146"/>
      <c r="E535" s="146"/>
      <c r="F535" s="146"/>
      <c r="G535" s="146"/>
      <c r="H535" s="146"/>
      <c r="I535" s="146"/>
      <c r="J535" s="146"/>
      <c r="K535" s="146"/>
      <c r="L535" s="146"/>
    </row>
    <row r="536" spans="2:12" x14ac:dyDescent="0.2">
      <c r="B536" s="146"/>
      <c r="C536" s="146"/>
      <c r="D536" s="146"/>
      <c r="E536" s="146"/>
      <c r="F536" s="146"/>
      <c r="G536" s="146"/>
      <c r="H536" s="146"/>
      <c r="I536" s="146"/>
      <c r="J536" s="146"/>
      <c r="K536" s="146"/>
      <c r="L536" s="146"/>
    </row>
    <row r="537" spans="2:12" x14ac:dyDescent="0.2">
      <c r="B537" s="146"/>
      <c r="C537" s="146"/>
      <c r="D537" s="146"/>
      <c r="E537" s="146"/>
      <c r="F537" s="146"/>
      <c r="G537" s="146"/>
      <c r="H537" s="146"/>
      <c r="I537" s="146"/>
      <c r="J537" s="146"/>
      <c r="K537" s="146"/>
      <c r="L537" s="146"/>
    </row>
    <row r="538" spans="2:12" x14ac:dyDescent="0.2">
      <c r="B538" s="146"/>
      <c r="C538" s="146"/>
      <c r="D538" s="146"/>
      <c r="E538" s="146"/>
      <c r="F538" s="146"/>
      <c r="G538" s="146"/>
      <c r="H538" s="146"/>
      <c r="I538" s="146"/>
      <c r="J538" s="146"/>
      <c r="K538" s="146"/>
      <c r="L538" s="146"/>
    </row>
    <row r="539" spans="2:12" x14ac:dyDescent="0.2">
      <c r="B539" s="146"/>
      <c r="C539" s="146"/>
      <c r="D539" s="146"/>
      <c r="E539" s="146"/>
      <c r="F539" s="146"/>
      <c r="G539" s="146"/>
      <c r="H539" s="146"/>
      <c r="I539" s="146"/>
      <c r="J539" s="146"/>
      <c r="K539" s="146"/>
      <c r="L539" s="146"/>
    </row>
    <row r="540" spans="2:12" x14ac:dyDescent="0.2">
      <c r="B540" s="146"/>
      <c r="C540" s="146"/>
      <c r="D540" s="146"/>
      <c r="E540" s="146"/>
      <c r="F540" s="146"/>
      <c r="G540" s="146"/>
      <c r="H540" s="146"/>
      <c r="I540" s="146"/>
      <c r="J540" s="146"/>
      <c r="K540" s="146"/>
      <c r="L540" s="146"/>
    </row>
    <row r="541" spans="2:12" x14ac:dyDescent="0.2">
      <c r="B541" s="146"/>
      <c r="C541" s="146"/>
      <c r="D541" s="146"/>
      <c r="E541" s="146"/>
      <c r="F541" s="146"/>
      <c r="G541" s="146"/>
      <c r="H541" s="146"/>
      <c r="I541" s="146"/>
      <c r="J541" s="146"/>
      <c r="K541" s="146"/>
      <c r="L541" s="146"/>
    </row>
    <row r="542" spans="2:12" x14ac:dyDescent="0.2">
      <c r="B542" s="146"/>
      <c r="C542" s="146"/>
      <c r="D542" s="146"/>
      <c r="E542" s="146"/>
      <c r="F542" s="146"/>
      <c r="G542" s="146"/>
      <c r="H542" s="146"/>
      <c r="I542" s="146"/>
      <c r="J542" s="146"/>
      <c r="K542" s="146"/>
      <c r="L542" s="146"/>
    </row>
    <row r="543" spans="2:12" x14ac:dyDescent="0.2">
      <c r="B543" s="146"/>
      <c r="C543" s="146"/>
      <c r="D543" s="146"/>
      <c r="E543" s="146"/>
      <c r="F543" s="146"/>
      <c r="G543" s="146"/>
      <c r="H543" s="146"/>
      <c r="I543" s="146"/>
      <c r="J543" s="146"/>
      <c r="K543" s="146"/>
      <c r="L543" s="146"/>
    </row>
    <row r="544" spans="2:12" x14ac:dyDescent="0.2">
      <c r="B544" s="146"/>
      <c r="C544" s="146"/>
      <c r="D544" s="146"/>
      <c r="E544" s="146"/>
      <c r="F544" s="146"/>
      <c r="G544" s="146"/>
      <c r="H544" s="146"/>
      <c r="I544" s="146"/>
      <c r="J544" s="146"/>
      <c r="K544" s="146"/>
      <c r="L544" s="146"/>
    </row>
    <row r="545" spans="2:12" x14ac:dyDescent="0.2">
      <c r="B545" s="146"/>
      <c r="C545" s="146"/>
      <c r="D545" s="146"/>
      <c r="E545" s="146"/>
      <c r="F545" s="146"/>
      <c r="G545" s="146"/>
      <c r="H545" s="146"/>
      <c r="I545" s="146"/>
      <c r="J545" s="146"/>
      <c r="K545" s="146"/>
      <c r="L545" s="146"/>
    </row>
    <row r="546" spans="2:12" x14ac:dyDescent="0.2">
      <c r="B546" s="146"/>
      <c r="C546" s="146"/>
      <c r="D546" s="146"/>
      <c r="E546" s="146"/>
      <c r="F546" s="146"/>
      <c r="G546" s="146"/>
      <c r="H546" s="146"/>
      <c r="I546" s="146"/>
      <c r="J546" s="146"/>
      <c r="K546" s="146"/>
      <c r="L546" s="146"/>
    </row>
    <row r="547" spans="2:12" x14ac:dyDescent="0.2">
      <c r="B547" s="146"/>
      <c r="C547" s="146"/>
      <c r="D547" s="146"/>
      <c r="E547" s="146"/>
      <c r="F547" s="146"/>
      <c r="G547" s="146"/>
      <c r="H547" s="146"/>
      <c r="I547" s="146"/>
      <c r="J547" s="146"/>
      <c r="K547" s="146"/>
      <c r="L547" s="146"/>
    </row>
    <row r="548" spans="2:12" x14ac:dyDescent="0.2">
      <c r="B548" s="146"/>
      <c r="C548" s="146"/>
      <c r="D548" s="146"/>
      <c r="E548" s="146"/>
      <c r="F548" s="146"/>
      <c r="G548" s="146"/>
      <c r="H548" s="146"/>
      <c r="I548" s="146"/>
      <c r="J548" s="146"/>
      <c r="K548" s="146"/>
      <c r="L548" s="146"/>
    </row>
    <row r="549" spans="2:12" x14ac:dyDescent="0.2">
      <c r="B549" s="146"/>
      <c r="C549" s="146"/>
      <c r="D549" s="146"/>
      <c r="E549" s="146"/>
      <c r="F549" s="146"/>
      <c r="G549" s="146"/>
      <c r="H549" s="146"/>
      <c r="I549" s="146"/>
      <c r="J549" s="146"/>
      <c r="K549" s="146"/>
      <c r="L549" s="146"/>
    </row>
    <row r="550" spans="2:12" x14ac:dyDescent="0.2">
      <c r="B550" s="146"/>
      <c r="C550" s="146"/>
      <c r="D550" s="146"/>
      <c r="E550" s="146"/>
      <c r="F550" s="146"/>
      <c r="G550" s="146"/>
      <c r="H550" s="146"/>
      <c r="I550" s="146"/>
      <c r="J550" s="146"/>
      <c r="K550" s="146"/>
      <c r="L550" s="146"/>
    </row>
    <row r="551" spans="2:12" x14ac:dyDescent="0.2">
      <c r="B551" s="146"/>
      <c r="C551" s="146"/>
      <c r="D551" s="146"/>
      <c r="E551" s="146"/>
      <c r="F551" s="146"/>
      <c r="G551" s="146"/>
      <c r="H551" s="146"/>
      <c r="I551" s="146"/>
      <c r="J551" s="146"/>
      <c r="K551" s="146"/>
      <c r="L551" s="146"/>
    </row>
    <row r="552" spans="2:12" x14ac:dyDescent="0.2">
      <c r="B552" s="146"/>
      <c r="C552" s="146"/>
      <c r="D552" s="146"/>
      <c r="E552" s="146"/>
      <c r="F552" s="146"/>
      <c r="G552" s="146"/>
      <c r="H552" s="146"/>
      <c r="I552" s="146"/>
      <c r="J552" s="146"/>
      <c r="K552" s="146"/>
      <c r="L552" s="146"/>
    </row>
    <row r="553" spans="2:12" x14ac:dyDescent="0.2">
      <c r="B553" s="146"/>
      <c r="C553" s="146"/>
      <c r="D553" s="146"/>
      <c r="E553" s="146"/>
      <c r="F553" s="146"/>
      <c r="G553" s="146"/>
      <c r="H553" s="146"/>
      <c r="I553" s="146"/>
      <c r="J553" s="146"/>
      <c r="K553" s="146"/>
      <c r="L553" s="146"/>
    </row>
    <row r="554" spans="2:12" x14ac:dyDescent="0.2">
      <c r="B554" s="146"/>
      <c r="C554" s="146"/>
      <c r="D554" s="146"/>
      <c r="E554" s="146"/>
      <c r="F554" s="146"/>
      <c r="G554" s="146"/>
      <c r="H554" s="146"/>
      <c r="I554" s="146"/>
      <c r="J554" s="146"/>
      <c r="K554" s="146"/>
      <c r="L554" s="146"/>
    </row>
    <row r="555" spans="2:12" x14ac:dyDescent="0.2">
      <c r="B555" s="146"/>
      <c r="C555" s="146"/>
      <c r="D555" s="146"/>
      <c r="E555" s="146"/>
      <c r="F555" s="146"/>
      <c r="G555" s="146"/>
      <c r="H555" s="146"/>
      <c r="I555" s="146"/>
      <c r="J555" s="146"/>
      <c r="K555" s="146"/>
      <c r="L555" s="146"/>
    </row>
    <row r="556" spans="2:12" x14ac:dyDescent="0.2">
      <c r="B556" s="146"/>
      <c r="C556" s="146"/>
      <c r="D556" s="146"/>
      <c r="E556" s="146"/>
      <c r="F556" s="146"/>
      <c r="G556" s="146"/>
      <c r="H556" s="146"/>
      <c r="I556" s="146"/>
      <c r="J556" s="146"/>
      <c r="K556" s="146"/>
      <c r="L556" s="146"/>
    </row>
    <row r="557" spans="2:12" x14ac:dyDescent="0.2">
      <c r="B557" s="146"/>
      <c r="C557" s="146"/>
      <c r="D557" s="146"/>
      <c r="E557" s="146"/>
      <c r="F557" s="146"/>
      <c r="G557" s="146"/>
      <c r="H557" s="146"/>
      <c r="I557" s="146"/>
      <c r="J557" s="146"/>
      <c r="K557" s="146"/>
      <c r="L557" s="146"/>
    </row>
    <row r="558" spans="2:12" x14ac:dyDescent="0.2">
      <c r="B558" s="146"/>
      <c r="C558" s="146"/>
      <c r="D558" s="146"/>
      <c r="E558" s="146"/>
      <c r="F558" s="146"/>
      <c r="G558" s="146"/>
      <c r="H558" s="146"/>
      <c r="I558" s="146"/>
      <c r="J558" s="146"/>
      <c r="K558" s="146"/>
      <c r="L558" s="146"/>
    </row>
    <row r="559" spans="2:12" x14ac:dyDescent="0.2">
      <c r="B559" s="146"/>
      <c r="C559" s="146"/>
      <c r="D559" s="146"/>
      <c r="E559" s="146"/>
      <c r="F559" s="146"/>
      <c r="G559" s="146"/>
      <c r="H559" s="146"/>
      <c r="I559" s="146"/>
      <c r="J559" s="146"/>
      <c r="K559" s="146"/>
      <c r="L559" s="146"/>
    </row>
    <row r="560" spans="2:12" x14ac:dyDescent="0.2">
      <c r="B560" s="146"/>
      <c r="C560" s="146"/>
      <c r="D560" s="146"/>
      <c r="E560" s="146"/>
      <c r="F560" s="146"/>
      <c r="G560" s="146"/>
      <c r="H560" s="146"/>
      <c r="I560" s="146"/>
      <c r="J560" s="146"/>
      <c r="K560" s="146"/>
      <c r="L560" s="146"/>
    </row>
    <row r="561" spans="2:12" x14ac:dyDescent="0.2">
      <c r="B561" s="146"/>
      <c r="C561" s="146"/>
      <c r="D561" s="146"/>
      <c r="E561" s="146"/>
      <c r="F561" s="146"/>
      <c r="G561" s="146"/>
      <c r="H561" s="146"/>
      <c r="I561" s="146"/>
      <c r="J561" s="146"/>
      <c r="K561" s="146"/>
      <c r="L561" s="146"/>
    </row>
    <row r="562" spans="2:12" x14ac:dyDescent="0.2">
      <c r="B562" s="146"/>
      <c r="C562" s="146"/>
      <c r="D562" s="146"/>
      <c r="E562" s="146"/>
      <c r="F562" s="146"/>
      <c r="G562" s="146"/>
      <c r="H562" s="146"/>
      <c r="I562" s="146"/>
      <c r="J562" s="146"/>
      <c r="K562" s="146"/>
      <c r="L562" s="146"/>
    </row>
    <row r="563" spans="2:12" x14ac:dyDescent="0.2">
      <c r="B563" s="146"/>
      <c r="C563" s="146"/>
      <c r="D563" s="146"/>
      <c r="E563" s="146"/>
      <c r="F563" s="146"/>
      <c r="G563" s="146"/>
      <c r="H563" s="146"/>
      <c r="I563" s="146"/>
      <c r="J563" s="146"/>
      <c r="K563" s="146"/>
      <c r="L563" s="146"/>
    </row>
    <row r="564" spans="2:12" x14ac:dyDescent="0.2">
      <c r="B564" s="146"/>
      <c r="C564" s="146"/>
      <c r="D564" s="146"/>
      <c r="E564" s="146"/>
      <c r="F564" s="146"/>
      <c r="G564" s="146"/>
      <c r="H564" s="146"/>
      <c r="I564" s="146"/>
      <c r="J564" s="146"/>
      <c r="K564" s="146"/>
      <c r="L564" s="146"/>
    </row>
    <row r="565" spans="2:12" x14ac:dyDescent="0.2">
      <c r="B565" s="146"/>
      <c r="C565" s="146"/>
      <c r="D565" s="146"/>
      <c r="E565" s="146"/>
      <c r="F565" s="146"/>
      <c r="G565" s="146"/>
      <c r="H565" s="146"/>
      <c r="I565" s="146"/>
      <c r="J565" s="146"/>
      <c r="K565" s="146"/>
      <c r="L565" s="146"/>
    </row>
    <row r="566" spans="2:12" x14ac:dyDescent="0.2">
      <c r="B566" s="146"/>
      <c r="C566" s="146"/>
      <c r="D566" s="146"/>
      <c r="E566" s="146"/>
      <c r="F566" s="146"/>
      <c r="G566" s="146"/>
      <c r="H566" s="146"/>
      <c r="I566" s="146"/>
      <c r="J566" s="146"/>
      <c r="K566" s="146"/>
      <c r="L566" s="146"/>
    </row>
    <row r="567" spans="2:12" x14ac:dyDescent="0.2">
      <c r="B567" s="146"/>
      <c r="C567" s="146"/>
      <c r="D567" s="146"/>
      <c r="E567" s="146"/>
      <c r="F567" s="146"/>
      <c r="G567" s="146"/>
      <c r="H567" s="146"/>
      <c r="I567" s="146"/>
      <c r="J567" s="146"/>
      <c r="K567" s="146"/>
      <c r="L567" s="146"/>
    </row>
    <row r="568" spans="2:12" x14ac:dyDescent="0.2">
      <c r="B568" s="146"/>
      <c r="C568" s="146"/>
      <c r="D568" s="146"/>
      <c r="E568" s="146"/>
      <c r="F568" s="146"/>
      <c r="G568" s="146"/>
      <c r="H568" s="146"/>
      <c r="I568" s="146"/>
      <c r="J568" s="146"/>
      <c r="K568" s="146"/>
      <c r="L568" s="146"/>
    </row>
    <row r="569" spans="2:12" x14ac:dyDescent="0.2">
      <c r="B569" s="146"/>
      <c r="C569" s="146"/>
      <c r="D569" s="146"/>
      <c r="E569" s="146"/>
      <c r="F569" s="146"/>
      <c r="G569" s="146"/>
      <c r="H569" s="146"/>
      <c r="I569" s="146"/>
      <c r="J569" s="146"/>
      <c r="K569" s="146"/>
      <c r="L569" s="146"/>
    </row>
    <row r="570" spans="2:12" x14ac:dyDescent="0.2">
      <c r="B570" s="146"/>
      <c r="C570" s="146"/>
      <c r="D570" s="146"/>
      <c r="E570" s="146"/>
      <c r="F570" s="146"/>
      <c r="G570" s="146"/>
      <c r="H570" s="146"/>
      <c r="I570" s="146"/>
      <c r="J570" s="146"/>
      <c r="K570" s="146"/>
      <c r="L570" s="146"/>
    </row>
    <row r="571" spans="2:12" x14ac:dyDescent="0.2">
      <c r="B571" s="146"/>
      <c r="C571" s="146"/>
      <c r="D571" s="146"/>
      <c r="E571" s="146"/>
      <c r="F571" s="146"/>
      <c r="G571" s="146"/>
      <c r="H571" s="146"/>
      <c r="I571" s="146"/>
      <c r="J571" s="146"/>
      <c r="K571" s="146"/>
      <c r="L571" s="146"/>
    </row>
    <row r="572" spans="2:12" x14ac:dyDescent="0.2">
      <c r="B572" s="146"/>
      <c r="C572" s="146"/>
      <c r="D572" s="146"/>
      <c r="E572" s="146"/>
      <c r="F572" s="146"/>
      <c r="G572" s="146"/>
      <c r="H572" s="146"/>
      <c r="I572" s="146"/>
      <c r="J572" s="146"/>
      <c r="K572" s="146"/>
      <c r="L572" s="146"/>
    </row>
    <row r="573" spans="2:12" x14ac:dyDescent="0.2">
      <c r="B573" s="146"/>
      <c r="C573" s="146"/>
      <c r="D573" s="146"/>
      <c r="E573" s="146"/>
      <c r="F573" s="146"/>
      <c r="G573" s="146"/>
      <c r="H573" s="146"/>
      <c r="I573" s="146"/>
      <c r="J573" s="146"/>
      <c r="K573" s="146"/>
      <c r="L573" s="146"/>
    </row>
    <row r="574" spans="2:12" x14ac:dyDescent="0.2">
      <c r="B574" s="146"/>
      <c r="C574" s="146"/>
      <c r="D574" s="146"/>
      <c r="E574" s="146"/>
      <c r="F574" s="146"/>
      <c r="G574" s="146"/>
      <c r="H574" s="146"/>
      <c r="I574" s="146"/>
      <c r="J574" s="146"/>
      <c r="K574" s="146"/>
      <c r="L574" s="146"/>
    </row>
    <row r="575" spans="2:12" x14ac:dyDescent="0.2">
      <c r="B575" s="146"/>
      <c r="C575" s="146"/>
      <c r="D575" s="146"/>
      <c r="E575" s="146"/>
      <c r="F575" s="146"/>
      <c r="G575" s="146"/>
      <c r="H575" s="146"/>
      <c r="I575" s="146"/>
      <c r="J575" s="146"/>
      <c r="K575" s="146"/>
      <c r="L575" s="146"/>
    </row>
    <row r="576" spans="2:12" x14ac:dyDescent="0.2">
      <c r="B576" s="146"/>
      <c r="C576" s="146"/>
      <c r="D576" s="146"/>
      <c r="E576" s="146"/>
      <c r="F576" s="146"/>
      <c r="G576" s="146"/>
      <c r="H576" s="146"/>
      <c r="I576" s="146"/>
      <c r="J576" s="146"/>
      <c r="K576" s="146"/>
      <c r="L576" s="146"/>
    </row>
    <row r="577" spans="2:12" x14ac:dyDescent="0.2">
      <c r="B577" s="146"/>
      <c r="C577" s="146"/>
      <c r="D577" s="146"/>
      <c r="E577" s="146"/>
      <c r="F577" s="146"/>
      <c r="G577" s="146"/>
      <c r="H577" s="146"/>
      <c r="I577" s="146"/>
      <c r="J577" s="146"/>
      <c r="K577" s="146"/>
      <c r="L577" s="146"/>
    </row>
    <row r="578" spans="2:12" x14ac:dyDescent="0.2">
      <c r="B578" s="146"/>
      <c r="C578" s="146"/>
      <c r="D578" s="146"/>
      <c r="E578" s="146"/>
      <c r="F578" s="146"/>
      <c r="G578" s="146"/>
      <c r="H578" s="146"/>
      <c r="I578" s="146"/>
      <c r="J578" s="146"/>
      <c r="K578" s="146"/>
      <c r="L578" s="146"/>
    </row>
    <row r="579" spans="2:12" x14ac:dyDescent="0.2">
      <c r="B579" s="146"/>
      <c r="C579" s="146"/>
      <c r="D579" s="146"/>
      <c r="E579" s="146"/>
      <c r="F579" s="146"/>
      <c r="G579" s="146"/>
      <c r="H579" s="146"/>
      <c r="I579" s="146"/>
      <c r="J579" s="146"/>
      <c r="K579" s="146"/>
      <c r="L579" s="146"/>
    </row>
    <row r="580" spans="2:12" x14ac:dyDescent="0.2">
      <c r="B580" s="146"/>
      <c r="C580" s="146"/>
      <c r="D580" s="146"/>
      <c r="E580" s="146"/>
      <c r="F580" s="146"/>
      <c r="G580" s="146"/>
      <c r="H580" s="146"/>
      <c r="I580" s="146"/>
      <c r="J580" s="146"/>
      <c r="K580" s="146"/>
      <c r="L580" s="146"/>
    </row>
    <row r="581" spans="2:12" x14ac:dyDescent="0.2">
      <c r="B581" s="146"/>
      <c r="C581" s="146"/>
      <c r="D581" s="146"/>
      <c r="E581" s="146"/>
      <c r="F581" s="146"/>
      <c r="G581" s="146"/>
      <c r="H581" s="146"/>
      <c r="I581" s="146"/>
      <c r="J581" s="146"/>
      <c r="K581" s="146"/>
      <c r="L581" s="146"/>
    </row>
    <row r="582" spans="2:12" x14ac:dyDescent="0.2">
      <c r="B582" s="146"/>
      <c r="C582" s="146"/>
      <c r="D582" s="146"/>
      <c r="E582" s="146"/>
      <c r="F582" s="146"/>
      <c r="G582" s="146"/>
      <c r="H582" s="146"/>
      <c r="I582" s="146"/>
      <c r="J582" s="146"/>
      <c r="K582" s="146"/>
      <c r="L582" s="146"/>
    </row>
    <row r="583" spans="2:12" x14ac:dyDescent="0.2">
      <c r="B583" s="146"/>
      <c r="C583" s="146"/>
      <c r="D583" s="146"/>
      <c r="E583" s="146"/>
      <c r="F583" s="146"/>
      <c r="G583" s="146"/>
      <c r="H583" s="146"/>
      <c r="I583" s="146"/>
      <c r="J583" s="146"/>
      <c r="K583" s="146"/>
      <c r="L583" s="146"/>
    </row>
    <row r="584" spans="2:12" x14ac:dyDescent="0.2">
      <c r="B584" s="146"/>
      <c r="C584" s="146"/>
      <c r="D584" s="146"/>
      <c r="E584" s="146"/>
      <c r="F584" s="146"/>
      <c r="G584" s="146"/>
      <c r="H584" s="146"/>
      <c r="I584" s="146"/>
      <c r="J584" s="146"/>
      <c r="K584" s="146"/>
      <c r="L584" s="146"/>
    </row>
    <row r="585" spans="2:12" x14ac:dyDescent="0.2">
      <c r="B585" s="146"/>
      <c r="C585" s="146"/>
      <c r="D585" s="146"/>
      <c r="E585" s="146"/>
      <c r="F585" s="146"/>
      <c r="G585" s="146"/>
      <c r="H585" s="146"/>
      <c r="I585" s="146"/>
      <c r="J585" s="146"/>
      <c r="K585" s="146"/>
      <c r="L585" s="146"/>
    </row>
    <row r="586" spans="2:12" x14ac:dyDescent="0.2">
      <c r="B586" s="146"/>
      <c r="C586" s="146"/>
      <c r="D586" s="146"/>
      <c r="E586" s="146"/>
      <c r="F586" s="146"/>
      <c r="G586" s="146"/>
      <c r="H586" s="146"/>
      <c r="I586" s="146"/>
      <c r="J586" s="146"/>
      <c r="K586" s="146"/>
      <c r="L586" s="146"/>
    </row>
    <row r="587" spans="2:12" x14ac:dyDescent="0.2">
      <c r="B587" s="146"/>
      <c r="C587" s="146"/>
      <c r="D587" s="146"/>
      <c r="E587" s="146"/>
      <c r="F587" s="146"/>
      <c r="G587" s="146"/>
      <c r="H587" s="146"/>
      <c r="I587" s="146"/>
      <c r="J587" s="146"/>
      <c r="K587" s="146"/>
      <c r="L587" s="146"/>
    </row>
    <row r="588" spans="2:12" x14ac:dyDescent="0.2">
      <c r="B588" s="146"/>
      <c r="C588" s="146"/>
      <c r="D588" s="146"/>
      <c r="E588" s="146"/>
      <c r="F588" s="146"/>
      <c r="G588" s="146"/>
      <c r="H588" s="146"/>
      <c r="I588" s="146"/>
      <c r="J588" s="146"/>
      <c r="K588" s="146"/>
      <c r="L588" s="146"/>
    </row>
    <row r="589" spans="2:12" x14ac:dyDescent="0.2">
      <c r="B589" s="146"/>
      <c r="C589" s="146"/>
      <c r="D589" s="146"/>
      <c r="E589" s="146"/>
      <c r="F589" s="146"/>
      <c r="G589" s="146"/>
      <c r="H589" s="146"/>
      <c r="I589" s="146"/>
      <c r="J589" s="146"/>
      <c r="K589" s="146"/>
      <c r="L589" s="146"/>
    </row>
    <row r="590" spans="2:12" x14ac:dyDescent="0.2">
      <c r="B590" s="146"/>
      <c r="C590" s="146"/>
      <c r="D590" s="146"/>
      <c r="E590" s="146"/>
      <c r="F590" s="146"/>
      <c r="G590" s="146"/>
      <c r="H590" s="146"/>
      <c r="I590" s="146"/>
      <c r="J590" s="146"/>
      <c r="K590" s="146"/>
      <c r="L590" s="146"/>
    </row>
    <row r="591" spans="2:12" x14ac:dyDescent="0.2">
      <c r="B591" s="146"/>
      <c r="C591" s="146"/>
      <c r="D591" s="146"/>
      <c r="E591" s="146"/>
      <c r="F591" s="146"/>
      <c r="G591" s="146"/>
      <c r="H591" s="146"/>
      <c r="I591" s="146"/>
      <c r="J591" s="146"/>
      <c r="K591" s="146"/>
      <c r="L591" s="146"/>
    </row>
    <row r="592" spans="2:12" x14ac:dyDescent="0.2">
      <c r="B592" s="146"/>
      <c r="C592" s="146"/>
      <c r="D592" s="146"/>
      <c r="E592" s="146"/>
      <c r="F592" s="146"/>
      <c r="G592" s="146"/>
      <c r="H592" s="146"/>
      <c r="I592" s="146"/>
      <c r="J592" s="146"/>
      <c r="K592" s="146"/>
      <c r="L592" s="146"/>
    </row>
    <row r="593" spans="2:12" x14ac:dyDescent="0.2">
      <c r="B593" s="146"/>
      <c r="C593" s="146"/>
      <c r="D593" s="146"/>
      <c r="E593" s="146"/>
      <c r="F593" s="146"/>
      <c r="G593" s="146"/>
      <c r="H593" s="146"/>
      <c r="I593" s="146"/>
      <c r="J593" s="146"/>
      <c r="K593" s="146"/>
      <c r="L593" s="146"/>
    </row>
    <row r="594" spans="2:12" x14ac:dyDescent="0.2">
      <c r="B594" s="146"/>
      <c r="C594" s="146"/>
      <c r="D594" s="146"/>
      <c r="E594" s="146"/>
      <c r="F594" s="146"/>
      <c r="G594" s="146"/>
      <c r="H594" s="146"/>
      <c r="I594" s="146"/>
      <c r="J594" s="146"/>
      <c r="K594" s="146"/>
      <c r="L594" s="146"/>
    </row>
    <row r="595" spans="2:12" x14ac:dyDescent="0.2">
      <c r="B595" s="146"/>
      <c r="C595" s="146"/>
      <c r="D595" s="146"/>
      <c r="E595" s="146"/>
      <c r="F595" s="146"/>
      <c r="G595" s="146"/>
      <c r="H595" s="146"/>
      <c r="I595" s="146"/>
      <c r="J595" s="146"/>
      <c r="K595" s="146"/>
      <c r="L595" s="146"/>
    </row>
    <row r="596" spans="2:12" x14ac:dyDescent="0.2">
      <c r="B596" s="146"/>
      <c r="C596" s="146"/>
      <c r="D596" s="146"/>
      <c r="E596" s="146"/>
      <c r="F596" s="146"/>
      <c r="G596" s="146"/>
      <c r="H596" s="146"/>
      <c r="I596" s="146"/>
      <c r="J596" s="146"/>
      <c r="K596" s="146"/>
      <c r="L596" s="146"/>
    </row>
    <row r="597" spans="2:12" x14ac:dyDescent="0.2">
      <c r="B597" s="146"/>
      <c r="C597" s="146"/>
      <c r="D597" s="146"/>
      <c r="E597" s="146"/>
      <c r="F597" s="146"/>
      <c r="G597" s="146"/>
      <c r="H597" s="146"/>
      <c r="I597" s="146"/>
      <c r="J597" s="146"/>
      <c r="K597" s="146"/>
      <c r="L597" s="146"/>
    </row>
    <row r="598" spans="2:12" x14ac:dyDescent="0.2">
      <c r="B598" s="146"/>
      <c r="C598" s="146"/>
      <c r="D598" s="146"/>
      <c r="E598" s="146"/>
      <c r="F598" s="146"/>
      <c r="G598" s="146"/>
      <c r="H598" s="146"/>
      <c r="I598" s="146"/>
      <c r="J598" s="146"/>
      <c r="K598" s="146"/>
      <c r="L598" s="146"/>
    </row>
    <row r="599" spans="2:12" x14ac:dyDescent="0.2">
      <c r="B599" s="146"/>
      <c r="C599" s="146"/>
      <c r="D599" s="146"/>
      <c r="E599" s="146"/>
      <c r="F599" s="146"/>
      <c r="G599" s="146"/>
      <c r="H599" s="146"/>
      <c r="I599" s="146"/>
      <c r="J599" s="146"/>
      <c r="K599" s="146"/>
      <c r="L599" s="146"/>
    </row>
    <row r="600" spans="2:12" x14ac:dyDescent="0.2">
      <c r="B600" s="146"/>
      <c r="C600" s="146"/>
      <c r="D600" s="146"/>
      <c r="E600" s="146"/>
      <c r="F600" s="146"/>
      <c r="G600" s="146"/>
      <c r="H600" s="146"/>
      <c r="I600" s="146"/>
      <c r="J600" s="146"/>
      <c r="K600" s="146"/>
      <c r="L600" s="146"/>
    </row>
    <row r="601" spans="2:12" x14ac:dyDescent="0.2">
      <c r="B601" s="146"/>
      <c r="C601" s="146"/>
      <c r="D601" s="146"/>
      <c r="E601" s="146"/>
      <c r="F601" s="146"/>
      <c r="G601" s="146"/>
      <c r="H601" s="146"/>
      <c r="I601" s="146"/>
      <c r="J601" s="146"/>
      <c r="K601" s="146"/>
      <c r="L601" s="146"/>
    </row>
    <row r="602" spans="2:12" x14ac:dyDescent="0.2">
      <c r="B602" s="146"/>
      <c r="C602" s="146"/>
      <c r="D602" s="146"/>
      <c r="E602" s="146"/>
      <c r="F602" s="146"/>
      <c r="G602" s="146"/>
      <c r="H602" s="146"/>
      <c r="I602" s="146"/>
      <c r="J602" s="146"/>
      <c r="K602" s="146"/>
      <c r="L602" s="146"/>
    </row>
    <row r="603" spans="2:12" x14ac:dyDescent="0.2">
      <c r="B603" s="146"/>
      <c r="C603" s="146"/>
      <c r="D603" s="146"/>
      <c r="E603" s="146"/>
      <c r="F603" s="146"/>
      <c r="G603" s="146"/>
      <c r="H603" s="146"/>
      <c r="I603" s="146"/>
      <c r="J603" s="146"/>
      <c r="K603" s="146"/>
      <c r="L603" s="146"/>
    </row>
    <row r="604" spans="2:12" x14ac:dyDescent="0.2">
      <c r="B604" s="146"/>
      <c r="C604" s="146"/>
      <c r="D604" s="146"/>
      <c r="E604" s="146"/>
      <c r="F604" s="146"/>
      <c r="G604" s="146"/>
      <c r="H604" s="146"/>
      <c r="I604" s="146"/>
      <c r="J604" s="146"/>
      <c r="K604" s="146"/>
      <c r="L604" s="146"/>
    </row>
    <row r="605" spans="2:12" x14ac:dyDescent="0.2">
      <c r="B605" s="146"/>
      <c r="C605" s="146"/>
      <c r="D605" s="146"/>
      <c r="E605" s="146"/>
      <c r="F605" s="146"/>
      <c r="G605" s="146"/>
      <c r="H605" s="146"/>
      <c r="I605" s="146"/>
      <c r="J605" s="146"/>
      <c r="K605" s="146"/>
      <c r="L605" s="146"/>
    </row>
    <row r="606" spans="2:12" x14ac:dyDescent="0.2">
      <c r="B606" s="146"/>
      <c r="C606" s="146"/>
      <c r="D606" s="146"/>
      <c r="E606" s="146"/>
      <c r="F606" s="146"/>
      <c r="G606" s="146"/>
      <c r="H606" s="146"/>
      <c r="I606" s="146"/>
      <c r="J606" s="146"/>
      <c r="K606" s="146"/>
      <c r="L606" s="146"/>
    </row>
    <row r="607" spans="2:12" x14ac:dyDescent="0.2">
      <c r="B607" s="146"/>
      <c r="C607" s="146"/>
      <c r="D607" s="146"/>
      <c r="E607" s="146"/>
      <c r="F607" s="146"/>
      <c r="G607" s="146"/>
      <c r="H607" s="146"/>
      <c r="I607" s="146"/>
      <c r="J607" s="146"/>
      <c r="K607" s="146"/>
      <c r="L607" s="146"/>
    </row>
    <row r="608" spans="2:12" x14ac:dyDescent="0.2">
      <c r="B608" s="146"/>
      <c r="C608" s="146"/>
      <c r="D608" s="146"/>
      <c r="E608" s="146"/>
      <c r="F608" s="146"/>
      <c r="G608" s="146"/>
      <c r="H608" s="146"/>
      <c r="I608" s="146"/>
      <c r="J608" s="146"/>
      <c r="K608" s="146"/>
      <c r="L608" s="146"/>
    </row>
    <row r="609" spans="2:12" x14ac:dyDescent="0.2">
      <c r="B609" s="146"/>
      <c r="C609" s="146"/>
      <c r="D609" s="146"/>
      <c r="E609" s="146"/>
      <c r="F609" s="146"/>
      <c r="G609" s="146"/>
      <c r="H609" s="146"/>
      <c r="I609" s="146"/>
      <c r="J609" s="146"/>
      <c r="K609" s="146"/>
      <c r="L609" s="146"/>
    </row>
    <row r="610" spans="2:12" x14ac:dyDescent="0.2">
      <c r="B610" s="146"/>
      <c r="C610" s="146"/>
      <c r="D610" s="146"/>
      <c r="E610" s="146"/>
      <c r="F610" s="146"/>
      <c r="G610" s="146"/>
      <c r="H610" s="146"/>
      <c r="I610" s="146"/>
      <c r="J610" s="146"/>
      <c r="K610" s="146"/>
      <c r="L610" s="146"/>
    </row>
    <row r="611" spans="2:12" x14ac:dyDescent="0.2">
      <c r="B611" s="146"/>
      <c r="C611" s="146"/>
      <c r="D611" s="146"/>
      <c r="E611" s="146"/>
      <c r="F611" s="146"/>
      <c r="G611" s="146"/>
      <c r="H611" s="146"/>
      <c r="I611" s="146"/>
      <c r="J611" s="146"/>
      <c r="K611" s="146"/>
      <c r="L611" s="146"/>
    </row>
    <row r="612" spans="2:12" x14ac:dyDescent="0.2">
      <c r="B612" s="146"/>
      <c r="C612" s="146"/>
      <c r="D612" s="146"/>
      <c r="E612" s="146"/>
      <c r="F612" s="146"/>
      <c r="G612" s="146"/>
      <c r="H612" s="146"/>
      <c r="I612" s="146"/>
      <c r="J612" s="146"/>
      <c r="K612" s="146"/>
      <c r="L612" s="146"/>
    </row>
    <row r="613" spans="2:12" x14ac:dyDescent="0.2">
      <c r="B613" s="146"/>
      <c r="C613" s="146"/>
      <c r="D613" s="146"/>
      <c r="E613" s="146"/>
      <c r="F613" s="146"/>
      <c r="G613" s="146"/>
      <c r="H613" s="146"/>
      <c r="I613" s="146"/>
      <c r="J613" s="146"/>
      <c r="K613" s="146"/>
      <c r="L613" s="146"/>
    </row>
    <row r="614" spans="2:12" x14ac:dyDescent="0.2">
      <c r="B614" s="146"/>
      <c r="C614" s="146"/>
      <c r="D614" s="146"/>
      <c r="E614" s="146"/>
      <c r="F614" s="146"/>
      <c r="G614" s="146"/>
      <c r="H614" s="146"/>
      <c r="I614" s="146"/>
      <c r="J614" s="146"/>
      <c r="K614" s="146"/>
      <c r="L614" s="146"/>
    </row>
    <row r="615" spans="2:12" x14ac:dyDescent="0.2">
      <c r="B615" s="146"/>
      <c r="C615" s="146"/>
      <c r="D615" s="146"/>
      <c r="E615" s="146"/>
      <c r="F615" s="146"/>
      <c r="G615" s="146"/>
      <c r="H615" s="146"/>
      <c r="I615" s="146"/>
      <c r="J615" s="146"/>
      <c r="K615" s="146"/>
      <c r="L615" s="146"/>
    </row>
    <row r="616" spans="2:12" x14ac:dyDescent="0.2">
      <c r="B616" s="146"/>
      <c r="C616" s="146"/>
      <c r="D616" s="146"/>
      <c r="E616" s="146"/>
      <c r="F616" s="146"/>
      <c r="G616" s="146"/>
      <c r="H616" s="146"/>
      <c r="I616" s="146"/>
      <c r="J616" s="146"/>
      <c r="K616" s="146"/>
      <c r="L616" s="146"/>
    </row>
    <row r="617" spans="2:12" x14ac:dyDescent="0.2">
      <c r="B617" s="146"/>
      <c r="C617" s="146"/>
      <c r="D617" s="146"/>
      <c r="E617" s="146"/>
      <c r="F617" s="146"/>
      <c r="G617" s="146"/>
      <c r="H617" s="146"/>
      <c r="I617" s="146"/>
      <c r="J617" s="146"/>
      <c r="K617" s="146"/>
      <c r="L617" s="146"/>
    </row>
    <row r="618" spans="2:12" x14ac:dyDescent="0.2">
      <c r="B618" s="146"/>
      <c r="C618" s="146"/>
      <c r="D618" s="146"/>
      <c r="E618" s="146"/>
      <c r="F618" s="146"/>
      <c r="G618" s="146"/>
      <c r="H618" s="146"/>
      <c r="I618" s="146"/>
      <c r="J618" s="146"/>
      <c r="K618" s="146"/>
      <c r="L618" s="146"/>
    </row>
    <row r="619" spans="2:12" x14ac:dyDescent="0.2">
      <c r="B619" s="146"/>
      <c r="C619" s="146"/>
      <c r="D619" s="146"/>
      <c r="E619" s="146"/>
      <c r="F619" s="146"/>
      <c r="G619" s="146"/>
      <c r="H619" s="146"/>
      <c r="I619" s="146"/>
      <c r="J619" s="146"/>
      <c r="K619" s="146"/>
      <c r="L619" s="146"/>
    </row>
    <row r="620" spans="2:12" x14ac:dyDescent="0.2">
      <c r="B620" s="146"/>
      <c r="C620" s="146"/>
      <c r="D620" s="146"/>
      <c r="E620" s="146"/>
      <c r="F620" s="146"/>
      <c r="G620" s="146"/>
      <c r="H620" s="146"/>
      <c r="I620" s="146"/>
      <c r="J620" s="146"/>
      <c r="K620" s="146"/>
      <c r="L620" s="146"/>
    </row>
    <row r="621" spans="2:12" x14ac:dyDescent="0.2">
      <c r="B621" s="146"/>
      <c r="C621" s="146"/>
      <c r="D621" s="146"/>
      <c r="E621" s="146"/>
      <c r="F621" s="146"/>
      <c r="G621" s="146"/>
      <c r="H621" s="146"/>
      <c r="I621" s="146"/>
      <c r="J621" s="146"/>
      <c r="K621" s="146"/>
      <c r="L621" s="146"/>
    </row>
    <row r="622" spans="2:12" x14ac:dyDescent="0.2">
      <c r="B622" s="146"/>
      <c r="C622" s="146"/>
      <c r="D622" s="146"/>
      <c r="E622" s="146"/>
      <c r="F622" s="146"/>
      <c r="G622" s="146"/>
      <c r="H622" s="146"/>
      <c r="I622" s="146"/>
      <c r="J622" s="146"/>
      <c r="K622" s="146"/>
      <c r="L622" s="146"/>
    </row>
    <row r="623" spans="2:12" x14ac:dyDescent="0.2">
      <c r="B623" s="146"/>
      <c r="C623" s="146"/>
      <c r="D623" s="146"/>
      <c r="E623" s="146"/>
      <c r="F623" s="146"/>
      <c r="G623" s="146"/>
      <c r="H623" s="146"/>
      <c r="I623" s="146"/>
      <c r="J623" s="146"/>
      <c r="K623" s="146"/>
      <c r="L623" s="146"/>
    </row>
    <row r="624" spans="2:12" x14ac:dyDescent="0.2">
      <c r="B624" s="146"/>
      <c r="C624" s="146"/>
      <c r="D624" s="146"/>
      <c r="E624" s="146"/>
      <c r="F624" s="146"/>
      <c r="G624" s="146"/>
      <c r="H624" s="146"/>
      <c r="I624" s="146"/>
      <c r="J624" s="146"/>
      <c r="K624" s="146"/>
      <c r="L624" s="146"/>
    </row>
    <row r="625" spans="2:12" x14ac:dyDescent="0.2">
      <c r="B625" s="146"/>
      <c r="C625" s="146"/>
      <c r="D625" s="146"/>
      <c r="E625" s="146"/>
      <c r="F625" s="146"/>
      <c r="G625" s="146"/>
      <c r="H625" s="146"/>
      <c r="I625" s="146"/>
      <c r="J625" s="146"/>
      <c r="K625" s="146"/>
      <c r="L625" s="146"/>
    </row>
    <row r="626" spans="2:12" x14ac:dyDescent="0.2">
      <c r="B626" s="146"/>
      <c r="C626" s="146"/>
      <c r="D626" s="146"/>
      <c r="E626" s="146"/>
      <c r="F626" s="146"/>
      <c r="G626" s="146"/>
      <c r="H626" s="146"/>
      <c r="I626" s="146"/>
      <c r="J626" s="146"/>
      <c r="K626" s="146"/>
      <c r="L626" s="146"/>
    </row>
    <row r="627" spans="2:12" x14ac:dyDescent="0.2">
      <c r="B627" s="146"/>
      <c r="C627" s="146"/>
      <c r="D627" s="146"/>
      <c r="E627" s="146"/>
      <c r="F627" s="146"/>
      <c r="G627" s="146"/>
      <c r="H627" s="146"/>
      <c r="I627" s="146"/>
      <c r="J627" s="146"/>
      <c r="K627" s="146"/>
      <c r="L627" s="146"/>
    </row>
    <row r="628" spans="2:12" x14ac:dyDescent="0.2">
      <c r="B628" s="146"/>
      <c r="C628" s="146"/>
      <c r="D628" s="146"/>
      <c r="E628" s="146"/>
      <c r="F628" s="146"/>
      <c r="G628" s="146"/>
      <c r="H628" s="146"/>
      <c r="I628" s="146"/>
      <c r="J628" s="146"/>
      <c r="K628" s="146"/>
      <c r="L628" s="146"/>
    </row>
    <row r="629" spans="2:12" x14ac:dyDescent="0.2">
      <c r="B629" s="146"/>
      <c r="C629" s="146"/>
      <c r="D629" s="146"/>
      <c r="E629" s="146"/>
      <c r="F629" s="146"/>
      <c r="G629" s="146"/>
      <c r="H629" s="146"/>
      <c r="I629" s="146"/>
      <c r="J629" s="146"/>
      <c r="K629" s="146"/>
      <c r="L629" s="146"/>
    </row>
    <row r="630" spans="2:12" x14ac:dyDescent="0.2">
      <c r="B630" s="146"/>
      <c r="C630" s="146"/>
      <c r="D630" s="146"/>
      <c r="E630" s="146"/>
      <c r="F630" s="146"/>
      <c r="G630" s="146"/>
      <c r="H630" s="146"/>
      <c r="I630" s="146"/>
      <c r="J630" s="146"/>
      <c r="K630" s="146"/>
      <c r="L630" s="146"/>
    </row>
    <row r="631" spans="2:12" x14ac:dyDescent="0.2">
      <c r="B631" s="146"/>
      <c r="C631" s="146"/>
      <c r="D631" s="146"/>
      <c r="E631" s="146"/>
      <c r="F631" s="146"/>
      <c r="G631" s="146"/>
      <c r="H631" s="146"/>
      <c r="I631" s="146"/>
      <c r="J631" s="146"/>
      <c r="K631" s="146"/>
      <c r="L631" s="146"/>
    </row>
    <row r="632" spans="2:12" x14ac:dyDescent="0.2">
      <c r="B632" s="146"/>
      <c r="C632" s="146"/>
      <c r="D632" s="146"/>
      <c r="E632" s="146"/>
      <c r="F632" s="146"/>
      <c r="G632" s="146"/>
      <c r="H632" s="146"/>
      <c r="I632" s="146"/>
      <c r="J632" s="146"/>
      <c r="K632" s="146"/>
      <c r="L632" s="146"/>
    </row>
    <row r="633" spans="2:12" x14ac:dyDescent="0.2">
      <c r="B633" s="146"/>
      <c r="C633" s="146"/>
      <c r="D633" s="146"/>
      <c r="E633" s="146"/>
      <c r="F633" s="146"/>
      <c r="G633" s="146"/>
      <c r="H633" s="146"/>
      <c r="I633" s="146"/>
      <c r="J633" s="146"/>
      <c r="K633" s="146"/>
      <c r="L633" s="146"/>
    </row>
    <row r="634" spans="2:12" x14ac:dyDescent="0.2">
      <c r="B634" s="146"/>
      <c r="C634" s="146"/>
      <c r="D634" s="146"/>
      <c r="E634" s="146"/>
      <c r="F634" s="146"/>
      <c r="G634" s="146"/>
      <c r="H634" s="146"/>
      <c r="I634" s="146"/>
      <c r="J634" s="146"/>
      <c r="K634" s="146"/>
      <c r="L634" s="146"/>
    </row>
    <row r="635" spans="2:12" x14ac:dyDescent="0.2">
      <c r="B635" s="146"/>
      <c r="C635" s="146"/>
      <c r="D635" s="146"/>
      <c r="E635" s="146"/>
      <c r="F635" s="146"/>
      <c r="G635" s="146"/>
      <c r="H635" s="146"/>
      <c r="I635" s="146"/>
      <c r="J635" s="146"/>
      <c r="K635" s="146"/>
      <c r="L635" s="146"/>
    </row>
    <row r="636" spans="2:12" x14ac:dyDescent="0.2">
      <c r="B636" s="146"/>
      <c r="C636" s="146"/>
      <c r="D636" s="146"/>
      <c r="E636" s="146"/>
      <c r="F636" s="146"/>
      <c r="G636" s="146"/>
      <c r="H636" s="146"/>
      <c r="I636" s="146"/>
      <c r="J636" s="146"/>
      <c r="K636" s="146"/>
      <c r="L636" s="146"/>
    </row>
    <row r="637" spans="2:12" x14ac:dyDescent="0.2">
      <c r="B637" s="146"/>
      <c r="C637" s="146"/>
      <c r="D637" s="146"/>
      <c r="E637" s="146"/>
      <c r="F637" s="146"/>
      <c r="G637" s="146"/>
      <c r="H637" s="146"/>
      <c r="I637" s="146"/>
      <c r="J637" s="146"/>
      <c r="K637" s="146"/>
      <c r="L637" s="146"/>
    </row>
    <row r="638" spans="2:12" x14ac:dyDescent="0.2">
      <c r="B638" s="146"/>
      <c r="C638" s="146"/>
      <c r="D638" s="146"/>
      <c r="E638" s="146"/>
      <c r="F638" s="146"/>
      <c r="G638" s="146"/>
      <c r="H638" s="146"/>
      <c r="I638" s="146"/>
      <c r="J638" s="146"/>
      <c r="K638" s="146"/>
      <c r="L638" s="146"/>
    </row>
    <row r="639" spans="2:12" x14ac:dyDescent="0.2">
      <c r="B639" s="146"/>
      <c r="C639" s="146"/>
      <c r="D639" s="146"/>
      <c r="E639" s="146"/>
      <c r="F639" s="146"/>
      <c r="G639" s="146"/>
      <c r="H639" s="146"/>
      <c r="I639" s="146"/>
      <c r="J639" s="146"/>
      <c r="K639" s="146"/>
      <c r="L639" s="146"/>
    </row>
    <row r="640" spans="2:12" x14ac:dyDescent="0.2">
      <c r="B640" s="146"/>
      <c r="C640" s="146"/>
      <c r="D640" s="146"/>
      <c r="E640" s="146"/>
      <c r="F640" s="146"/>
      <c r="G640" s="146"/>
      <c r="H640" s="146"/>
      <c r="I640" s="146"/>
      <c r="J640" s="146"/>
      <c r="K640" s="146"/>
      <c r="L640" s="146"/>
    </row>
    <row r="641" spans="2:12" x14ac:dyDescent="0.2">
      <c r="B641" s="146"/>
      <c r="C641" s="146"/>
      <c r="D641" s="146"/>
      <c r="E641" s="146"/>
      <c r="F641" s="146"/>
      <c r="G641" s="146"/>
      <c r="H641" s="146"/>
      <c r="I641" s="146"/>
      <c r="J641" s="146"/>
      <c r="K641" s="146"/>
      <c r="L641" s="146"/>
    </row>
    <row r="642" spans="2:12" x14ac:dyDescent="0.2">
      <c r="B642" s="146"/>
      <c r="C642" s="146"/>
      <c r="D642" s="146"/>
      <c r="E642" s="146"/>
      <c r="F642" s="146"/>
      <c r="G642" s="146"/>
      <c r="H642" s="146"/>
      <c r="I642" s="146"/>
      <c r="J642" s="146"/>
      <c r="K642" s="146"/>
      <c r="L642" s="146"/>
    </row>
    <row r="643" spans="2:12" x14ac:dyDescent="0.2">
      <c r="B643" s="146"/>
      <c r="C643" s="146"/>
      <c r="D643" s="146"/>
      <c r="E643" s="146"/>
      <c r="F643" s="146"/>
      <c r="G643" s="146"/>
      <c r="H643" s="146"/>
      <c r="I643" s="146"/>
      <c r="J643" s="146"/>
      <c r="K643" s="146"/>
      <c r="L643" s="146"/>
    </row>
    <row r="644" spans="2:12" x14ac:dyDescent="0.2">
      <c r="B644" s="146"/>
      <c r="C644" s="146"/>
      <c r="D644" s="146"/>
      <c r="E644" s="146"/>
      <c r="F644" s="146"/>
      <c r="G644" s="146"/>
      <c r="H644" s="146"/>
      <c r="I644" s="146"/>
      <c r="J644" s="146"/>
      <c r="K644" s="146"/>
      <c r="L644" s="146"/>
    </row>
    <row r="645" spans="2:12" x14ac:dyDescent="0.2">
      <c r="B645" s="146"/>
      <c r="C645" s="146"/>
      <c r="D645" s="146"/>
      <c r="E645" s="146"/>
      <c r="F645" s="146"/>
      <c r="G645" s="146"/>
      <c r="H645" s="146"/>
      <c r="I645" s="146"/>
      <c r="J645" s="146"/>
      <c r="K645" s="146"/>
      <c r="L645" s="146"/>
    </row>
    <row r="646" spans="2:12" x14ac:dyDescent="0.2">
      <c r="B646" s="146"/>
      <c r="C646" s="146"/>
      <c r="D646" s="146"/>
      <c r="E646" s="146"/>
      <c r="F646" s="146"/>
      <c r="G646" s="146"/>
      <c r="H646" s="146"/>
      <c r="I646" s="146"/>
      <c r="J646" s="146"/>
      <c r="K646" s="146"/>
      <c r="L646" s="146"/>
    </row>
    <row r="647" spans="2:12" x14ac:dyDescent="0.2">
      <c r="B647" s="146"/>
      <c r="C647" s="146"/>
      <c r="D647" s="146"/>
      <c r="E647" s="146"/>
      <c r="F647" s="146"/>
      <c r="G647" s="146"/>
      <c r="H647" s="146"/>
      <c r="I647" s="146"/>
      <c r="J647" s="146"/>
      <c r="K647" s="146"/>
      <c r="L647" s="146"/>
    </row>
    <row r="648" spans="2:12" x14ac:dyDescent="0.2">
      <c r="B648" s="146"/>
      <c r="C648" s="146"/>
      <c r="D648" s="146"/>
      <c r="E648" s="146"/>
      <c r="F648" s="146"/>
      <c r="G648" s="146"/>
      <c r="H648" s="146"/>
      <c r="I648" s="146"/>
      <c r="J648" s="146"/>
      <c r="K648" s="146"/>
      <c r="L648" s="146"/>
    </row>
    <row r="649" spans="2:12" x14ac:dyDescent="0.2">
      <c r="B649" s="146"/>
      <c r="C649" s="146"/>
      <c r="D649" s="146"/>
      <c r="E649" s="146"/>
      <c r="F649" s="146"/>
      <c r="G649" s="146"/>
      <c r="H649" s="146"/>
      <c r="I649" s="146"/>
      <c r="J649" s="146"/>
      <c r="K649" s="146"/>
      <c r="L649" s="146"/>
    </row>
    <row r="650" spans="2:12" x14ac:dyDescent="0.2">
      <c r="B650" s="146"/>
      <c r="C650" s="146"/>
      <c r="D650" s="146"/>
      <c r="E650" s="146"/>
      <c r="F650" s="146"/>
      <c r="G650" s="146"/>
      <c r="H650" s="146"/>
      <c r="I650" s="146"/>
      <c r="J650" s="146"/>
      <c r="K650" s="146"/>
      <c r="L650" s="146"/>
    </row>
    <row r="651" spans="2:12" x14ac:dyDescent="0.2">
      <c r="B651" s="146"/>
      <c r="C651" s="146"/>
      <c r="D651" s="146"/>
      <c r="E651" s="146"/>
      <c r="F651" s="146"/>
      <c r="G651" s="146"/>
      <c r="H651" s="146"/>
      <c r="I651" s="146"/>
      <c r="J651" s="146"/>
      <c r="K651" s="146"/>
      <c r="L651" s="146"/>
    </row>
    <row r="652" spans="2:12" x14ac:dyDescent="0.2">
      <c r="B652" s="146"/>
      <c r="C652" s="146"/>
      <c r="D652" s="146"/>
      <c r="E652" s="146"/>
      <c r="F652" s="146"/>
      <c r="G652" s="146"/>
      <c r="H652" s="146"/>
      <c r="I652" s="146"/>
      <c r="J652" s="146"/>
      <c r="K652" s="146"/>
      <c r="L652" s="146"/>
    </row>
    <row r="653" spans="2:12" x14ac:dyDescent="0.2">
      <c r="B653" s="146"/>
      <c r="C653" s="146"/>
      <c r="D653" s="146"/>
      <c r="E653" s="146"/>
      <c r="F653" s="146"/>
      <c r="G653" s="146"/>
      <c r="H653" s="146"/>
      <c r="I653" s="146"/>
      <c r="J653" s="146"/>
      <c r="K653" s="146"/>
      <c r="L653" s="146"/>
    </row>
    <row r="654" spans="2:12" x14ac:dyDescent="0.2">
      <c r="B654" s="146"/>
      <c r="C654" s="146"/>
      <c r="D654" s="146"/>
      <c r="E654" s="146"/>
      <c r="F654" s="146"/>
      <c r="G654" s="146"/>
      <c r="H654" s="146"/>
      <c r="I654" s="146"/>
      <c r="J654" s="146"/>
      <c r="K654" s="146"/>
      <c r="L654" s="146"/>
    </row>
    <row r="655" spans="2:12" x14ac:dyDescent="0.2">
      <c r="B655" s="146"/>
      <c r="C655" s="146"/>
      <c r="D655" s="146"/>
      <c r="E655" s="146"/>
      <c r="F655" s="146"/>
      <c r="G655" s="146"/>
      <c r="H655" s="146"/>
      <c r="I655" s="146"/>
      <c r="J655" s="146"/>
      <c r="K655" s="146"/>
      <c r="L655" s="146"/>
    </row>
    <row r="656" spans="2:12" x14ac:dyDescent="0.2">
      <c r="B656" s="146"/>
      <c r="C656" s="146"/>
      <c r="D656" s="146"/>
      <c r="E656" s="146"/>
      <c r="F656" s="146"/>
      <c r="G656" s="146"/>
      <c r="H656" s="146"/>
      <c r="I656" s="146"/>
      <c r="J656" s="146"/>
      <c r="K656" s="146"/>
      <c r="L656" s="146"/>
    </row>
    <row r="657" spans="2:12" x14ac:dyDescent="0.2">
      <c r="B657" s="146"/>
      <c r="C657" s="146"/>
      <c r="D657" s="146"/>
      <c r="E657" s="146"/>
      <c r="F657" s="146"/>
      <c r="G657" s="146"/>
      <c r="H657" s="146"/>
      <c r="I657" s="146"/>
      <c r="J657" s="146"/>
      <c r="K657" s="146"/>
      <c r="L657" s="146"/>
    </row>
    <row r="658" spans="2:12" x14ac:dyDescent="0.2">
      <c r="B658" s="146"/>
      <c r="C658" s="146"/>
      <c r="D658" s="146"/>
      <c r="E658" s="146"/>
      <c r="F658" s="146"/>
      <c r="G658" s="146"/>
      <c r="H658" s="146"/>
      <c r="I658" s="146"/>
      <c r="J658" s="146"/>
      <c r="K658" s="146"/>
      <c r="L658" s="146"/>
    </row>
    <row r="659" spans="2:12" x14ac:dyDescent="0.2">
      <c r="B659" s="146"/>
      <c r="C659" s="146"/>
      <c r="D659" s="146"/>
      <c r="E659" s="146"/>
      <c r="F659" s="146"/>
      <c r="G659" s="146"/>
      <c r="H659" s="146"/>
      <c r="I659" s="146"/>
      <c r="J659" s="146"/>
      <c r="K659" s="146"/>
      <c r="L659" s="146"/>
    </row>
    <row r="660" spans="2:12" x14ac:dyDescent="0.2">
      <c r="B660" s="146"/>
      <c r="C660" s="146"/>
      <c r="D660" s="146"/>
      <c r="E660" s="146"/>
      <c r="F660" s="146"/>
      <c r="G660" s="146"/>
      <c r="H660" s="146"/>
      <c r="I660" s="146"/>
      <c r="J660" s="146"/>
      <c r="K660" s="146"/>
      <c r="L660" s="146"/>
    </row>
    <row r="661" spans="2:12" x14ac:dyDescent="0.2">
      <c r="B661" s="146"/>
      <c r="C661" s="146"/>
      <c r="D661" s="146"/>
      <c r="E661" s="146"/>
      <c r="F661" s="146"/>
      <c r="G661" s="146"/>
      <c r="H661" s="146"/>
      <c r="I661" s="146"/>
      <c r="J661" s="146"/>
      <c r="K661" s="146"/>
      <c r="L661" s="146"/>
    </row>
    <row r="662" spans="2:12" x14ac:dyDescent="0.2">
      <c r="B662" s="146"/>
      <c r="C662" s="146"/>
      <c r="D662" s="146"/>
      <c r="E662" s="146"/>
      <c r="F662" s="146"/>
      <c r="G662" s="146"/>
      <c r="H662" s="146"/>
      <c r="I662" s="146"/>
      <c r="J662" s="146"/>
      <c r="K662" s="146"/>
      <c r="L662" s="146"/>
    </row>
    <row r="663" spans="2:12" x14ac:dyDescent="0.2">
      <c r="B663" s="146"/>
      <c r="C663" s="146"/>
      <c r="D663" s="146"/>
      <c r="E663" s="146"/>
      <c r="F663" s="146"/>
      <c r="G663" s="146"/>
      <c r="H663" s="146"/>
      <c r="I663" s="146"/>
      <c r="J663" s="146"/>
      <c r="K663" s="146"/>
      <c r="L663" s="146"/>
    </row>
    <row r="664" spans="2:12" x14ac:dyDescent="0.2">
      <c r="B664" s="146"/>
      <c r="C664" s="146"/>
      <c r="D664" s="146"/>
      <c r="E664" s="146"/>
      <c r="F664" s="146"/>
      <c r="G664" s="146"/>
      <c r="H664" s="146"/>
      <c r="I664" s="146"/>
      <c r="J664" s="146"/>
      <c r="K664" s="146"/>
      <c r="L664" s="146"/>
    </row>
    <row r="665" spans="2:12" x14ac:dyDescent="0.2">
      <c r="B665" s="146"/>
      <c r="C665" s="146"/>
      <c r="D665" s="146"/>
      <c r="E665" s="146"/>
      <c r="F665" s="146"/>
      <c r="G665" s="146"/>
      <c r="H665" s="146"/>
      <c r="I665" s="146"/>
      <c r="J665" s="146"/>
      <c r="K665" s="146"/>
      <c r="L665" s="146"/>
    </row>
    <row r="666" spans="2:12" x14ac:dyDescent="0.2">
      <c r="B666" s="146"/>
      <c r="C666" s="146"/>
      <c r="D666" s="146"/>
      <c r="E666" s="146"/>
      <c r="F666" s="146"/>
      <c r="G666" s="146"/>
      <c r="H666" s="146"/>
      <c r="I666" s="146"/>
      <c r="J666" s="146"/>
      <c r="K666" s="146"/>
      <c r="L666" s="146"/>
    </row>
    <row r="667" spans="2:12" x14ac:dyDescent="0.2">
      <c r="B667" s="146"/>
      <c r="C667" s="146"/>
      <c r="D667" s="146"/>
      <c r="E667" s="146"/>
      <c r="F667" s="146"/>
      <c r="G667" s="146"/>
      <c r="H667" s="146"/>
      <c r="I667" s="146"/>
      <c r="J667" s="146"/>
      <c r="K667" s="146"/>
      <c r="L667" s="146"/>
    </row>
    <row r="668" spans="2:12" x14ac:dyDescent="0.2">
      <c r="B668" s="146"/>
      <c r="C668" s="146"/>
      <c r="D668" s="146"/>
      <c r="E668" s="146"/>
      <c r="F668" s="146"/>
      <c r="G668" s="146"/>
      <c r="H668" s="146"/>
      <c r="I668" s="146"/>
      <c r="J668" s="146"/>
      <c r="K668" s="146"/>
      <c r="L668" s="146"/>
    </row>
    <row r="669" spans="2:12" x14ac:dyDescent="0.2">
      <c r="B669" s="146"/>
      <c r="C669" s="146"/>
      <c r="D669" s="146"/>
      <c r="E669" s="146"/>
      <c r="F669" s="146"/>
      <c r="G669" s="146"/>
      <c r="H669" s="146"/>
      <c r="I669" s="146"/>
      <c r="J669" s="146"/>
      <c r="K669" s="146"/>
      <c r="L669" s="146"/>
    </row>
    <row r="670" spans="2:12" x14ac:dyDescent="0.2">
      <c r="B670" s="146"/>
      <c r="C670" s="146"/>
      <c r="D670" s="146"/>
      <c r="E670" s="146"/>
      <c r="F670" s="146"/>
      <c r="G670" s="146"/>
      <c r="H670" s="146"/>
      <c r="I670" s="146"/>
      <c r="J670" s="146"/>
      <c r="K670" s="146"/>
      <c r="L670" s="146"/>
    </row>
    <row r="671" spans="2:12" x14ac:dyDescent="0.2">
      <c r="B671" s="146"/>
      <c r="C671" s="146"/>
      <c r="D671" s="146"/>
      <c r="E671" s="146"/>
      <c r="F671" s="146"/>
      <c r="G671" s="146"/>
      <c r="H671" s="146"/>
      <c r="I671" s="146"/>
      <c r="J671" s="146"/>
      <c r="K671" s="146"/>
      <c r="L671" s="146"/>
    </row>
    <row r="672" spans="2:12" x14ac:dyDescent="0.2">
      <c r="B672" s="146"/>
      <c r="C672" s="146"/>
      <c r="D672" s="146"/>
      <c r="E672" s="146"/>
      <c r="F672" s="146"/>
      <c r="G672" s="146"/>
      <c r="H672" s="146"/>
      <c r="I672" s="146"/>
      <c r="J672" s="146"/>
      <c r="K672" s="146"/>
      <c r="L672" s="146"/>
    </row>
    <row r="673" spans="2:12" x14ac:dyDescent="0.2">
      <c r="B673" s="146"/>
      <c r="C673" s="146"/>
      <c r="D673" s="146"/>
      <c r="E673" s="146"/>
      <c r="F673" s="146"/>
      <c r="G673" s="146"/>
      <c r="H673" s="146"/>
      <c r="I673" s="146"/>
      <c r="J673" s="146"/>
      <c r="K673" s="146"/>
      <c r="L673" s="146"/>
    </row>
    <row r="674" spans="2:12" x14ac:dyDescent="0.2">
      <c r="B674" s="146"/>
      <c r="C674" s="146"/>
      <c r="D674" s="146"/>
      <c r="E674" s="146"/>
      <c r="F674" s="146"/>
      <c r="G674" s="146"/>
      <c r="H674" s="146"/>
      <c r="I674" s="146"/>
      <c r="J674" s="146"/>
      <c r="K674" s="146"/>
      <c r="L674" s="146"/>
    </row>
    <row r="675" spans="2:12" x14ac:dyDescent="0.2">
      <c r="B675" s="146"/>
      <c r="C675" s="146"/>
      <c r="D675" s="146"/>
      <c r="E675" s="146"/>
      <c r="F675" s="146"/>
      <c r="G675" s="146"/>
      <c r="H675" s="146"/>
      <c r="I675" s="146"/>
      <c r="J675" s="146"/>
      <c r="K675" s="146"/>
      <c r="L675" s="146"/>
    </row>
    <row r="676" spans="2:12" x14ac:dyDescent="0.2">
      <c r="B676" s="146"/>
      <c r="C676" s="146"/>
      <c r="D676" s="146"/>
      <c r="E676" s="146"/>
      <c r="F676" s="146"/>
      <c r="G676" s="146"/>
      <c r="H676" s="146"/>
      <c r="I676" s="146"/>
      <c r="J676" s="146"/>
      <c r="K676" s="146"/>
      <c r="L676" s="146"/>
    </row>
    <row r="677" spans="2:12" x14ac:dyDescent="0.2">
      <c r="B677" s="146"/>
      <c r="C677" s="146"/>
      <c r="D677" s="146"/>
      <c r="E677" s="146"/>
      <c r="F677" s="146"/>
      <c r="G677" s="146"/>
      <c r="H677" s="146"/>
      <c r="I677" s="146"/>
      <c r="J677" s="146"/>
      <c r="K677" s="146"/>
      <c r="L677" s="146"/>
    </row>
    <row r="678" spans="2:12" x14ac:dyDescent="0.2">
      <c r="B678" s="146"/>
      <c r="C678" s="146"/>
      <c r="D678" s="146"/>
      <c r="E678" s="146"/>
      <c r="F678" s="146"/>
      <c r="G678" s="146"/>
      <c r="H678" s="146"/>
      <c r="I678" s="146"/>
      <c r="J678" s="146"/>
      <c r="K678" s="146"/>
      <c r="L678" s="146"/>
    </row>
    <row r="679" spans="2:12" x14ac:dyDescent="0.2">
      <c r="B679" s="146"/>
      <c r="C679" s="146"/>
      <c r="D679" s="146"/>
      <c r="E679" s="146"/>
      <c r="F679" s="146"/>
      <c r="G679" s="146"/>
      <c r="H679" s="146"/>
      <c r="I679" s="146"/>
      <c r="J679" s="146"/>
      <c r="K679" s="146"/>
      <c r="L679" s="146"/>
    </row>
    <row r="680" spans="2:12" x14ac:dyDescent="0.2">
      <c r="B680" s="146"/>
      <c r="C680" s="146"/>
      <c r="D680" s="146"/>
      <c r="E680" s="146"/>
      <c r="F680" s="146"/>
      <c r="G680" s="146"/>
      <c r="H680" s="146"/>
      <c r="I680" s="146"/>
      <c r="J680" s="146"/>
      <c r="K680" s="146"/>
      <c r="L680" s="146"/>
    </row>
    <row r="681" spans="2:12" x14ac:dyDescent="0.2">
      <c r="B681" s="146"/>
      <c r="C681" s="146"/>
      <c r="D681" s="146"/>
      <c r="E681" s="146"/>
      <c r="F681" s="146"/>
      <c r="G681" s="146"/>
      <c r="H681" s="146"/>
      <c r="I681" s="146"/>
      <c r="J681" s="146"/>
      <c r="K681" s="146"/>
      <c r="L681" s="146"/>
    </row>
    <row r="682" spans="2:12" x14ac:dyDescent="0.2">
      <c r="B682" s="146"/>
      <c r="C682" s="146"/>
      <c r="D682" s="146"/>
      <c r="E682" s="146"/>
      <c r="F682" s="146"/>
      <c r="G682" s="146"/>
      <c r="H682" s="146"/>
      <c r="I682" s="146"/>
      <c r="J682" s="146"/>
      <c r="K682" s="146"/>
      <c r="L682" s="146"/>
    </row>
    <row r="683" spans="2:12" x14ac:dyDescent="0.2">
      <c r="B683" s="146"/>
      <c r="C683" s="146"/>
      <c r="D683" s="146"/>
      <c r="E683" s="146"/>
      <c r="F683" s="146"/>
      <c r="G683" s="146"/>
      <c r="H683" s="146"/>
      <c r="I683" s="146"/>
      <c r="J683" s="146"/>
      <c r="K683" s="146"/>
      <c r="L683" s="146"/>
    </row>
    <row r="684" spans="2:12" x14ac:dyDescent="0.2">
      <c r="B684" s="146"/>
      <c r="C684" s="146"/>
      <c r="D684" s="146"/>
      <c r="E684" s="146"/>
      <c r="F684" s="146"/>
      <c r="G684" s="146"/>
      <c r="H684" s="146"/>
      <c r="I684" s="146"/>
      <c r="J684" s="146"/>
      <c r="K684" s="146"/>
      <c r="L684" s="146"/>
    </row>
    <row r="685" spans="2:12" x14ac:dyDescent="0.2">
      <c r="B685" s="146"/>
      <c r="C685" s="146"/>
      <c r="D685" s="146"/>
      <c r="E685" s="146"/>
      <c r="F685" s="146"/>
      <c r="G685" s="146"/>
      <c r="H685" s="146"/>
      <c r="I685" s="146"/>
      <c r="J685" s="146"/>
      <c r="K685" s="146"/>
      <c r="L685" s="146"/>
    </row>
    <row r="686" spans="2:12" x14ac:dyDescent="0.2">
      <c r="B686" s="146"/>
      <c r="C686" s="146"/>
      <c r="D686" s="146"/>
      <c r="E686" s="146"/>
      <c r="F686" s="146"/>
      <c r="G686" s="146"/>
      <c r="H686" s="146"/>
      <c r="I686" s="146"/>
      <c r="J686" s="146"/>
      <c r="K686" s="146"/>
      <c r="L686" s="146"/>
    </row>
    <row r="687" spans="2:12" x14ac:dyDescent="0.2">
      <c r="B687" s="146"/>
      <c r="C687" s="146"/>
      <c r="D687" s="146"/>
      <c r="E687" s="146"/>
      <c r="F687" s="146"/>
      <c r="G687" s="146"/>
      <c r="H687" s="146"/>
      <c r="I687" s="146"/>
      <c r="J687" s="146"/>
      <c r="K687" s="146"/>
      <c r="L687" s="146"/>
    </row>
    <row r="688" spans="2:12" x14ac:dyDescent="0.2">
      <c r="B688" s="146"/>
      <c r="C688" s="146"/>
      <c r="D688" s="146"/>
      <c r="E688" s="146"/>
      <c r="F688" s="146"/>
      <c r="G688" s="146"/>
      <c r="H688" s="146"/>
      <c r="I688" s="146"/>
      <c r="J688" s="146"/>
      <c r="K688" s="146"/>
      <c r="L688" s="146"/>
    </row>
    <row r="689" spans="2:12" x14ac:dyDescent="0.2">
      <c r="B689" s="146"/>
      <c r="C689" s="146"/>
      <c r="D689" s="146"/>
      <c r="E689" s="146"/>
      <c r="F689" s="146"/>
      <c r="G689" s="146"/>
      <c r="H689" s="146"/>
      <c r="I689" s="146"/>
      <c r="J689" s="146"/>
      <c r="K689" s="146"/>
      <c r="L689" s="146"/>
    </row>
    <row r="690" spans="2:12" x14ac:dyDescent="0.2">
      <c r="B690" s="146"/>
      <c r="C690" s="146"/>
      <c r="D690" s="146"/>
      <c r="E690" s="146"/>
      <c r="F690" s="146"/>
      <c r="G690" s="146"/>
      <c r="H690" s="146"/>
      <c r="I690" s="146"/>
      <c r="J690" s="146"/>
      <c r="K690" s="146"/>
      <c r="L690" s="146"/>
    </row>
    <row r="691" spans="2:12" x14ac:dyDescent="0.2">
      <c r="B691" s="146"/>
      <c r="C691" s="146"/>
      <c r="D691" s="146"/>
      <c r="E691" s="146"/>
      <c r="F691" s="146"/>
      <c r="G691" s="146"/>
      <c r="H691" s="146"/>
      <c r="I691" s="146"/>
      <c r="J691" s="146"/>
      <c r="K691" s="146"/>
      <c r="L691" s="146"/>
    </row>
    <row r="692" spans="2:12" x14ac:dyDescent="0.2">
      <c r="B692" s="146"/>
      <c r="C692" s="146"/>
      <c r="D692" s="146"/>
      <c r="E692" s="146"/>
      <c r="F692" s="146"/>
      <c r="G692" s="146"/>
      <c r="H692" s="146"/>
      <c r="I692" s="146"/>
      <c r="J692" s="146"/>
      <c r="K692" s="146"/>
      <c r="L692" s="146"/>
    </row>
    <row r="693" spans="2:12" x14ac:dyDescent="0.2">
      <c r="B693" s="146"/>
      <c r="C693" s="146"/>
      <c r="D693" s="146"/>
      <c r="E693" s="146"/>
      <c r="F693" s="146"/>
      <c r="G693" s="146"/>
      <c r="H693" s="146"/>
      <c r="I693" s="146"/>
      <c r="J693" s="146"/>
      <c r="K693" s="146"/>
      <c r="L693" s="146"/>
    </row>
    <row r="694" spans="2:12" x14ac:dyDescent="0.2">
      <c r="B694" s="146"/>
      <c r="C694" s="146"/>
      <c r="D694" s="146"/>
      <c r="E694" s="146"/>
      <c r="F694" s="146"/>
      <c r="G694" s="146"/>
      <c r="H694" s="146"/>
      <c r="I694" s="146"/>
      <c r="J694" s="146"/>
      <c r="K694" s="146"/>
      <c r="L694" s="146"/>
    </row>
    <row r="695" spans="2:12" x14ac:dyDescent="0.2">
      <c r="B695" s="146"/>
      <c r="C695" s="146"/>
      <c r="D695" s="146"/>
      <c r="E695" s="146"/>
      <c r="F695" s="146"/>
      <c r="G695" s="146"/>
      <c r="H695" s="146"/>
      <c r="I695" s="146"/>
      <c r="J695" s="146"/>
      <c r="K695" s="146"/>
      <c r="L695" s="146"/>
    </row>
    <row r="696" spans="2:12" x14ac:dyDescent="0.2">
      <c r="B696" s="146"/>
      <c r="C696" s="146"/>
      <c r="D696" s="146"/>
      <c r="E696" s="146"/>
      <c r="F696" s="146"/>
      <c r="G696" s="146"/>
      <c r="H696" s="146"/>
      <c r="I696" s="146"/>
      <c r="J696" s="146"/>
      <c r="K696" s="146"/>
      <c r="L696" s="146"/>
    </row>
    <row r="697" spans="2:12" x14ac:dyDescent="0.2">
      <c r="B697" s="146"/>
      <c r="C697" s="146"/>
      <c r="D697" s="146"/>
      <c r="E697" s="146"/>
      <c r="F697" s="146"/>
      <c r="G697" s="146"/>
      <c r="H697" s="146"/>
      <c r="I697" s="146"/>
      <c r="J697" s="146"/>
      <c r="K697" s="146"/>
      <c r="L697" s="146"/>
    </row>
    <row r="698" spans="2:12" x14ac:dyDescent="0.2">
      <c r="B698" s="146"/>
      <c r="C698" s="146"/>
      <c r="D698" s="146"/>
      <c r="E698" s="146"/>
      <c r="F698" s="146"/>
      <c r="G698" s="146"/>
      <c r="H698" s="146"/>
      <c r="I698" s="146"/>
      <c r="J698" s="146"/>
      <c r="K698" s="146"/>
      <c r="L698" s="146"/>
    </row>
    <row r="699" spans="2:12" x14ac:dyDescent="0.2">
      <c r="B699" s="146"/>
      <c r="C699" s="146"/>
      <c r="D699" s="146"/>
      <c r="E699" s="146"/>
      <c r="F699" s="146"/>
      <c r="G699" s="146"/>
      <c r="H699" s="146"/>
      <c r="I699" s="146"/>
      <c r="J699" s="146"/>
      <c r="K699" s="146"/>
      <c r="L699" s="146"/>
    </row>
    <row r="700" spans="2:12" x14ac:dyDescent="0.2">
      <c r="B700" s="146"/>
      <c r="C700" s="146"/>
      <c r="D700" s="146"/>
      <c r="E700" s="146"/>
      <c r="F700" s="146"/>
      <c r="G700" s="146"/>
      <c r="H700" s="146"/>
      <c r="I700" s="146"/>
      <c r="J700" s="146"/>
      <c r="K700" s="146"/>
      <c r="L700" s="146"/>
    </row>
    <row r="701" spans="2:12" x14ac:dyDescent="0.2">
      <c r="B701" s="146"/>
      <c r="C701" s="146"/>
      <c r="D701" s="146"/>
      <c r="E701" s="146"/>
      <c r="F701" s="146"/>
      <c r="G701" s="146"/>
      <c r="H701" s="146"/>
      <c r="I701" s="146"/>
      <c r="J701" s="146"/>
      <c r="K701" s="146"/>
      <c r="L701" s="146"/>
    </row>
    <row r="702" spans="2:12" x14ac:dyDescent="0.2">
      <c r="B702" s="146"/>
      <c r="C702" s="146"/>
      <c r="D702" s="146"/>
      <c r="E702" s="146"/>
      <c r="F702" s="146"/>
      <c r="G702" s="146"/>
      <c r="H702" s="146"/>
      <c r="I702" s="146"/>
      <c r="J702" s="146"/>
      <c r="K702" s="146"/>
      <c r="L702" s="146"/>
    </row>
    <row r="703" spans="2:12" x14ac:dyDescent="0.2">
      <c r="B703" s="146"/>
      <c r="C703" s="146"/>
      <c r="D703" s="146"/>
      <c r="E703" s="146"/>
      <c r="F703" s="146"/>
      <c r="G703" s="146"/>
      <c r="H703" s="146"/>
      <c r="I703" s="146"/>
      <c r="J703" s="146"/>
      <c r="K703" s="146"/>
      <c r="L703" s="146"/>
    </row>
    <row r="704" spans="2:12" x14ac:dyDescent="0.2">
      <c r="B704" s="146"/>
      <c r="C704" s="146"/>
      <c r="D704" s="146"/>
      <c r="E704" s="146"/>
      <c r="F704" s="146"/>
      <c r="G704" s="146"/>
      <c r="H704" s="146"/>
      <c r="I704" s="146"/>
      <c r="J704" s="146"/>
      <c r="K704" s="146"/>
      <c r="L704" s="146"/>
    </row>
    <row r="705" spans="2:12" x14ac:dyDescent="0.2">
      <c r="B705" s="146"/>
      <c r="C705" s="146"/>
      <c r="D705" s="146"/>
      <c r="E705" s="146"/>
      <c r="F705" s="146"/>
      <c r="G705" s="146"/>
      <c r="H705" s="146"/>
      <c r="I705" s="146"/>
      <c r="J705" s="146"/>
      <c r="K705" s="146"/>
      <c r="L705" s="146"/>
    </row>
    <row r="706" spans="2:12" x14ac:dyDescent="0.2">
      <c r="B706" s="146"/>
      <c r="C706" s="146"/>
      <c r="D706" s="146"/>
      <c r="E706" s="146"/>
      <c r="F706" s="146"/>
      <c r="G706" s="146"/>
      <c r="H706" s="146"/>
      <c r="I706" s="146"/>
      <c r="J706" s="146"/>
      <c r="K706" s="146"/>
      <c r="L706" s="146"/>
    </row>
    <row r="707" spans="2:12" x14ac:dyDescent="0.2">
      <c r="B707" s="146"/>
      <c r="C707" s="146"/>
      <c r="D707" s="146"/>
      <c r="E707" s="146"/>
      <c r="F707" s="146"/>
      <c r="G707" s="146"/>
      <c r="H707" s="146"/>
      <c r="I707" s="146"/>
      <c r="J707" s="146"/>
      <c r="K707" s="146"/>
      <c r="L707" s="146"/>
    </row>
    <row r="708" spans="2:12" x14ac:dyDescent="0.2">
      <c r="B708" s="146"/>
      <c r="C708" s="146"/>
      <c r="D708" s="146"/>
      <c r="E708" s="146"/>
      <c r="F708" s="146"/>
      <c r="G708" s="146"/>
      <c r="H708" s="146"/>
      <c r="I708" s="146"/>
      <c r="J708" s="146"/>
      <c r="K708" s="146"/>
      <c r="L708" s="146"/>
    </row>
    <row r="709" spans="2:12" x14ac:dyDescent="0.2">
      <c r="B709" s="146"/>
      <c r="C709" s="146"/>
      <c r="D709" s="146"/>
      <c r="E709" s="146"/>
      <c r="F709" s="146"/>
      <c r="G709" s="146"/>
      <c r="H709" s="146"/>
      <c r="I709" s="146"/>
      <c r="J709" s="146"/>
      <c r="K709" s="146"/>
      <c r="L709" s="146"/>
    </row>
    <row r="710" spans="2:12" x14ac:dyDescent="0.2">
      <c r="B710" s="146"/>
      <c r="C710" s="146"/>
      <c r="D710" s="146"/>
      <c r="E710" s="146"/>
      <c r="F710" s="146"/>
      <c r="G710" s="146"/>
      <c r="H710" s="146"/>
      <c r="I710" s="146"/>
      <c r="J710" s="146"/>
      <c r="K710" s="146"/>
      <c r="L710" s="146"/>
    </row>
    <row r="711" spans="2:12" x14ac:dyDescent="0.2">
      <c r="B711" s="146"/>
      <c r="C711" s="146"/>
      <c r="D711" s="146"/>
      <c r="E711" s="146"/>
      <c r="F711" s="146"/>
      <c r="G711" s="146"/>
      <c r="H711" s="146"/>
      <c r="I711" s="146"/>
      <c r="J711" s="146"/>
      <c r="K711" s="146"/>
      <c r="L711" s="146"/>
    </row>
    <row r="712" spans="2:12" x14ac:dyDescent="0.2">
      <c r="B712" s="146"/>
      <c r="C712" s="146"/>
      <c r="D712" s="146"/>
      <c r="E712" s="146"/>
      <c r="F712" s="146"/>
      <c r="G712" s="146"/>
      <c r="H712" s="146"/>
      <c r="I712" s="146"/>
      <c r="J712" s="146"/>
      <c r="K712" s="146"/>
      <c r="L712" s="146"/>
    </row>
    <row r="713" spans="2:12" x14ac:dyDescent="0.2">
      <c r="B713" s="146"/>
      <c r="C713" s="146"/>
      <c r="D713" s="146"/>
      <c r="E713" s="146"/>
      <c r="F713" s="146"/>
      <c r="G713" s="146"/>
      <c r="H713" s="146"/>
      <c r="I713" s="146"/>
      <c r="J713" s="146"/>
      <c r="K713" s="146"/>
      <c r="L713" s="146"/>
    </row>
    <row r="714" spans="2:12" x14ac:dyDescent="0.2">
      <c r="B714" s="146"/>
      <c r="C714" s="146"/>
      <c r="D714" s="146"/>
      <c r="E714" s="146"/>
      <c r="F714" s="146"/>
      <c r="G714" s="146"/>
      <c r="H714" s="146"/>
      <c r="I714" s="146"/>
      <c r="J714" s="146"/>
      <c r="K714" s="146"/>
      <c r="L714" s="146"/>
    </row>
    <row r="715" spans="2:12" x14ac:dyDescent="0.2">
      <c r="B715" s="146"/>
      <c r="C715" s="146"/>
      <c r="D715" s="146"/>
      <c r="E715" s="146"/>
      <c r="F715" s="146"/>
      <c r="G715" s="146"/>
      <c r="H715" s="146"/>
      <c r="I715" s="146"/>
      <c r="J715" s="146"/>
      <c r="K715" s="146"/>
      <c r="L715" s="146"/>
    </row>
    <row r="716" spans="2:12" x14ac:dyDescent="0.2">
      <c r="B716" s="146"/>
      <c r="C716" s="146"/>
      <c r="D716" s="146"/>
      <c r="E716" s="146"/>
      <c r="F716" s="146"/>
      <c r="G716" s="146"/>
      <c r="H716" s="146"/>
      <c r="I716" s="146"/>
      <c r="J716" s="146"/>
      <c r="K716" s="146"/>
      <c r="L716" s="146"/>
    </row>
    <row r="717" spans="2:12" x14ac:dyDescent="0.2">
      <c r="B717" s="146"/>
      <c r="C717" s="146"/>
      <c r="D717" s="146"/>
      <c r="E717" s="146"/>
      <c r="F717" s="146"/>
      <c r="G717" s="146"/>
      <c r="H717" s="146"/>
      <c r="I717" s="146"/>
      <c r="J717" s="146"/>
      <c r="K717" s="146"/>
      <c r="L717" s="146"/>
    </row>
    <row r="718" spans="2:12" x14ac:dyDescent="0.2">
      <c r="B718" s="146"/>
      <c r="C718" s="146"/>
      <c r="D718" s="146"/>
      <c r="E718" s="146"/>
      <c r="F718" s="146"/>
      <c r="G718" s="146"/>
      <c r="H718" s="146"/>
      <c r="I718" s="146"/>
      <c r="J718" s="146"/>
      <c r="K718" s="146"/>
      <c r="L718" s="146"/>
    </row>
    <row r="719" spans="2:12" x14ac:dyDescent="0.2">
      <c r="B719" s="146"/>
      <c r="C719" s="146"/>
      <c r="D719" s="146"/>
      <c r="E719" s="146"/>
      <c r="F719" s="146"/>
      <c r="G719" s="146"/>
      <c r="H719" s="146"/>
      <c r="I719" s="146"/>
      <c r="J719" s="146"/>
      <c r="K719" s="146"/>
      <c r="L719" s="146"/>
    </row>
    <row r="720" spans="2:12" x14ac:dyDescent="0.2">
      <c r="B720" s="146"/>
      <c r="C720" s="146"/>
      <c r="D720" s="146"/>
      <c r="E720" s="146"/>
      <c r="F720" s="146"/>
      <c r="G720" s="146"/>
      <c r="H720" s="146"/>
      <c r="I720" s="146"/>
      <c r="J720" s="146"/>
      <c r="K720" s="146"/>
      <c r="L720" s="146"/>
    </row>
    <row r="721" spans="2:12" x14ac:dyDescent="0.2">
      <c r="B721" s="146"/>
      <c r="C721" s="146"/>
      <c r="D721" s="146"/>
      <c r="E721" s="146"/>
      <c r="F721" s="146"/>
      <c r="G721" s="146"/>
      <c r="H721" s="146"/>
      <c r="I721" s="146"/>
      <c r="J721" s="146"/>
      <c r="K721" s="146"/>
      <c r="L721" s="146"/>
    </row>
    <row r="722" spans="2:12" x14ac:dyDescent="0.2">
      <c r="B722" s="146"/>
      <c r="C722" s="146"/>
      <c r="D722" s="146"/>
      <c r="E722" s="146"/>
      <c r="F722" s="146"/>
      <c r="G722" s="146"/>
      <c r="H722" s="146"/>
      <c r="I722" s="146"/>
      <c r="J722" s="146"/>
      <c r="K722" s="146"/>
      <c r="L722" s="146"/>
    </row>
    <row r="723" spans="2:12" x14ac:dyDescent="0.2">
      <c r="B723" s="146"/>
      <c r="C723" s="146"/>
      <c r="D723" s="146"/>
      <c r="E723" s="146"/>
      <c r="F723" s="146"/>
      <c r="G723" s="146"/>
      <c r="H723" s="146"/>
      <c r="I723" s="146"/>
      <c r="J723" s="146"/>
      <c r="K723" s="146"/>
      <c r="L723" s="146"/>
    </row>
    <row r="724" spans="2:12" x14ac:dyDescent="0.2">
      <c r="B724" s="146"/>
      <c r="C724" s="146"/>
      <c r="D724" s="146"/>
      <c r="E724" s="146"/>
      <c r="F724" s="146"/>
      <c r="G724" s="146"/>
      <c r="H724" s="146"/>
      <c r="I724" s="146"/>
      <c r="J724" s="146"/>
      <c r="K724" s="146"/>
      <c r="L724" s="146"/>
    </row>
    <row r="725" spans="2:12" x14ac:dyDescent="0.2">
      <c r="B725" s="146"/>
      <c r="C725" s="146"/>
      <c r="D725" s="146"/>
      <c r="E725" s="146"/>
      <c r="F725" s="146"/>
      <c r="G725" s="146"/>
      <c r="H725" s="146"/>
      <c r="I725" s="146"/>
      <c r="J725" s="146"/>
      <c r="K725" s="146"/>
      <c r="L725" s="146"/>
    </row>
    <row r="726" spans="2:12" x14ac:dyDescent="0.2">
      <c r="B726" s="146"/>
      <c r="C726" s="146"/>
      <c r="D726" s="146"/>
      <c r="E726" s="146"/>
      <c r="F726" s="146"/>
      <c r="G726" s="146"/>
      <c r="H726" s="146"/>
      <c r="I726" s="146"/>
      <c r="J726" s="146"/>
      <c r="K726" s="146"/>
      <c r="L726" s="146"/>
    </row>
    <row r="727" spans="2:12" x14ac:dyDescent="0.2">
      <c r="B727" s="146"/>
      <c r="C727" s="146"/>
      <c r="D727" s="146"/>
      <c r="E727" s="146"/>
      <c r="F727" s="146"/>
      <c r="G727" s="146"/>
      <c r="H727" s="146"/>
      <c r="I727" s="146"/>
      <c r="J727" s="146"/>
      <c r="K727" s="146"/>
      <c r="L727" s="146"/>
    </row>
    <row r="728" spans="2:12" x14ac:dyDescent="0.2">
      <c r="B728" s="146"/>
      <c r="C728" s="146"/>
      <c r="D728" s="146"/>
      <c r="E728" s="146"/>
      <c r="F728" s="146"/>
      <c r="G728" s="146"/>
      <c r="H728" s="146"/>
      <c r="I728" s="146"/>
      <c r="J728" s="146"/>
      <c r="K728" s="146"/>
      <c r="L728" s="146"/>
    </row>
    <row r="729" spans="2:12" x14ac:dyDescent="0.2">
      <c r="B729" s="146"/>
      <c r="C729" s="146"/>
      <c r="D729" s="146"/>
      <c r="E729" s="146"/>
      <c r="F729" s="146"/>
      <c r="G729" s="146"/>
      <c r="H729" s="146"/>
      <c r="I729" s="146"/>
      <c r="J729" s="146"/>
      <c r="K729" s="146"/>
      <c r="L729" s="146"/>
    </row>
    <row r="730" spans="2:12" x14ac:dyDescent="0.2">
      <c r="B730" s="146"/>
      <c r="C730" s="146"/>
      <c r="D730" s="146"/>
      <c r="E730" s="146"/>
      <c r="F730" s="146"/>
      <c r="G730" s="146"/>
      <c r="H730" s="146"/>
      <c r="I730" s="146"/>
      <c r="J730" s="146"/>
      <c r="K730" s="146"/>
      <c r="L730" s="146"/>
    </row>
    <row r="731" spans="2:12" x14ac:dyDescent="0.2">
      <c r="B731" s="146"/>
      <c r="C731" s="146"/>
      <c r="D731" s="146"/>
      <c r="E731" s="146"/>
      <c r="F731" s="146"/>
      <c r="G731" s="146"/>
      <c r="H731" s="146"/>
      <c r="I731" s="146"/>
      <c r="J731" s="146"/>
      <c r="K731" s="146"/>
      <c r="L731" s="146"/>
    </row>
    <row r="732" spans="2:12" x14ac:dyDescent="0.2">
      <c r="B732" s="146"/>
      <c r="C732" s="146"/>
      <c r="D732" s="146"/>
      <c r="E732" s="146"/>
      <c r="F732" s="146"/>
      <c r="G732" s="146"/>
      <c r="H732" s="146"/>
      <c r="I732" s="146"/>
      <c r="J732" s="146"/>
      <c r="K732" s="146"/>
      <c r="L732" s="146"/>
    </row>
    <row r="733" spans="2:12" x14ac:dyDescent="0.2">
      <c r="B733" s="146"/>
      <c r="C733" s="146"/>
      <c r="D733" s="146"/>
      <c r="E733" s="146"/>
      <c r="F733" s="146"/>
      <c r="G733" s="146"/>
      <c r="H733" s="146"/>
      <c r="I733" s="146"/>
      <c r="J733" s="146"/>
      <c r="K733" s="146"/>
      <c r="L733" s="146"/>
    </row>
    <row r="734" spans="2:12" x14ac:dyDescent="0.2">
      <c r="B734" s="146"/>
      <c r="C734" s="146"/>
      <c r="D734" s="146"/>
      <c r="E734" s="146"/>
      <c r="F734" s="146"/>
      <c r="G734" s="146"/>
      <c r="H734" s="146"/>
      <c r="I734" s="146"/>
      <c r="J734" s="146"/>
      <c r="K734" s="146"/>
      <c r="L734" s="146"/>
    </row>
    <row r="735" spans="2:12" x14ac:dyDescent="0.2">
      <c r="B735" s="146"/>
      <c r="C735" s="146"/>
      <c r="D735" s="146"/>
      <c r="E735" s="146"/>
      <c r="F735" s="146"/>
      <c r="G735" s="146"/>
      <c r="H735" s="146"/>
      <c r="I735" s="146"/>
      <c r="J735" s="146"/>
      <c r="K735" s="146"/>
      <c r="L735" s="146"/>
    </row>
    <row r="736" spans="2:12" x14ac:dyDescent="0.2">
      <c r="B736" s="146"/>
      <c r="C736" s="146"/>
      <c r="D736" s="146"/>
      <c r="E736" s="146"/>
      <c r="F736" s="146"/>
      <c r="G736" s="146"/>
      <c r="H736" s="146"/>
      <c r="I736" s="146"/>
      <c r="J736" s="146"/>
      <c r="K736" s="146"/>
      <c r="L736" s="146"/>
    </row>
    <row r="737" spans="2:12" x14ac:dyDescent="0.2">
      <c r="B737" s="146"/>
      <c r="C737" s="146"/>
      <c r="D737" s="146"/>
      <c r="E737" s="146"/>
      <c r="F737" s="146"/>
      <c r="G737" s="146"/>
      <c r="H737" s="146"/>
      <c r="I737" s="146"/>
      <c r="J737" s="146"/>
      <c r="K737" s="146"/>
      <c r="L737" s="146"/>
    </row>
    <row r="738" spans="2:12" x14ac:dyDescent="0.2">
      <c r="B738" s="146"/>
      <c r="C738" s="146"/>
      <c r="D738" s="146"/>
      <c r="E738" s="146"/>
      <c r="F738" s="146"/>
      <c r="G738" s="146"/>
      <c r="H738" s="146"/>
      <c r="I738" s="146"/>
      <c r="J738" s="146"/>
      <c r="K738" s="146"/>
      <c r="L738" s="146"/>
    </row>
    <row r="739" spans="2:12" x14ac:dyDescent="0.2">
      <c r="B739" s="146"/>
      <c r="C739" s="146"/>
      <c r="D739" s="146"/>
      <c r="E739" s="146"/>
      <c r="F739" s="146"/>
      <c r="G739" s="146"/>
      <c r="H739" s="146"/>
      <c r="I739" s="146"/>
      <c r="J739" s="146"/>
      <c r="K739" s="146"/>
      <c r="L739" s="146"/>
    </row>
    <row r="740" spans="2:12" x14ac:dyDescent="0.2">
      <c r="B740" s="146"/>
      <c r="C740" s="146"/>
      <c r="D740" s="146"/>
      <c r="E740" s="146"/>
      <c r="F740" s="146"/>
      <c r="G740" s="146"/>
      <c r="H740" s="146"/>
      <c r="I740" s="146"/>
      <c r="J740" s="146"/>
      <c r="K740" s="146"/>
      <c r="L740" s="146"/>
    </row>
    <row r="741" spans="2:12" x14ac:dyDescent="0.2">
      <c r="B741" s="146"/>
      <c r="C741" s="146"/>
      <c r="D741" s="146"/>
      <c r="E741" s="146"/>
      <c r="F741" s="146"/>
      <c r="G741" s="146"/>
      <c r="H741" s="146"/>
      <c r="I741" s="146"/>
      <c r="J741" s="146"/>
      <c r="K741" s="146"/>
      <c r="L741" s="146"/>
    </row>
    <row r="742" spans="2:12" x14ac:dyDescent="0.2">
      <c r="B742" s="146"/>
      <c r="C742" s="146"/>
      <c r="D742" s="146"/>
      <c r="E742" s="146"/>
      <c r="F742" s="146"/>
      <c r="G742" s="146"/>
      <c r="H742" s="146"/>
      <c r="I742" s="146"/>
      <c r="J742" s="146"/>
      <c r="K742" s="146"/>
      <c r="L742" s="146"/>
    </row>
    <row r="743" spans="2:12" x14ac:dyDescent="0.2">
      <c r="B743" s="146"/>
      <c r="C743" s="146"/>
      <c r="D743" s="146"/>
      <c r="E743" s="146"/>
      <c r="F743" s="146"/>
      <c r="G743" s="146"/>
      <c r="H743" s="146"/>
      <c r="I743" s="146"/>
      <c r="J743" s="146"/>
      <c r="K743" s="146"/>
      <c r="L743" s="146"/>
    </row>
    <row r="744" spans="2:12" x14ac:dyDescent="0.2">
      <c r="B744" s="146"/>
      <c r="C744" s="146"/>
      <c r="D744" s="146"/>
      <c r="E744" s="146"/>
      <c r="F744" s="146"/>
      <c r="G744" s="146"/>
      <c r="H744" s="146"/>
      <c r="I744" s="146"/>
      <c r="J744" s="146"/>
      <c r="K744" s="146"/>
      <c r="L744" s="146"/>
    </row>
    <row r="745" spans="2:12" x14ac:dyDescent="0.2">
      <c r="B745" s="146"/>
      <c r="C745" s="146"/>
      <c r="D745" s="146"/>
      <c r="E745" s="146"/>
      <c r="F745" s="146"/>
      <c r="G745" s="146"/>
      <c r="H745" s="146"/>
      <c r="I745" s="146"/>
      <c r="J745" s="146"/>
      <c r="K745" s="146"/>
      <c r="L745" s="146"/>
    </row>
    <row r="746" spans="2:12" x14ac:dyDescent="0.2">
      <c r="B746" s="146"/>
      <c r="C746" s="146"/>
      <c r="D746" s="146"/>
      <c r="E746" s="146"/>
      <c r="F746" s="146"/>
      <c r="G746" s="146"/>
      <c r="H746" s="146"/>
      <c r="I746" s="146"/>
      <c r="J746" s="146"/>
      <c r="K746" s="146"/>
      <c r="L746" s="146"/>
    </row>
    <row r="747" spans="2:12" x14ac:dyDescent="0.2">
      <c r="B747" s="146"/>
      <c r="C747" s="146"/>
      <c r="D747" s="146"/>
      <c r="E747" s="146"/>
      <c r="F747" s="146"/>
      <c r="G747" s="146"/>
      <c r="H747" s="146"/>
      <c r="I747" s="146"/>
      <c r="J747" s="146"/>
      <c r="K747" s="146"/>
      <c r="L747" s="146"/>
    </row>
    <row r="748" spans="2:12" x14ac:dyDescent="0.2">
      <c r="B748" s="146"/>
      <c r="C748" s="146"/>
      <c r="D748" s="146"/>
      <c r="E748" s="146"/>
      <c r="F748" s="146"/>
      <c r="G748" s="146"/>
      <c r="H748" s="146"/>
      <c r="I748" s="146"/>
      <c r="J748" s="146"/>
      <c r="K748" s="146"/>
      <c r="L748" s="146"/>
    </row>
    <row r="749" spans="2:12" x14ac:dyDescent="0.2">
      <c r="B749" s="146"/>
      <c r="C749" s="146"/>
      <c r="D749" s="146"/>
      <c r="E749" s="146"/>
      <c r="F749" s="146"/>
      <c r="G749" s="146"/>
      <c r="H749" s="146"/>
      <c r="I749" s="146"/>
      <c r="J749" s="146"/>
      <c r="K749" s="146"/>
      <c r="L749" s="146"/>
    </row>
    <row r="750" spans="2:12" x14ac:dyDescent="0.2">
      <c r="B750" s="146"/>
      <c r="C750" s="146"/>
      <c r="D750" s="146"/>
      <c r="E750" s="146"/>
      <c r="F750" s="146"/>
      <c r="G750" s="146"/>
      <c r="H750" s="146"/>
      <c r="I750" s="146"/>
      <c r="J750" s="146"/>
      <c r="K750" s="146"/>
      <c r="L750" s="146"/>
    </row>
    <row r="751" spans="2:12" x14ac:dyDescent="0.2">
      <c r="B751" s="146"/>
      <c r="C751" s="146"/>
      <c r="D751" s="146"/>
      <c r="E751" s="146"/>
      <c r="F751" s="146"/>
      <c r="G751" s="146"/>
      <c r="H751" s="146"/>
      <c r="I751" s="146"/>
      <c r="J751" s="146"/>
      <c r="K751" s="146"/>
      <c r="L751" s="146"/>
    </row>
    <row r="752" spans="2:12" x14ac:dyDescent="0.2">
      <c r="B752" s="146"/>
      <c r="C752" s="146"/>
      <c r="D752" s="146"/>
      <c r="E752" s="146"/>
      <c r="F752" s="146"/>
      <c r="G752" s="146"/>
      <c r="H752" s="146"/>
      <c r="I752" s="146"/>
      <c r="J752" s="146"/>
      <c r="K752" s="146"/>
      <c r="L752" s="146"/>
    </row>
    <row r="753" spans="2:12" x14ac:dyDescent="0.2">
      <c r="B753" s="146"/>
      <c r="C753" s="146"/>
      <c r="D753" s="146"/>
      <c r="E753" s="146"/>
      <c r="F753" s="146"/>
      <c r="G753" s="146"/>
      <c r="H753" s="146"/>
      <c r="I753" s="146"/>
      <c r="J753" s="146"/>
      <c r="K753" s="146"/>
      <c r="L753" s="146"/>
    </row>
    <row r="754" spans="2:12" x14ac:dyDescent="0.2">
      <c r="B754" s="146"/>
      <c r="C754" s="146"/>
      <c r="D754" s="146"/>
      <c r="E754" s="146"/>
      <c r="F754" s="146"/>
      <c r="G754" s="146"/>
      <c r="H754" s="146"/>
      <c r="I754" s="146"/>
      <c r="J754" s="146"/>
      <c r="K754" s="146"/>
      <c r="L754" s="146"/>
    </row>
    <row r="755" spans="2:12" x14ac:dyDescent="0.2">
      <c r="B755" s="146"/>
      <c r="C755" s="146"/>
      <c r="D755" s="146"/>
      <c r="E755" s="146"/>
      <c r="F755" s="146"/>
      <c r="G755" s="146"/>
      <c r="H755" s="146"/>
      <c r="I755" s="146"/>
      <c r="J755" s="146"/>
      <c r="K755" s="146"/>
      <c r="L755" s="146"/>
    </row>
    <row r="756" spans="2:12" x14ac:dyDescent="0.2">
      <c r="B756" s="146"/>
      <c r="C756" s="146"/>
      <c r="D756" s="146"/>
      <c r="E756" s="146"/>
      <c r="F756" s="146"/>
      <c r="G756" s="146"/>
      <c r="H756" s="146"/>
      <c r="I756" s="146"/>
      <c r="J756" s="146"/>
      <c r="K756" s="146"/>
      <c r="L756" s="146"/>
    </row>
    <row r="757" spans="2:12" x14ac:dyDescent="0.2">
      <c r="B757" s="146"/>
      <c r="C757" s="146"/>
      <c r="D757" s="146"/>
      <c r="E757" s="146"/>
      <c r="F757" s="146"/>
      <c r="G757" s="146"/>
      <c r="H757" s="146"/>
      <c r="I757" s="146"/>
      <c r="J757" s="146"/>
      <c r="K757" s="146"/>
      <c r="L757" s="146"/>
    </row>
    <row r="758" spans="2:12" x14ac:dyDescent="0.2">
      <c r="B758" s="146"/>
      <c r="C758" s="146"/>
      <c r="D758" s="146"/>
      <c r="E758" s="146"/>
      <c r="F758" s="146"/>
      <c r="G758" s="146"/>
      <c r="H758" s="146"/>
      <c r="I758" s="146"/>
      <c r="J758" s="146"/>
      <c r="K758" s="146"/>
      <c r="L758" s="146"/>
    </row>
    <row r="759" spans="2:12" x14ac:dyDescent="0.2">
      <c r="B759" s="146"/>
      <c r="C759" s="146"/>
      <c r="D759" s="146"/>
      <c r="E759" s="146"/>
      <c r="F759" s="146"/>
      <c r="G759" s="146"/>
      <c r="H759" s="146"/>
      <c r="I759" s="146"/>
      <c r="J759" s="146"/>
      <c r="K759" s="146"/>
      <c r="L759" s="146"/>
    </row>
    <row r="760" spans="2:12" x14ac:dyDescent="0.2">
      <c r="B760" s="146"/>
      <c r="C760" s="146"/>
      <c r="D760" s="146"/>
      <c r="E760" s="146"/>
      <c r="F760" s="146"/>
      <c r="G760" s="146"/>
      <c r="H760" s="146"/>
      <c r="I760" s="146"/>
      <c r="J760" s="146"/>
      <c r="K760" s="146"/>
      <c r="L760" s="146"/>
    </row>
    <row r="761" spans="2:12" x14ac:dyDescent="0.2">
      <c r="B761" s="146"/>
      <c r="C761" s="146"/>
      <c r="D761" s="146"/>
      <c r="E761" s="146"/>
      <c r="F761" s="146"/>
      <c r="G761" s="146"/>
      <c r="H761" s="146"/>
      <c r="I761" s="146"/>
      <c r="J761" s="146"/>
      <c r="K761" s="146"/>
      <c r="L761" s="146"/>
    </row>
    <row r="762" spans="2:12" x14ac:dyDescent="0.2">
      <c r="B762" s="146"/>
      <c r="C762" s="146"/>
      <c r="D762" s="146"/>
      <c r="E762" s="146"/>
      <c r="F762" s="146"/>
      <c r="G762" s="146"/>
      <c r="H762" s="146"/>
      <c r="I762" s="146"/>
      <c r="J762" s="146"/>
      <c r="K762" s="146"/>
      <c r="L762" s="146"/>
    </row>
    <row r="763" spans="2:12" x14ac:dyDescent="0.2">
      <c r="B763" s="146"/>
      <c r="C763" s="146"/>
      <c r="D763" s="146"/>
      <c r="E763" s="146"/>
      <c r="F763" s="146"/>
      <c r="G763" s="146"/>
      <c r="H763" s="146"/>
      <c r="I763" s="146"/>
      <c r="J763" s="146"/>
      <c r="K763" s="146"/>
      <c r="L763" s="146"/>
    </row>
    <row r="764" spans="2:12" x14ac:dyDescent="0.2">
      <c r="B764" s="146"/>
      <c r="C764" s="146"/>
      <c r="D764" s="146"/>
      <c r="E764" s="146"/>
      <c r="F764" s="146"/>
      <c r="G764" s="146"/>
      <c r="H764" s="146"/>
      <c r="I764" s="146"/>
      <c r="J764" s="146"/>
      <c r="K764" s="146"/>
      <c r="L764" s="146"/>
    </row>
    <row r="765" spans="2:12" x14ac:dyDescent="0.2">
      <c r="B765" s="146"/>
      <c r="C765" s="146"/>
      <c r="D765" s="146"/>
      <c r="E765" s="146"/>
      <c r="F765" s="146"/>
      <c r="G765" s="146"/>
      <c r="H765" s="146"/>
      <c r="I765" s="146"/>
      <c r="J765" s="146"/>
      <c r="K765" s="146"/>
      <c r="L765" s="146"/>
    </row>
    <row r="766" spans="2:12" x14ac:dyDescent="0.2">
      <c r="B766" s="146"/>
      <c r="C766" s="146"/>
      <c r="D766" s="146"/>
      <c r="E766" s="146"/>
      <c r="F766" s="146"/>
      <c r="G766" s="146"/>
      <c r="H766" s="146"/>
      <c r="I766" s="146"/>
      <c r="J766" s="146"/>
      <c r="K766" s="146"/>
      <c r="L766" s="146"/>
    </row>
    <row r="767" spans="2:12" x14ac:dyDescent="0.2">
      <c r="B767" s="146"/>
      <c r="C767" s="146"/>
      <c r="D767" s="146"/>
      <c r="E767" s="146"/>
      <c r="F767" s="146"/>
      <c r="G767" s="146"/>
      <c r="H767" s="146"/>
      <c r="I767" s="146"/>
      <c r="J767" s="146"/>
      <c r="K767" s="146"/>
      <c r="L767" s="146"/>
    </row>
    <row r="768" spans="2:12" x14ac:dyDescent="0.2">
      <c r="B768" s="146"/>
      <c r="C768" s="146"/>
      <c r="D768" s="146"/>
      <c r="E768" s="146"/>
      <c r="F768" s="146"/>
      <c r="G768" s="146"/>
      <c r="H768" s="146"/>
      <c r="I768" s="146"/>
      <c r="J768" s="146"/>
      <c r="K768" s="146"/>
      <c r="L768" s="146"/>
    </row>
    <row r="769" spans="2:12" x14ac:dyDescent="0.2">
      <c r="B769" s="146"/>
      <c r="C769" s="146"/>
      <c r="D769" s="146"/>
      <c r="E769" s="146"/>
      <c r="F769" s="146"/>
      <c r="G769" s="146"/>
      <c r="H769" s="146"/>
      <c r="I769" s="146"/>
      <c r="J769" s="146"/>
      <c r="K769" s="146"/>
      <c r="L769" s="146"/>
    </row>
    <row r="770" spans="2:12" x14ac:dyDescent="0.2">
      <c r="B770" s="146"/>
      <c r="C770" s="146"/>
      <c r="D770" s="146"/>
      <c r="E770" s="146"/>
      <c r="F770" s="146"/>
      <c r="G770" s="146"/>
      <c r="H770" s="146"/>
      <c r="I770" s="146"/>
      <c r="J770" s="146"/>
      <c r="K770" s="146"/>
      <c r="L770" s="146"/>
    </row>
    <row r="771" spans="2:12" x14ac:dyDescent="0.2">
      <c r="B771" s="146"/>
      <c r="C771" s="146"/>
      <c r="D771" s="146"/>
      <c r="E771" s="146"/>
      <c r="F771" s="146"/>
      <c r="G771" s="146"/>
      <c r="H771" s="146"/>
      <c r="I771" s="146"/>
      <c r="J771" s="146"/>
      <c r="K771" s="146"/>
      <c r="L771" s="146"/>
    </row>
    <row r="772" spans="2:12" x14ac:dyDescent="0.2">
      <c r="B772" s="146"/>
      <c r="C772" s="146"/>
      <c r="D772" s="146"/>
      <c r="E772" s="146"/>
      <c r="F772" s="146"/>
      <c r="G772" s="146"/>
      <c r="H772" s="146"/>
      <c r="I772" s="146"/>
      <c r="J772" s="146"/>
      <c r="K772" s="146"/>
      <c r="L772" s="146"/>
    </row>
    <row r="773" spans="2:12" x14ac:dyDescent="0.2">
      <c r="B773" s="146"/>
      <c r="C773" s="146"/>
      <c r="D773" s="146"/>
      <c r="E773" s="146"/>
      <c r="F773" s="146"/>
      <c r="G773" s="146"/>
      <c r="H773" s="146"/>
      <c r="I773" s="146"/>
      <c r="J773" s="146"/>
      <c r="K773" s="146"/>
      <c r="L773" s="146"/>
    </row>
    <row r="774" spans="2:12" x14ac:dyDescent="0.2">
      <c r="B774" s="146"/>
      <c r="C774" s="146"/>
      <c r="D774" s="146"/>
      <c r="E774" s="146"/>
      <c r="F774" s="146"/>
      <c r="G774" s="146"/>
      <c r="H774" s="146"/>
      <c r="I774" s="146"/>
      <c r="J774" s="146"/>
      <c r="K774" s="146"/>
      <c r="L774" s="146"/>
    </row>
    <row r="775" spans="2:12" x14ac:dyDescent="0.2">
      <c r="B775" s="146"/>
      <c r="C775" s="146"/>
      <c r="D775" s="146"/>
      <c r="E775" s="146"/>
      <c r="F775" s="146"/>
      <c r="G775" s="146"/>
      <c r="H775" s="146"/>
      <c r="I775" s="146"/>
      <c r="J775" s="146"/>
      <c r="K775" s="146"/>
      <c r="L775" s="146"/>
    </row>
    <row r="776" spans="2:12" x14ac:dyDescent="0.2">
      <c r="B776" s="146"/>
      <c r="C776" s="146"/>
      <c r="D776" s="146"/>
      <c r="E776" s="146"/>
      <c r="F776" s="146"/>
      <c r="G776" s="146"/>
      <c r="H776" s="146"/>
      <c r="I776" s="146"/>
      <c r="J776" s="146"/>
      <c r="K776" s="146"/>
      <c r="L776" s="146"/>
    </row>
    <row r="777" spans="2:12" x14ac:dyDescent="0.2">
      <c r="B777" s="146"/>
      <c r="C777" s="146"/>
      <c r="D777" s="146"/>
      <c r="E777" s="146"/>
      <c r="F777" s="146"/>
      <c r="G777" s="146"/>
      <c r="H777" s="146"/>
      <c r="I777" s="146"/>
      <c r="J777" s="146"/>
      <c r="K777" s="146"/>
      <c r="L777" s="146"/>
    </row>
    <row r="778" spans="2:12" x14ac:dyDescent="0.2">
      <c r="B778" s="146"/>
      <c r="C778" s="146"/>
      <c r="D778" s="146"/>
      <c r="E778" s="146"/>
      <c r="F778" s="146"/>
      <c r="G778" s="146"/>
      <c r="H778" s="146"/>
      <c r="I778" s="146"/>
      <c r="J778" s="146"/>
      <c r="K778" s="146"/>
      <c r="L778" s="146"/>
    </row>
    <row r="779" spans="2:12" x14ac:dyDescent="0.2">
      <c r="B779" s="146"/>
      <c r="C779" s="146"/>
      <c r="D779" s="146"/>
      <c r="E779" s="146"/>
      <c r="F779" s="146"/>
      <c r="G779" s="146"/>
      <c r="H779" s="146"/>
      <c r="I779" s="146"/>
      <c r="J779" s="146"/>
      <c r="K779" s="146"/>
      <c r="L779" s="146"/>
    </row>
    <row r="780" spans="2:12" x14ac:dyDescent="0.2">
      <c r="B780" s="146"/>
      <c r="C780" s="146"/>
      <c r="D780" s="146"/>
      <c r="E780" s="146"/>
      <c r="F780" s="146"/>
      <c r="G780" s="146"/>
      <c r="H780" s="146"/>
      <c r="I780" s="146"/>
      <c r="J780" s="146"/>
      <c r="K780" s="146"/>
      <c r="L780" s="146"/>
    </row>
    <row r="781" spans="2:12" x14ac:dyDescent="0.2">
      <c r="B781" s="146"/>
      <c r="C781" s="146"/>
      <c r="D781" s="146"/>
      <c r="E781" s="146"/>
      <c r="F781" s="146"/>
      <c r="G781" s="146"/>
      <c r="H781" s="146"/>
      <c r="I781" s="146"/>
      <c r="J781" s="146"/>
      <c r="K781" s="146"/>
      <c r="L781" s="146"/>
    </row>
    <row r="782" spans="2:12" x14ac:dyDescent="0.2">
      <c r="B782" s="146"/>
      <c r="C782" s="146"/>
      <c r="D782" s="146"/>
      <c r="E782" s="146"/>
      <c r="F782" s="146"/>
      <c r="G782" s="146"/>
      <c r="H782" s="146"/>
      <c r="I782" s="146"/>
      <c r="J782" s="146"/>
      <c r="K782" s="146"/>
      <c r="L782" s="146"/>
    </row>
    <row r="783" spans="2:12" x14ac:dyDescent="0.2">
      <c r="B783" s="146"/>
      <c r="C783" s="146"/>
      <c r="D783" s="146"/>
      <c r="E783" s="146"/>
      <c r="F783" s="146"/>
      <c r="G783" s="146"/>
      <c r="H783" s="146"/>
      <c r="I783" s="146"/>
      <c r="J783" s="146"/>
      <c r="K783" s="146"/>
      <c r="L783" s="146"/>
    </row>
    <row r="784" spans="2:12" x14ac:dyDescent="0.2">
      <c r="B784" s="146"/>
      <c r="C784" s="146"/>
      <c r="D784" s="146"/>
      <c r="E784" s="146"/>
      <c r="F784" s="146"/>
      <c r="G784" s="146"/>
      <c r="H784" s="146"/>
      <c r="I784" s="146"/>
      <c r="J784" s="146"/>
      <c r="K784" s="146"/>
      <c r="L784" s="146"/>
    </row>
    <row r="785" spans="2:12" x14ac:dyDescent="0.2">
      <c r="B785" s="146"/>
      <c r="C785" s="146"/>
      <c r="D785" s="146"/>
      <c r="E785" s="146"/>
      <c r="F785" s="146"/>
      <c r="G785" s="146"/>
      <c r="H785" s="146"/>
      <c r="I785" s="146"/>
      <c r="J785" s="146"/>
      <c r="K785" s="146"/>
      <c r="L785" s="146"/>
    </row>
    <row r="786" spans="2:12" x14ac:dyDescent="0.2">
      <c r="B786" s="146"/>
      <c r="C786" s="146"/>
      <c r="D786" s="146"/>
      <c r="E786" s="146"/>
      <c r="F786" s="146"/>
      <c r="G786" s="146"/>
      <c r="H786" s="146"/>
      <c r="I786" s="146"/>
      <c r="J786" s="146"/>
      <c r="K786" s="146"/>
      <c r="L786" s="146"/>
    </row>
    <row r="787" spans="2:12" x14ac:dyDescent="0.2">
      <c r="B787" s="146"/>
      <c r="C787" s="146"/>
      <c r="D787" s="146"/>
      <c r="E787" s="146"/>
      <c r="F787" s="146"/>
      <c r="G787" s="146"/>
      <c r="H787" s="146"/>
      <c r="I787" s="146"/>
      <c r="J787" s="146"/>
      <c r="K787" s="146"/>
      <c r="L787" s="146"/>
    </row>
    <row r="788" spans="2:12" x14ac:dyDescent="0.2">
      <c r="B788" s="146"/>
      <c r="C788" s="146"/>
      <c r="D788" s="146"/>
      <c r="E788" s="146"/>
      <c r="F788" s="146"/>
      <c r="G788" s="146"/>
      <c r="H788" s="146"/>
      <c r="I788" s="146"/>
      <c r="J788" s="146"/>
      <c r="K788" s="146"/>
      <c r="L788" s="146"/>
    </row>
    <row r="789" spans="2:12" x14ac:dyDescent="0.2">
      <c r="B789" s="146"/>
      <c r="C789" s="146"/>
      <c r="D789" s="146"/>
      <c r="E789" s="146"/>
      <c r="F789" s="146"/>
      <c r="G789" s="146"/>
      <c r="H789" s="146"/>
      <c r="I789" s="146"/>
      <c r="J789" s="146"/>
      <c r="K789" s="146"/>
      <c r="L789" s="146"/>
    </row>
    <row r="790" spans="2:12" x14ac:dyDescent="0.2">
      <c r="B790" s="146"/>
      <c r="C790" s="146"/>
      <c r="D790" s="146"/>
      <c r="E790" s="146"/>
      <c r="F790" s="146"/>
      <c r="G790" s="146"/>
      <c r="H790" s="146"/>
      <c r="I790" s="146"/>
      <c r="J790" s="146"/>
      <c r="K790" s="146"/>
      <c r="L790" s="146"/>
    </row>
    <row r="791" spans="2:12" x14ac:dyDescent="0.2">
      <c r="B791" s="146"/>
      <c r="C791" s="146"/>
      <c r="D791" s="146"/>
      <c r="E791" s="146"/>
      <c r="F791" s="146"/>
      <c r="G791" s="146"/>
      <c r="H791" s="146"/>
      <c r="I791" s="146"/>
      <c r="J791" s="146"/>
      <c r="K791" s="146"/>
      <c r="L791" s="146"/>
    </row>
    <row r="792" spans="2:12" x14ac:dyDescent="0.2">
      <c r="B792" s="146"/>
      <c r="C792" s="146"/>
      <c r="D792" s="146"/>
      <c r="E792" s="146"/>
      <c r="F792" s="146"/>
      <c r="G792" s="146"/>
      <c r="H792" s="146"/>
      <c r="I792" s="146"/>
      <c r="J792" s="146"/>
      <c r="K792" s="146"/>
      <c r="L792" s="146"/>
    </row>
    <row r="793" spans="2:12" x14ac:dyDescent="0.2">
      <c r="B793" s="146"/>
      <c r="C793" s="146"/>
      <c r="D793" s="146"/>
      <c r="E793" s="146"/>
      <c r="F793" s="146"/>
      <c r="G793" s="146"/>
      <c r="H793" s="146"/>
      <c r="I793" s="146"/>
      <c r="J793" s="146"/>
      <c r="K793" s="146"/>
      <c r="L793" s="146"/>
    </row>
    <row r="794" spans="2:12" x14ac:dyDescent="0.2">
      <c r="B794" s="146"/>
      <c r="C794" s="146"/>
      <c r="D794" s="146"/>
      <c r="E794" s="146"/>
      <c r="F794" s="146"/>
      <c r="G794" s="146"/>
      <c r="H794" s="146"/>
      <c r="I794" s="146"/>
      <c r="J794" s="146"/>
      <c r="K794" s="146"/>
      <c r="L794" s="146"/>
    </row>
    <row r="795" spans="2:12" x14ac:dyDescent="0.2">
      <c r="B795" s="146"/>
      <c r="C795" s="146"/>
      <c r="D795" s="146"/>
      <c r="E795" s="146"/>
      <c r="F795" s="146"/>
      <c r="G795" s="146"/>
      <c r="H795" s="146"/>
      <c r="I795" s="146"/>
      <c r="J795" s="146"/>
      <c r="K795" s="146"/>
      <c r="L795" s="146"/>
    </row>
    <row r="796" spans="2:12" x14ac:dyDescent="0.2">
      <c r="B796" s="146"/>
      <c r="C796" s="146"/>
      <c r="D796" s="146"/>
      <c r="E796" s="146"/>
      <c r="F796" s="146"/>
      <c r="G796" s="146"/>
      <c r="H796" s="146"/>
      <c r="I796" s="146"/>
      <c r="J796" s="146"/>
      <c r="K796" s="146"/>
      <c r="L796" s="146"/>
    </row>
    <row r="797" spans="2:12" x14ac:dyDescent="0.2">
      <c r="B797" s="146"/>
      <c r="C797" s="146"/>
      <c r="D797" s="146"/>
      <c r="E797" s="146"/>
      <c r="F797" s="146"/>
      <c r="G797" s="146"/>
      <c r="H797" s="146"/>
      <c r="I797" s="146"/>
      <c r="J797" s="146"/>
      <c r="K797" s="146"/>
      <c r="L797" s="146"/>
    </row>
    <row r="798" spans="2:12" x14ac:dyDescent="0.2">
      <c r="B798" s="146"/>
      <c r="C798" s="146"/>
      <c r="D798" s="146"/>
      <c r="E798" s="146"/>
      <c r="F798" s="146"/>
      <c r="G798" s="146"/>
      <c r="H798" s="146"/>
      <c r="I798" s="146"/>
      <c r="J798" s="146"/>
      <c r="K798" s="146"/>
      <c r="L798" s="146"/>
    </row>
    <row r="799" spans="2:12" x14ac:dyDescent="0.2">
      <c r="B799" s="146"/>
      <c r="C799" s="146"/>
      <c r="D799" s="146"/>
      <c r="E799" s="146"/>
      <c r="F799" s="146"/>
      <c r="G799" s="146"/>
      <c r="H799" s="146"/>
      <c r="I799" s="146"/>
      <c r="J799" s="146"/>
      <c r="K799" s="146"/>
      <c r="L799" s="146"/>
    </row>
    <row r="800" spans="2:12" x14ac:dyDescent="0.2">
      <c r="B800" s="146"/>
      <c r="C800" s="146"/>
      <c r="D800" s="146"/>
      <c r="E800" s="146"/>
      <c r="F800" s="146"/>
      <c r="G800" s="146"/>
      <c r="H800" s="146"/>
      <c r="I800" s="146"/>
      <c r="J800" s="146"/>
      <c r="K800" s="146"/>
      <c r="L800" s="146"/>
    </row>
    <row r="801" spans="2:12" x14ac:dyDescent="0.2">
      <c r="B801" s="146"/>
      <c r="C801" s="146"/>
      <c r="D801" s="146"/>
      <c r="E801" s="146"/>
      <c r="F801" s="146"/>
      <c r="G801" s="146"/>
      <c r="H801" s="146"/>
      <c r="I801" s="146"/>
      <c r="J801" s="146"/>
      <c r="K801" s="146"/>
      <c r="L801" s="146"/>
    </row>
    <row r="802" spans="2:12" x14ac:dyDescent="0.2">
      <c r="B802" s="146"/>
      <c r="C802" s="146"/>
      <c r="D802" s="146"/>
      <c r="E802" s="146"/>
      <c r="F802" s="146"/>
      <c r="G802" s="146"/>
      <c r="H802" s="146"/>
      <c r="I802" s="146"/>
      <c r="J802" s="146"/>
      <c r="K802" s="146"/>
      <c r="L802" s="146"/>
    </row>
    <row r="803" spans="2:12" x14ac:dyDescent="0.2">
      <c r="B803" s="146"/>
      <c r="C803" s="146"/>
      <c r="D803" s="146"/>
      <c r="E803" s="146"/>
      <c r="F803" s="146"/>
      <c r="G803" s="146"/>
      <c r="H803" s="146"/>
      <c r="I803" s="146"/>
      <c r="J803" s="146"/>
      <c r="K803" s="146"/>
      <c r="L803" s="146"/>
    </row>
    <row r="804" spans="2:12" x14ac:dyDescent="0.2">
      <c r="B804" s="146"/>
      <c r="C804" s="146"/>
      <c r="D804" s="146"/>
      <c r="E804" s="146"/>
      <c r="F804" s="146"/>
      <c r="G804" s="146"/>
      <c r="H804" s="146"/>
      <c r="I804" s="146"/>
      <c r="J804" s="146"/>
      <c r="K804" s="146"/>
      <c r="L804" s="146"/>
    </row>
    <row r="805" spans="2:12" x14ac:dyDescent="0.2">
      <c r="B805" s="146"/>
      <c r="C805" s="146"/>
      <c r="D805" s="146"/>
      <c r="E805" s="146"/>
      <c r="F805" s="146"/>
      <c r="G805" s="146"/>
      <c r="H805" s="146"/>
      <c r="I805" s="146"/>
      <c r="J805" s="146"/>
      <c r="K805" s="146"/>
      <c r="L805" s="146"/>
    </row>
    <row r="806" spans="2:12" x14ac:dyDescent="0.2">
      <c r="B806" s="146"/>
      <c r="C806" s="146"/>
      <c r="D806" s="146"/>
      <c r="E806" s="146"/>
      <c r="F806" s="146"/>
      <c r="G806" s="146"/>
      <c r="H806" s="146"/>
      <c r="I806" s="146"/>
      <c r="J806" s="146"/>
      <c r="K806" s="146"/>
      <c r="L806" s="146"/>
    </row>
    <row r="807" spans="2:12" x14ac:dyDescent="0.2">
      <c r="B807" s="146"/>
      <c r="C807" s="146"/>
      <c r="D807" s="146"/>
      <c r="E807" s="146"/>
      <c r="F807" s="146"/>
      <c r="G807" s="146"/>
      <c r="H807" s="146"/>
      <c r="I807" s="146"/>
      <c r="J807" s="146"/>
      <c r="K807" s="146"/>
      <c r="L807" s="146"/>
    </row>
    <row r="808" spans="2:12" x14ac:dyDescent="0.2">
      <c r="B808" s="146"/>
      <c r="C808" s="146"/>
      <c r="D808" s="146"/>
      <c r="E808" s="146"/>
      <c r="F808" s="146"/>
      <c r="G808" s="146"/>
      <c r="H808" s="146"/>
      <c r="I808" s="146"/>
      <c r="J808" s="146"/>
      <c r="K808" s="146"/>
      <c r="L808" s="146"/>
    </row>
    <row r="809" spans="2:12" x14ac:dyDescent="0.2">
      <c r="B809" s="146"/>
      <c r="C809" s="146"/>
      <c r="D809" s="146"/>
      <c r="E809" s="146"/>
      <c r="F809" s="146"/>
      <c r="G809" s="146"/>
      <c r="H809" s="146"/>
      <c r="I809" s="146"/>
      <c r="J809" s="146"/>
      <c r="K809" s="146"/>
      <c r="L809" s="146"/>
    </row>
    <row r="810" spans="2:12" x14ac:dyDescent="0.2">
      <c r="B810" s="146"/>
      <c r="C810" s="146"/>
      <c r="D810" s="146"/>
      <c r="E810" s="146"/>
      <c r="F810" s="146"/>
      <c r="G810" s="146"/>
      <c r="H810" s="146"/>
      <c r="I810" s="146"/>
      <c r="J810" s="146"/>
      <c r="K810" s="146"/>
      <c r="L810" s="146"/>
    </row>
    <row r="811" spans="2:12" x14ac:dyDescent="0.2">
      <c r="B811" s="146"/>
      <c r="C811" s="146"/>
      <c r="D811" s="146"/>
      <c r="E811" s="146"/>
      <c r="F811" s="146"/>
      <c r="G811" s="146"/>
      <c r="H811" s="146"/>
      <c r="I811" s="146"/>
      <c r="J811" s="146"/>
      <c r="K811" s="146"/>
      <c r="L811" s="146"/>
    </row>
    <row r="812" spans="2:12" x14ac:dyDescent="0.2">
      <c r="B812" s="146"/>
      <c r="C812" s="146"/>
      <c r="D812" s="146"/>
      <c r="E812" s="146"/>
      <c r="F812" s="146"/>
      <c r="G812" s="146"/>
      <c r="H812" s="146"/>
      <c r="I812" s="146"/>
      <c r="J812" s="146"/>
      <c r="K812" s="146"/>
      <c r="L812" s="146"/>
    </row>
    <row r="813" spans="2:12" x14ac:dyDescent="0.2">
      <c r="B813" s="146"/>
      <c r="C813" s="146"/>
      <c r="D813" s="146"/>
      <c r="E813" s="146"/>
      <c r="F813" s="146"/>
      <c r="G813" s="146"/>
      <c r="H813" s="146"/>
      <c r="I813" s="146"/>
      <c r="J813" s="146"/>
      <c r="K813" s="146"/>
      <c r="L813" s="146"/>
    </row>
    <row r="814" spans="2:12" x14ac:dyDescent="0.2">
      <c r="B814" s="146"/>
      <c r="C814" s="146"/>
      <c r="D814" s="146"/>
      <c r="E814" s="146"/>
      <c r="F814" s="146"/>
      <c r="G814" s="146"/>
      <c r="H814" s="146"/>
      <c r="I814" s="146"/>
      <c r="J814" s="146"/>
      <c r="K814" s="146"/>
      <c r="L814" s="146"/>
    </row>
    <row r="815" spans="2:12" x14ac:dyDescent="0.2">
      <c r="B815" s="146"/>
      <c r="C815" s="146"/>
      <c r="D815" s="146"/>
      <c r="E815" s="146"/>
      <c r="F815" s="146"/>
      <c r="G815" s="146"/>
      <c r="H815" s="146"/>
      <c r="I815" s="146"/>
      <c r="J815" s="146"/>
      <c r="K815" s="146"/>
      <c r="L815" s="146"/>
    </row>
    <row r="816" spans="2:12" x14ac:dyDescent="0.2">
      <c r="B816" s="146"/>
      <c r="C816" s="146"/>
      <c r="D816" s="146"/>
      <c r="E816" s="146"/>
      <c r="F816" s="146"/>
      <c r="G816" s="146"/>
      <c r="H816" s="146"/>
      <c r="I816" s="146"/>
      <c r="J816" s="146"/>
      <c r="K816" s="146"/>
      <c r="L816" s="146"/>
    </row>
    <row r="817" spans="2:12" x14ac:dyDescent="0.2">
      <c r="B817" s="146"/>
      <c r="C817" s="146"/>
      <c r="D817" s="146"/>
      <c r="E817" s="146"/>
      <c r="F817" s="146"/>
      <c r="G817" s="146"/>
      <c r="H817" s="146"/>
      <c r="I817" s="146"/>
      <c r="J817" s="146"/>
      <c r="K817" s="146"/>
      <c r="L817" s="146"/>
    </row>
    <row r="818" spans="2:12" x14ac:dyDescent="0.2">
      <c r="B818" s="146"/>
      <c r="C818" s="146"/>
      <c r="D818" s="146"/>
      <c r="E818" s="146"/>
      <c r="F818" s="146"/>
      <c r="G818" s="146"/>
      <c r="H818" s="146"/>
      <c r="I818" s="146"/>
      <c r="J818" s="146"/>
      <c r="K818" s="146"/>
      <c r="L818" s="146"/>
    </row>
    <row r="819" spans="2:12" x14ac:dyDescent="0.2">
      <c r="B819" s="146"/>
      <c r="C819" s="146"/>
      <c r="D819" s="146"/>
      <c r="E819" s="146"/>
      <c r="F819" s="146"/>
      <c r="G819" s="146"/>
      <c r="H819" s="146"/>
      <c r="I819" s="146"/>
      <c r="J819" s="146"/>
      <c r="K819" s="146"/>
      <c r="L819" s="146"/>
    </row>
    <row r="820" spans="2:12" x14ac:dyDescent="0.2">
      <c r="B820" s="146"/>
      <c r="C820" s="146"/>
      <c r="D820" s="146"/>
      <c r="E820" s="146"/>
      <c r="F820" s="146"/>
      <c r="G820" s="146"/>
      <c r="H820" s="146"/>
      <c r="I820" s="146"/>
      <c r="J820" s="146"/>
      <c r="K820" s="146"/>
      <c r="L820" s="146"/>
    </row>
    <row r="821" spans="2:12" x14ac:dyDescent="0.2">
      <c r="B821" s="146"/>
      <c r="C821" s="146"/>
      <c r="D821" s="146"/>
      <c r="E821" s="146"/>
      <c r="F821" s="146"/>
      <c r="G821" s="146"/>
      <c r="H821" s="146"/>
      <c r="I821" s="146"/>
      <c r="J821" s="146"/>
      <c r="K821" s="146"/>
      <c r="L821" s="146"/>
    </row>
    <row r="822" spans="2:12" x14ac:dyDescent="0.2">
      <c r="B822" s="146"/>
      <c r="C822" s="146"/>
      <c r="D822" s="146"/>
      <c r="E822" s="146"/>
      <c r="F822" s="146"/>
      <c r="G822" s="146"/>
      <c r="H822" s="146"/>
      <c r="I822" s="146"/>
      <c r="J822" s="146"/>
      <c r="K822" s="146"/>
      <c r="L822" s="146"/>
    </row>
    <row r="823" spans="2:12" x14ac:dyDescent="0.2">
      <c r="B823" s="146"/>
      <c r="C823" s="146"/>
      <c r="D823" s="146"/>
      <c r="E823" s="146"/>
      <c r="F823" s="146"/>
      <c r="G823" s="146"/>
      <c r="H823" s="146"/>
      <c r="I823" s="146"/>
      <c r="J823" s="146"/>
      <c r="K823" s="146"/>
      <c r="L823" s="146"/>
    </row>
    <row r="824" spans="2:12" x14ac:dyDescent="0.2">
      <c r="B824" s="146"/>
      <c r="C824" s="146"/>
      <c r="D824" s="146"/>
      <c r="E824" s="146"/>
      <c r="F824" s="146"/>
      <c r="G824" s="146"/>
      <c r="H824" s="146"/>
      <c r="I824" s="146"/>
      <c r="J824" s="146"/>
      <c r="K824" s="146"/>
      <c r="L824" s="146"/>
    </row>
    <row r="825" spans="2:12" x14ac:dyDescent="0.2">
      <c r="B825" s="146"/>
      <c r="C825" s="146"/>
      <c r="D825" s="146"/>
      <c r="E825" s="146"/>
      <c r="F825" s="146"/>
      <c r="G825" s="146"/>
      <c r="H825" s="146"/>
      <c r="I825" s="146"/>
      <c r="J825" s="146"/>
      <c r="K825" s="146"/>
      <c r="L825" s="146"/>
    </row>
    <row r="826" spans="2:12" x14ac:dyDescent="0.2">
      <c r="B826" s="146"/>
      <c r="C826" s="146"/>
      <c r="D826" s="146"/>
      <c r="E826" s="146"/>
      <c r="F826" s="146"/>
      <c r="G826" s="146"/>
      <c r="H826" s="146"/>
      <c r="I826" s="146"/>
      <c r="J826" s="146"/>
      <c r="K826" s="146"/>
      <c r="L826" s="146"/>
    </row>
    <row r="827" spans="2:12" x14ac:dyDescent="0.2">
      <c r="B827" s="146"/>
      <c r="C827" s="146"/>
      <c r="D827" s="146"/>
      <c r="E827" s="146"/>
      <c r="F827" s="146"/>
      <c r="G827" s="146"/>
      <c r="H827" s="146"/>
      <c r="I827" s="146"/>
      <c r="J827" s="146"/>
      <c r="K827" s="146"/>
      <c r="L827" s="146"/>
    </row>
    <row r="828" spans="2:12" x14ac:dyDescent="0.2">
      <c r="B828" s="146"/>
      <c r="C828" s="146"/>
      <c r="D828" s="146"/>
      <c r="E828" s="146"/>
      <c r="F828" s="146"/>
      <c r="G828" s="146"/>
      <c r="H828" s="146"/>
      <c r="I828" s="146"/>
      <c r="J828" s="146"/>
      <c r="K828" s="146"/>
      <c r="L828" s="146"/>
    </row>
    <row r="829" spans="2:12" x14ac:dyDescent="0.2">
      <c r="B829" s="146"/>
      <c r="C829" s="146"/>
      <c r="D829" s="146"/>
      <c r="E829" s="146"/>
      <c r="F829" s="146"/>
      <c r="G829" s="146"/>
      <c r="H829" s="146"/>
      <c r="I829" s="146"/>
      <c r="J829" s="146"/>
      <c r="K829" s="146"/>
      <c r="L829" s="146"/>
    </row>
    <row r="830" spans="2:12" x14ac:dyDescent="0.2">
      <c r="B830" s="146"/>
      <c r="C830" s="146"/>
      <c r="D830" s="146"/>
      <c r="E830" s="146"/>
      <c r="F830" s="146"/>
      <c r="G830" s="146"/>
      <c r="H830" s="146"/>
      <c r="I830" s="146"/>
      <c r="J830" s="146"/>
      <c r="K830" s="146"/>
      <c r="L830" s="146"/>
    </row>
    <row r="831" spans="2:12" x14ac:dyDescent="0.2">
      <c r="B831" s="146"/>
      <c r="C831" s="146"/>
      <c r="D831" s="146"/>
      <c r="E831" s="146"/>
      <c r="F831" s="146"/>
      <c r="G831" s="146"/>
      <c r="H831" s="146"/>
      <c r="I831" s="146"/>
      <c r="J831" s="146"/>
      <c r="K831" s="146"/>
      <c r="L831" s="146"/>
    </row>
    <row r="832" spans="2:12" x14ac:dyDescent="0.2">
      <c r="B832" s="146"/>
      <c r="C832" s="146"/>
      <c r="D832" s="146"/>
      <c r="E832" s="146"/>
      <c r="F832" s="146"/>
      <c r="G832" s="146"/>
      <c r="H832" s="146"/>
      <c r="I832" s="146"/>
      <c r="J832" s="146"/>
      <c r="K832" s="146"/>
      <c r="L832" s="146"/>
    </row>
    <row r="833" spans="2:12" x14ac:dyDescent="0.2">
      <c r="B833" s="146"/>
      <c r="C833" s="146"/>
      <c r="D833" s="146"/>
      <c r="E833" s="146"/>
      <c r="F833" s="146"/>
      <c r="G833" s="146"/>
      <c r="H833" s="146"/>
      <c r="I833" s="146"/>
      <c r="J833" s="146"/>
      <c r="K833" s="146"/>
      <c r="L833" s="146"/>
    </row>
    <row r="834" spans="2:12" x14ac:dyDescent="0.2">
      <c r="B834" s="146"/>
      <c r="C834" s="146"/>
      <c r="D834" s="146"/>
      <c r="E834" s="146"/>
      <c r="F834" s="146"/>
      <c r="G834" s="146"/>
      <c r="H834" s="146"/>
      <c r="I834" s="146"/>
      <c r="J834" s="146"/>
      <c r="K834" s="146"/>
      <c r="L834" s="146"/>
    </row>
    <row r="835" spans="2:12" x14ac:dyDescent="0.2">
      <c r="B835" s="146"/>
      <c r="C835" s="146"/>
      <c r="D835" s="146"/>
      <c r="E835" s="146"/>
      <c r="F835" s="146"/>
      <c r="G835" s="146"/>
      <c r="H835" s="146"/>
      <c r="I835" s="146"/>
      <c r="J835" s="146"/>
      <c r="K835" s="146"/>
      <c r="L835" s="146"/>
    </row>
    <row r="836" spans="2:12" x14ac:dyDescent="0.2">
      <c r="B836" s="146"/>
      <c r="C836" s="146"/>
      <c r="D836" s="146"/>
      <c r="E836" s="146"/>
      <c r="F836" s="146"/>
      <c r="G836" s="146"/>
      <c r="H836" s="146"/>
      <c r="I836" s="146"/>
      <c r="J836" s="146"/>
      <c r="K836" s="146"/>
      <c r="L836" s="146"/>
    </row>
    <row r="837" spans="2:12" x14ac:dyDescent="0.2">
      <c r="B837" s="146"/>
      <c r="C837" s="146"/>
      <c r="D837" s="146"/>
      <c r="E837" s="146"/>
      <c r="F837" s="146"/>
      <c r="G837" s="146"/>
      <c r="H837" s="146"/>
      <c r="I837" s="146"/>
      <c r="J837" s="146"/>
      <c r="K837" s="146"/>
      <c r="L837" s="146"/>
    </row>
    <row r="838" spans="2:12" x14ac:dyDescent="0.2">
      <c r="B838" s="146"/>
      <c r="C838" s="146"/>
      <c r="D838" s="146"/>
      <c r="E838" s="146"/>
      <c r="F838" s="146"/>
      <c r="G838" s="146"/>
      <c r="H838" s="146"/>
      <c r="I838" s="146"/>
      <c r="J838" s="146"/>
      <c r="K838" s="146"/>
      <c r="L838" s="146"/>
    </row>
    <row r="839" spans="2:12" x14ac:dyDescent="0.2">
      <c r="B839" s="146"/>
      <c r="C839" s="146"/>
      <c r="D839" s="146"/>
      <c r="E839" s="146"/>
      <c r="F839" s="146"/>
      <c r="G839" s="146"/>
      <c r="H839" s="146"/>
      <c r="I839" s="146"/>
      <c r="J839" s="146"/>
      <c r="K839" s="146"/>
      <c r="L839" s="146"/>
    </row>
    <row r="840" spans="2:12" x14ac:dyDescent="0.2">
      <c r="B840" s="146"/>
      <c r="C840" s="146"/>
      <c r="D840" s="146"/>
      <c r="E840" s="146"/>
      <c r="F840" s="146"/>
      <c r="G840" s="146"/>
      <c r="H840" s="146"/>
      <c r="I840" s="146"/>
      <c r="J840" s="146"/>
      <c r="K840" s="146"/>
      <c r="L840" s="146"/>
    </row>
    <row r="841" spans="2:12" x14ac:dyDescent="0.2">
      <c r="B841" s="146"/>
      <c r="C841" s="146"/>
      <c r="D841" s="146"/>
      <c r="E841" s="146"/>
      <c r="F841" s="146"/>
      <c r="G841" s="146"/>
      <c r="H841" s="146"/>
      <c r="I841" s="146"/>
      <c r="J841" s="146"/>
      <c r="K841" s="146"/>
      <c r="L841" s="146"/>
    </row>
    <row r="842" spans="2:12" x14ac:dyDescent="0.2">
      <c r="B842" s="146"/>
      <c r="C842" s="146"/>
      <c r="D842" s="146"/>
      <c r="E842" s="146"/>
      <c r="F842" s="146"/>
      <c r="G842" s="146"/>
      <c r="H842" s="146"/>
      <c r="I842" s="146"/>
      <c r="J842" s="146"/>
      <c r="K842" s="146"/>
      <c r="L842" s="146"/>
    </row>
    <row r="843" spans="2:12" x14ac:dyDescent="0.2">
      <c r="B843" s="146"/>
      <c r="C843" s="146"/>
      <c r="D843" s="146"/>
      <c r="E843" s="146"/>
      <c r="F843" s="146"/>
      <c r="G843" s="146"/>
      <c r="H843" s="146"/>
      <c r="I843" s="146"/>
      <c r="J843" s="146"/>
      <c r="K843" s="146"/>
      <c r="L843" s="146"/>
    </row>
    <row r="844" spans="2:12" x14ac:dyDescent="0.2">
      <c r="B844" s="146"/>
      <c r="C844" s="146"/>
      <c r="D844" s="146"/>
      <c r="E844" s="146"/>
      <c r="F844" s="146"/>
      <c r="G844" s="146"/>
      <c r="H844" s="146"/>
      <c r="I844" s="146"/>
      <c r="J844" s="146"/>
      <c r="K844" s="146"/>
      <c r="L844" s="146"/>
    </row>
    <row r="845" spans="2:12" x14ac:dyDescent="0.2">
      <c r="B845" s="146"/>
      <c r="C845" s="146"/>
      <c r="D845" s="146"/>
      <c r="E845" s="146"/>
      <c r="F845" s="146"/>
      <c r="G845" s="146"/>
      <c r="H845" s="146"/>
      <c r="I845" s="146"/>
      <c r="J845" s="146"/>
      <c r="K845" s="146"/>
      <c r="L845" s="146"/>
    </row>
    <row r="846" spans="2:12" x14ac:dyDescent="0.2">
      <c r="B846" s="146"/>
      <c r="C846" s="146"/>
      <c r="D846" s="146"/>
      <c r="E846" s="146"/>
      <c r="F846" s="146"/>
      <c r="G846" s="146"/>
      <c r="H846" s="146"/>
      <c r="I846" s="146"/>
      <c r="J846" s="146"/>
      <c r="K846" s="146"/>
      <c r="L846" s="146"/>
    </row>
    <row r="847" spans="2:12" x14ac:dyDescent="0.2">
      <c r="B847" s="146"/>
      <c r="C847" s="146"/>
      <c r="D847" s="146"/>
      <c r="E847" s="146"/>
      <c r="F847" s="146"/>
      <c r="G847" s="146"/>
      <c r="H847" s="146"/>
      <c r="I847" s="146"/>
      <c r="J847" s="146"/>
      <c r="K847" s="146"/>
      <c r="L847" s="146"/>
    </row>
    <row r="848" spans="2:12" x14ac:dyDescent="0.2">
      <c r="B848" s="146"/>
      <c r="C848" s="146"/>
      <c r="D848" s="146"/>
      <c r="E848" s="146"/>
      <c r="F848" s="146"/>
      <c r="G848" s="146"/>
      <c r="H848" s="146"/>
      <c r="I848" s="146"/>
      <c r="J848" s="146"/>
      <c r="K848" s="146"/>
      <c r="L848" s="146"/>
    </row>
    <row r="849" spans="2:12" x14ac:dyDescent="0.2">
      <c r="B849" s="146"/>
      <c r="C849" s="146"/>
      <c r="D849" s="146"/>
      <c r="E849" s="146"/>
      <c r="F849" s="146"/>
      <c r="G849" s="146"/>
      <c r="H849" s="146"/>
      <c r="I849" s="146"/>
      <c r="J849" s="146"/>
      <c r="K849" s="146"/>
      <c r="L849" s="146"/>
    </row>
    <row r="850" spans="2:12" x14ac:dyDescent="0.2">
      <c r="B850" s="146"/>
      <c r="C850" s="146"/>
      <c r="D850" s="146"/>
      <c r="E850" s="146"/>
      <c r="F850" s="146"/>
      <c r="G850" s="146"/>
      <c r="H850" s="146"/>
      <c r="I850" s="146"/>
      <c r="J850" s="146"/>
      <c r="K850" s="146"/>
      <c r="L850" s="146"/>
    </row>
    <row r="851" spans="2:12" x14ac:dyDescent="0.2">
      <c r="B851" s="146"/>
      <c r="C851" s="146"/>
      <c r="D851" s="146"/>
      <c r="E851" s="146"/>
      <c r="F851" s="146"/>
      <c r="G851" s="146"/>
      <c r="H851" s="146"/>
      <c r="I851" s="146"/>
      <c r="J851" s="146"/>
      <c r="K851" s="146"/>
      <c r="L851" s="146"/>
    </row>
    <row r="852" spans="2:12" x14ac:dyDescent="0.2">
      <c r="B852" s="146"/>
      <c r="C852" s="146"/>
      <c r="D852" s="146"/>
      <c r="E852" s="146"/>
      <c r="F852" s="146"/>
      <c r="G852" s="146"/>
      <c r="H852" s="146"/>
      <c r="I852" s="146"/>
      <c r="J852" s="146"/>
      <c r="K852" s="146"/>
      <c r="L852" s="146"/>
    </row>
    <row r="853" spans="2:12" x14ac:dyDescent="0.2">
      <c r="B853" s="146"/>
      <c r="C853" s="146"/>
      <c r="D853" s="146"/>
      <c r="E853" s="146"/>
      <c r="F853" s="146"/>
      <c r="G853" s="146"/>
      <c r="H853" s="146"/>
      <c r="I853" s="146"/>
      <c r="J853" s="146"/>
      <c r="K853" s="146"/>
      <c r="L853" s="146"/>
    </row>
    <row r="854" spans="2:12" x14ac:dyDescent="0.2">
      <c r="B854" s="146"/>
      <c r="C854" s="146"/>
      <c r="D854" s="146"/>
      <c r="E854" s="146"/>
      <c r="F854" s="146"/>
      <c r="G854" s="146"/>
      <c r="H854" s="146"/>
      <c r="I854" s="146"/>
      <c r="J854" s="146"/>
      <c r="K854" s="146"/>
      <c r="L854" s="146"/>
    </row>
    <row r="855" spans="2:12" x14ac:dyDescent="0.2">
      <c r="B855" s="146"/>
      <c r="C855" s="146"/>
      <c r="D855" s="146"/>
      <c r="E855" s="146"/>
      <c r="F855" s="146"/>
      <c r="G855" s="146"/>
      <c r="H855" s="146"/>
      <c r="I855" s="146"/>
      <c r="J855" s="146"/>
      <c r="K855" s="146"/>
      <c r="L855" s="146"/>
    </row>
    <row r="856" spans="2:12" x14ac:dyDescent="0.2">
      <c r="B856" s="146"/>
      <c r="C856" s="146"/>
      <c r="D856" s="146"/>
      <c r="E856" s="146"/>
      <c r="F856" s="146"/>
      <c r="G856" s="146"/>
      <c r="H856" s="146"/>
      <c r="I856" s="146"/>
      <c r="J856" s="146"/>
      <c r="K856" s="146"/>
      <c r="L856" s="146"/>
    </row>
    <row r="857" spans="2:12" x14ac:dyDescent="0.2">
      <c r="B857" s="146"/>
      <c r="C857" s="146"/>
      <c r="D857" s="146"/>
      <c r="E857" s="146"/>
      <c r="F857" s="146"/>
      <c r="G857" s="146"/>
      <c r="H857" s="146"/>
      <c r="I857" s="146"/>
      <c r="J857" s="146"/>
      <c r="K857" s="146"/>
      <c r="L857" s="146"/>
    </row>
    <row r="858" spans="2:12" x14ac:dyDescent="0.2">
      <c r="B858" s="146"/>
      <c r="C858" s="146"/>
      <c r="D858" s="146"/>
      <c r="E858" s="146"/>
      <c r="F858" s="146"/>
      <c r="G858" s="146"/>
      <c r="H858" s="146"/>
      <c r="I858" s="146"/>
      <c r="J858" s="146"/>
      <c r="K858" s="146"/>
      <c r="L858" s="146"/>
    </row>
    <row r="859" spans="2:12" x14ac:dyDescent="0.2">
      <c r="B859" s="146"/>
      <c r="C859" s="146"/>
      <c r="D859" s="146"/>
      <c r="E859" s="146"/>
      <c r="F859" s="146"/>
      <c r="G859" s="146"/>
      <c r="H859" s="146"/>
      <c r="I859" s="146"/>
      <c r="J859" s="146"/>
      <c r="K859" s="146"/>
      <c r="L859" s="146"/>
    </row>
    <row r="860" spans="2:12" x14ac:dyDescent="0.2">
      <c r="B860" s="146"/>
      <c r="C860" s="146"/>
      <c r="D860" s="146"/>
      <c r="E860" s="146"/>
      <c r="F860" s="146"/>
      <c r="G860" s="146"/>
      <c r="H860" s="146"/>
      <c r="I860" s="146"/>
      <c r="J860" s="146"/>
      <c r="K860" s="146"/>
      <c r="L860" s="146"/>
    </row>
    <row r="861" spans="2:12" x14ac:dyDescent="0.2">
      <c r="B861" s="146"/>
      <c r="C861" s="146"/>
      <c r="D861" s="146"/>
      <c r="E861" s="146"/>
      <c r="F861" s="146"/>
      <c r="G861" s="146"/>
      <c r="H861" s="146"/>
      <c r="I861" s="146"/>
      <c r="J861" s="146"/>
      <c r="K861" s="146"/>
      <c r="L861" s="146"/>
    </row>
    <row r="862" spans="2:12" x14ac:dyDescent="0.2">
      <c r="B862" s="146"/>
      <c r="C862" s="146"/>
      <c r="D862" s="146"/>
      <c r="E862" s="146"/>
      <c r="F862" s="146"/>
      <c r="G862" s="146"/>
      <c r="H862" s="146"/>
      <c r="I862" s="146"/>
      <c r="J862" s="146"/>
      <c r="K862" s="146"/>
      <c r="L862" s="146"/>
    </row>
    <row r="863" spans="2:12" x14ac:dyDescent="0.2">
      <c r="B863" s="146"/>
      <c r="C863" s="146"/>
      <c r="D863" s="146"/>
      <c r="E863" s="146"/>
      <c r="F863" s="146"/>
      <c r="G863" s="146"/>
      <c r="H863" s="146"/>
      <c r="I863" s="146"/>
      <c r="J863" s="146"/>
      <c r="K863" s="146"/>
      <c r="L863" s="146"/>
    </row>
    <row r="864" spans="2:12" x14ac:dyDescent="0.2">
      <c r="B864" s="146"/>
      <c r="C864" s="146"/>
      <c r="D864" s="146"/>
      <c r="E864" s="146"/>
      <c r="F864" s="146"/>
      <c r="G864" s="146"/>
      <c r="H864" s="146"/>
      <c r="I864" s="146"/>
      <c r="J864" s="146"/>
      <c r="K864" s="146"/>
      <c r="L864" s="146"/>
    </row>
    <row r="865" spans="2:12" x14ac:dyDescent="0.2">
      <c r="B865" s="146"/>
      <c r="C865" s="146"/>
      <c r="D865" s="146"/>
      <c r="E865" s="146"/>
      <c r="F865" s="146"/>
      <c r="G865" s="146"/>
      <c r="H865" s="146"/>
      <c r="I865" s="146"/>
      <c r="J865" s="146"/>
      <c r="K865" s="146"/>
      <c r="L865" s="146"/>
    </row>
    <row r="866" spans="2:12" x14ac:dyDescent="0.2">
      <c r="B866" s="146"/>
      <c r="C866" s="146"/>
      <c r="D866" s="146"/>
      <c r="E866" s="146"/>
      <c r="F866" s="146"/>
      <c r="G866" s="146"/>
      <c r="H866" s="146"/>
      <c r="I866" s="146"/>
      <c r="J866" s="146"/>
      <c r="K866" s="146"/>
      <c r="L866" s="146"/>
    </row>
    <row r="867" spans="2:12" x14ac:dyDescent="0.2">
      <c r="B867" s="146"/>
      <c r="C867" s="146"/>
      <c r="D867" s="146"/>
      <c r="E867" s="146"/>
      <c r="F867" s="146"/>
      <c r="G867" s="146"/>
      <c r="H867" s="146"/>
      <c r="I867" s="146"/>
      <c r="J867" s="146"/>
      <c r="K867" s="146"/>
      <c r="L867" s="146"/>
    </row>
    <row r="868" spans="2:12" x14ac:dyDescent="0.2">
      <c r="B868" s="146"/>
      <c r="C868" s="146"/>
      <c r="D868" s="146"/>
      <c r="E868" s="146"/>
      <c r="F868" s="146"/>
      <c r="G868" s="146"/>
      <c r="H868" s="146"/>
      <c r="I868" s="146"/>
      <c r="J868" s="146"/>
      <c r="K868" s="146"/>
      <c r="L868" s="146"/>
    </row>
    <row r="869" spans="2:12" x14ac:dyDescent="0.2">
      <c r="B869" s="146"/>
      <c r="C869" s="146"/>
      <c r="D869" s="146"/>
      <c r="E869" s="146"/>
      <c r="F869" s="146"/>
      <c r="G869" s="146"/>
      <c r="H869" s="146"/>
      <c r="I869" s="146"/>
      <c r="J869" s="146"/>
      <c r="K869" s="146"/>
      <c r="L869" s="146"/>
    </row>
    <row r="870" spans="2:12" x14ac:dyDescent="0.2">
      <c r="B870" s="146"/>
      <c r="C870" s="146"/>
      <c r="D870" s="146"/>
      <c r="E870" s="146"/>
      <c r="F870" s="146"/>
      <c r="G870" s="146"/>
      <c r="H870" s="146"/>
      <c r="I870" s="146"/>
      <c r="J870" s="146"/>
      <c r="K870" s="146"/>
      <c r="L870" s="146"/>
    </row>
    <row r="871" spans="2:12" x14ac:dyDescent="0.2">
      <c r="B871" s="146"/>
      <c r="C871" s="146"/>
      <c r="D871" s="146"/>
      <c r="E871" s="146"/>
      <c r="F871" s="146"/>
      <c r="G871" s="146"/>
      <c r="H871" s="146"/>
      <c r="I871" s="146"/>
      <c r="J871" s="146"/>
      <c r="K871" s="146"/>
      <c r="L871" s="146"/>
    </row>
    <row r="872" spans="2:12" x14ac:dyDescent="0.2">
      <c r="B872" s="146"/>
      <c r="C872" s="146"/>
      <c r="D872" s="146"/>
      <c r="E872" s="146"/>
      <c r="F872" s="146"/>
      <c r="G872" s="146"/>
      <c r="H872" s="146"/>
      <c r="I872" s="146"/>
      <c r="J872" s="146"/>
      <c r="K872" s="146"/>
      <c r="L872" s="146"/>
    </row>
    <row r="873" spans="2:12" x14ac:dyDescent="0.2">
      <c r="B873" s="146"/>
      <c r="C873" s="146"/>
      <c r="D873" s="146"/>
      <c r="E873" s="146"/>
      <c r="F873" s="146"/>
      <c r="G873" s="146"/>
      <c r="H873" s="146"/>
      <c r="I873" s="146"/>
      <c r="J873" s="146"/>
      <c r="K873" s="146"/>
      <c r="L873" s="146"/>
    </row>
    <row r="874" spans="2:12" x14ac:dyDescent="0.2">
      <c r="B874" s="146"/>
      <c r="C874" s="146"/>
      <c r="D874" s="146"/>
      <c r="E874" s="146"/>
      <c r="F874" s="146"/>
      <c r="G874" s="146"/>
      <c r="H874" s="146"/>
      <c r="I874" s="146"/>
      <c r="J874" s="146"/>
      <c r="K874" s="146"/>
      <c r="L874" s="146"/>
    </row>
    <row r="875" spans="2:12" x14ac:dyDescent="0.2">
      <c r="B875" s="146"/>
      <c r="C875" s="146"/>
      <c r="D875" s="146"/>
      <c r="E875" s="146"/>
      <c r="F875" s="146"/>
      <c r="G875" s="146"/>
      <c r="H875" s="146"/>
      <c r="I875" s="146"/>
      <c r="J875" s="146"/>
      <c r="K875" s="146"/>
      <c r="L875" s="146"/>
    </row>
    <row r="876" spans="2:12" x14ac:dyDescent="0.2">
      <c r="B876" s="146"/>
      <c r="C876" s="146"/>
      <c r="D876" s="146"/>
      <c r="E876" s="146"/>
      <c r="F876" s="146"/>
      <c r="G876" s="146"/>
      <c r="H876" s="146"/>
      <c r="I876" s="146"/>
      <c r="J876" s="146"/>
      <c r="K876" s="146"/>
      <c r="L876" s="146"/>
    </row>
    <row r="877" spans="2:12" x14ac:dyDescent="0.2">
      <c r="B877" s="146"/>
      <c r="C877" s="146"/>
      <c r="D877" s="146"/>
      <c r="E877" s="146"/>
      <c r="F877" s="146"/>
      <c r="G877" s="146"/>
      <c r="H877" s="146"/>
      <c r="I877" s="146"/>
      <c r="J877" s="146"/>
      <c r="K877" s="146"/>
      <c r="L877" s="146"/>
    </row>
    <row r="878" spans="2:12" x14ac:dyDescent="0.2">
      <c r="B878" s="146"/>
      <c r="C878" s="146"/>
      <c r="D878" s="146"/>
      <c r="E878" s="146"/>
      <c r="F878" s="146"/>
      <c r="G878" s="146"/>
      <c r="H878" s="146"/>
      <c r="I878" s="146"/>
      <c r="J878" s="146"/>
      <c r="K878" s="146"/>
      <c r="L878" s="146"/>
    </row>
    <row r="879" spans="2:12" x14ac:dyDescent="0.2">
      <c r="B879" s="146"/>
      <c r="C879" s="146"/>
      <c r="D879" s="146"/>
      <c r="E879" s="146"/>
      <c r="F879" s="146"/>
      <c r="G879" s="146"/>
      <c r="H879" s="146"/>
      <c r="I879" s="146"/>
      <c r="J879" s="146"/>
      <c r="K879" s="146"/>
      <c r="L879" s="146"/>
    </row>
    <row r="880" spans="2:12" x14ac:dyDescent="0.2">
      <c r="B880" s="146"/>
      <c r="C880" s="146"/>
      <c r="D880" s="146"/>
      <c r="E880" s="146"/>
      <c r="F880" s="146"/>
      <c r="G880" s="146"/>
      <c r="H880" s="146"/>
      <c r="I880" s="146"/>
      <c r="J880" s="146"/>
      <c r="K880" s="146"/>
      <c r="L880" s="146"/>
    </row>
    <row r="881" spans="2:12" x14ac:dyDescent="0.2">
      <c r="B881" s="146"/>
      <c r="C881" s="146"/>
      <c r="D881" s="146"/>
      <c r="E881" s="146"/>
      <c r="F881" s="146"/>
      <c r="G881" s="146"/>
      <c r="H881" s="146"/>
      <c r="I881" s="146"/>
      <c r="J881" s="146"/>
      <c r="K881" s="146"/>
      <c r="L881" s="146"/>
    </row>
    <row r="882" spans="2:12" x14ac:dyDescent="0.2">
      <c r="B882" s="146"/>
      <c r="C882" s="146"/>
      <c r="D882" s="146"/>
      <c r="E882" s="146"/>
      <c r="F882" s="146"/>
      <c r="G882" s="146"/>
      <c r="H882" s="146"/>
      <c r="I882" s="146"/>
      <c r="J882" s="146"/>
      <c r="K882" s="146"/>
      <c r="L882" s="146"/>
    </row>
    <row r="883" spans="2:12" x14ac:dyDescent="0.2">
      <c r="B883" s="146"/>
      <c r="C883" s="146"/>
      <c r="D883" s="146"/>
      <c r="E883" s="146"/>
      <c r="F883" s="146"/>
      <c r="G883" s="146"/>
      <c r="H883" s="146"/>
      <c r="I883" s="146"/>
      <c r="J883" s="146"/>
      <c r="K883" s="146"/>
      <c r="L883" s="146"/>
    </row>
    <row r="884" spans="2:12" x14ac:dyDescent="0.2">
      <c r="B884" s="146"/>
      <c r="C884" s="146"/>
      <c r="D884" s="146"/>
      <c r="E884" s="146"/>
      <c r="F884" s="146"/>
      <c r="G884" s="146"/>
      <c r="H884" s="146"/>
      <c r="I884" s="146"/>
      <c r="J884" s="146"/>
      <c r="K884" s="146"/>
      <c r="L884" s="146"/>
    </row>
    <row r="885" spans="2:12" x14ac:dyDescent="0.2">
      <c r="B885" s="146"/>
      <c r="C885" s="146"/>
      <c r="D885" s="146"/>
      <c r="E885" s="146"/>
      <c r="F885" s="146"/>
      <c r="G885" s="146"/>
      <c r="H885" s="146"/>
      <c r="I885" s="146"/>
      <c r="J885" s="146"/>
      <c r="K885" s="146"/>
      <c r="L885" s="146"/>
    </row>
    <row r="886" spans="2:12" x14ac:dyDescent="0.2">
      <c r="B886" s="146"/>
      <c r="C886" s="146"/>
      <c r="D886" s="146"/>
      <c r="E886" s="146"/>
      <c r="F886" s="146"/>
      <c r="G886" s="146"/>
      <c r="H886" s="146"/>
      <c r="I886" s="146"/>
      <c r="J886" s="146"/>
      <c r="K886" s="146"/>
      <c r="L886" s="146"/>
    </row>
    <row r="887" spans="2:12" x14ac:dyDescent="0.2">
      <c r="B887" s="146"/>
      <c r="C887" s="146"/>
      <c r="D887" s="146"/>
      <c r="E887" s="146"/>
      <c r="F887" s="146"/>
      <c r="G887" s="146"/>
      <c r="H887" s="146"/>
      <c r="I887" s="146"/>
      <c r="J887" s="146"/>
      <c r="K887" s="146"/>
      <c r="L887" s="146"/>
    </row>
    <row r="888" spans="2:12" x14ac:dyDescent="0.2">
      <c r="B888" s="146"/>
      <c r="C888" s="146"/>
      <c r="D888" s="146"/>
      <c r="E888" s="146"/>
      <c r="F888" s="146"/>
      <c r="G888" s="146"/>
      <c r="H888" s="146"/>
      <c r="I888" s="146"/>
      <c r="J888" s="146"/>
      <c r="K888" s="146"/>
      <c r="L888" s="146"/>
    </row>
    <row r="889" spans="2:12" x14ac:dyDescent="0.2">
      <c r="B889" s="146"/>
      <c r="C889" s="146"/>
      <c r="D889" s="146"/>
      <c r="E889" s="146"/>
      <c r="F889" s="146"/>
      <c r="G889" s="146"/>
      <c r="H889" s="146"/>
      <c r="I889" s="146"/>
      <c r="J889" s="146"/>
      <c r="K889" s="146"/>
      <c r="L889" s="146"/>
    </row>
    <row r="890" spans="2:12" x14ac:dyDescent="0.2">
      <c r="B890" s="146"/>
      <c r="C890" s="146"/>
      <c r="D890" s="146"/>
      <c r="E890" s="146"/>
      <c r="F890" s="146"/>
      <c r="G890" s="146"/>
      <c r="H890" s="146"/>
      <c r="I890" s="146"/>
      <c r="J890" s="146"/>
      <c r="K890" s="146"/>
      <c r="L890" s="146"/>
    </row>
    <row r="891" spans="2:12" x14ac:dyDescent="0.2">
      <c r="B891" s="146"/>
      <c r="C891" s="146"/>
      <c r="D891" s="146"/>
      <c r="E891" s="146"/>
      <c r="F891" s="146"/>
      <c r="G891" s="146"/>
      <c r="H891" s="146"/>
      <c r="I891" s="146"/>
      <c r="J891" s="146"/>
      <c r="K891" s="146"/>
      <c r="L891" s="146"/>
    </row>
    <row r="892" spans="2:12" x14ac:dyDescent="0.2">
      <c r="B892" s="146"/>
      <c r="C892" s="146"/>
      <c r="D892" s="146"/>
      <c r="E892" s="146"/>
      <c r="F892" s="146"/>
      <c r="G892" s="146"/>
      <c r="H892" s="146"/>
      <c r="I892" s="146"/>
      <c r="J892" s="146"/>
      <c r="K892" s="146"/>
      <c r="L892" s="146"/>
    </row>
    <row r="893" spans="2:12" x14ac:dyDescent="0.2">
      <c r="B893" s="146"/>
      <c r="C893" s="146"/>
      <c r="D893" s="146"/>
      <c r="E893" s="146"/>
      <c r="F893" s="146"/>
      <c r="G893" s="146"/>
      <c r="H893" s="146"/>
      <c r="I893" s="146"/>
      <c r="J893" s="146"/>
      <c r="K893" s="146"/>
      <c r="L893" s="146"/>
    </row>
    <row r="894" spans="2:12" x14ac:dyDescent="0.2">
      <c r="B894" s="146"/>
      <c r="C894" s="146"/>
      <c r="D894" s="146"/>
      <c r="E894" s="146"/>
      <c r="F894" s="146"/>
      <c r="G894" s="146"/>
      <c r="H894" s="146"/>
      <c r="I894" s="146"/>
      <c r="J894" s="146"/>
      <c r="K894" s="146"/>
      <c r="L894" s="146"/>
    </row>
    <row r="895" spans="2:12" x14ac:dyDescent="0.2">
      <c r="B895" s="146"/>
      <c r="C895" s="146"/>
      <c r="D895" s="146"/>
      <c r="E895" s="146"/>
      <c r="F895" s="146"/>
      <c r="G895" s="146"/>
      <c r="H895" s="146"/>
      <c r="I895" s="146"/>
      <c r="J895" s="146"/>
      <c r="K895" s="146"/>
      <c r="L895" s="146"/>
    </row>
    <row r="896" spans="2:12" x14ac:dyDescent="0.2">
      <c r="B896" s="146"/>
      <c r="C896" s="146"/>
      <c r="D896" s="146"/>
      <c r="E896" s="146"/>
      <c r="F896" s="146"/>
      <c r="G896" s="146"/>
      <c r="H896" s="146"/>
      <c r="I896" s="146"/>
      <c r="J896" s="146"/>
      <c r="K896" s="146"/>
      <c r="L896" s="146"/>
    </row>
    <row r="897" spans="2:12" x14ac:dyDescent="0.2">
      <c r="B897" s="146"/>
      <c r="C897" s="146"/>
      <c r="D897" s="146"/>
      <c r="E897" s="146"/>
      <c r="F897" s="146"/>
      <c r="G897" s="146"/>
      <c r="H897" s="146"/>
      <c r="I897" s="146"/>
      <c r="J897" s="146"/>
      <c r="K897" s="146"/>
      <c r="L897" s="146"/>
    </row>
    <row r="898" spans="2:12" x14ac:dyDescent="0.2">
      <c r="B898" s="146"/>
      <c r="C898" s="146"/>
      <c r="D898" s="146"/>
      <c r="E898" s="146"/>
      <c r="F898" s="146"/>
      <c r="G898" s="146"/>
      <c r="H898" s="146"/>
      <c r="I898" s="146"/>
      <c r="J898" s="146"/>
      <c r="K898" s="146"/>
      <c r="L898" s="146"/>
    </row>
    <row r="899" spans="2:12" x14ac:dyDescent="0.2">
      <c r="B899" s="146"/>
      <c r="C899" s="146"/>
      <c r="D899" s="146"/>
      <c r="E899" s="146"/>
      <c r="F899" s="146"/>
      <c r="G899" s="146"/>
      <c r="H899" s="146"/>
      <c r="I899" s="146"/>
      <c r="J899" s="146"/>
      <c r="K899" s="146"/>
      <c r="L899" s="146"/>
    </row>
    <row r="900" spans="2:12" x14ac:dyDescent="0.2">
      <c r="B900" s="146"/>
      <c r="C900" s="146"/>
      <c r="D900" s="146"/>
      <c r="E900" s="146"/>
      <c r="F900" s="146"/>
      <c r="G900" s="146"/>
      <c r="H900" s="146"/>
      <c r="I900" s="146"/>
      <c r="J900" s="146"/>
      <c r="K900" s="146"/>
      <c r="L900" s="146"/>
    </row>
    <row r="901" spans="2:12" x14ac:dyDescent="0.2">
      <c r="B901" s="146"/>
      <c r="C901" s="146"/>
      <c r="D901" s="146"/>
      <c r="E901" s="146"/>
      <c r="F901" s="146"/>
      <c r="G901" s="146"/>
      <c r="H901" s="146"/>
      <c r="I901" s="146"/>
      <c r="J901" s="146"/>
      <c r="K901" s="146"/>
      <c r="L901" s="146"/>
    </row>
    <row r="902" spans="2:12" x14ac:dyDescent="0.2">
      <c r="B902" s="146"/>
      <c r="C902" s="146"/>
      <c r="D902" s="146"/>
      <c r="E902" s="146"/>
      <c r="F902" s="146"/>
      <c r="G902" s="146"/>
      <c r="H902" s="146"/>
      <c r="I902" s="146"/>
      <c r="J902" s="146"/>
      <c r="K902" s="146"/>
      <c r="L902" s="146"/>
    </row>
    <row r="903" spans="2:12" x14ac:dyDescent="0.2">
      <c r="B903" s="146"/>
      <c r="C903" s="146"/>
      <c r="D903" s="146"/>
      <c r="E903" s="146"/>
      <c r="F903" s="146"/>
      <c r="G903" s="146"/>
      <c r="H903" s="146"/>
      <c r="I903" s="146"/>
      <c r="J903" s="146"/>
      <c r="K903" s="146"/>
      <c r="L903" s="146"/>
    </row>
    <row r="904" spans="2:12" x14ac:dyDescent="0.2">
      <c r="B904" s="146"/>
      <c r="C904" s="146"/>
      <c r="D904" s="146"/>
      <c r="E904" s="146"/>
      <c r="F904" s="146"/>
      <c r="G904" s="146"/>
      <c r="H904" s="146"/>
      <c r="I904" s="146"/>
      <c r="J904" s="146"/>
      <c r="K904" s="146"/>
      <c r="L904" s="146"/>
    </row>
    <row r="905" spans="2:12" x14ac:dyDescent="0.2">
      <c r="B905" s="146"/>
      <c r="C905" s="146"/>
      <c r="D905" s="146"/>
      <c r="E905" s="146"/>
      <c r="F905" s="146"/>
      <c r="G905" s="146"/>
      <c r="H905" s="146"/>
      <c r="I905" s="146"/>
      <c r="J905" s="146"/>
      <c r="K905" s="146"/>
      <c r="L905" s="146"/>
    </row>
    <row r="906" spans="2:12" x14ac:dyDescent="0.2">
      <c r="B906" s="146"/>
      <c r="C906" s="146"/>
      <c r="D906" s="146"/>
      <c r="E906" s="146"/>
      <c r="F906" s="146"/>
      <c r="G906" s="146"/>
      <c r="H906" s="146"/>
      <c r="I906" s="146"/>
      <c r="J906" s="146"/>
      <c r="K906" s="146"/>
      <c r="L906" s="146"/>
    </row>
    <row r="907" spans="2:12" x14ac:dyDescent="0.2">
      <c r="B907" s="146"/>
      <c r="C907" s="146"/>
      <c r="D907" s="146"/>
      <c r="E907" s="146"/>
      <c r="F907" s="146"/>
      <c r="G907" s="146"/>
      <c r="H907" s="146"/>
      <c r="I907" s="146"/>
      <c r="J907" s="146"/>
      <c r="K907" s="146"/>
      <c r="L907" s="146"/>
    </row>
    <row r="908" spans="2:12" x14ac:dyDescent="0.2">
      <c r="B908" s="146"/>
      <c r="C908" s="146"/>
      <c r="D908" s="146"/>
      <c r="E908" s="146"/>
      <c r="F908" s="146"/>
      <c r="G908" s="146"/>
      <c r="H908" s="146"/>
      <c r="I908" s="146"/>
      <c r="J908" s="146"/>
      <c r="K908" s="146"/>
      <c r="L908" s="146"/>
    </row>
    <row r="909" spans="2:12" x14ac:dyDescent="0.2">
      <c r="B909" s="146"/>
      <c r="C909" s="146"/>
      <c r="D909" s="146"/>
      <c r="E909" s="146"/>
      <c r="F909" s="146"/>
      <c r="G909" s="146"/>
      <c r="H909" s="146"/>
      <c r="I909" s="146"/>
      <c r="J909" s="146"/>
      <c r="K909" s="146"/>
      <c r="L909" s="146"/>
    </row>
    <row r="910" spans="2:12" x14ac:dyDescent="0.2">
      <c r="B910" s="146"/>
      <c r="C910" s="146"/>
      <c r="D910" s="146"/>
      <c r="E910" s="146"/>
      <c r="F910" s="146"/>
      <c r="G910" s="146"/>
      <c r="H910" s="146"/>
      <c r="I910" s="146"/>
      <c r="J910" s="146"/>
      <c r="K910" s="146"/>
      <c r="L910" s="146"/>
    </row>
    <row r="911" spans="2:12" x14ac:dyDescent="0.2">
      <c r="B911" s="146"/>
      <c r="C911" s="146"/>
      <c r="D911" s="146"/>
      <c r="E911" s="146"/>
      <c r="F911" s="146"/>
      <c r="G911" s="146"/>
      <c r="H911" s="146"/>
      <c r="I911" s="146"/>
      <c r="J911" s="146"/>
      <c r="K911" s="146"/>
      <c r="L911" s="146"/>
    </row>
    <row r="912" spans="2:12" x14ac:dyDescent="0.2">
      <c r="B912" s="146"/>
      <c r="C912" s="146"/>
      <c r="D912" s="146"/>
      <c r="E912" s="146"/>
      <c r="F912" s="146"/>
      <c r="G912" s="146"/>
      <c r="H912" s="146"/>
      <c r="I912" s="146"/>
      <c r="J912" s="146"/>
      <c r="K912" s="146"/>
      <c r="L912" s="146"/>
    </row>
    <row r="913" spans="2:12" x14ac:dyDescent="0.2">
      <c r="B913" s="146"/>
      <c r="C913" s="146"/>
      <c r="D913" s="146"/>
      <c r="E913" s="146"/>
      <c r="F913" s="146"/>
      <c r="G913" s="146"/>
      <c r="H913" s="146"/>
      <c r="I913" s="146"/>
      <c r="J913" s="146"/>
      <c r="K913" s="146"/>
      <c r="L913" s="146"/>
    </row>
    <row r="914" spans="2:12" x14ac:dyDescent="0.2">
      <c r="B914" s="146"/>
      <c r="C914" s="146"/>
      <c r="D914" s="146"/>
      <c r="E914" s="146"/>
      <c r="F914" s="146"/>
      <c r="G914" s="146"/>
      <c r="H914" s="146"/>
      <c r="I914" s="146"/>
      <c r="J914" s="146"/>
      <c r="K914" s="146"/>
      <c r="L914" s="146"/>
    </row>
    <row r="915" spans="2:12" x14ac:dyDescent="0.2">
      <c r="B915" s="146"/>
      <c r="C915" s="146"/>
      <c r="D915" s="146"/>
      <c r="E915" s="146"/>
      <c r="F915" s="146"/>
      <c r="G915" s="146"/>
      <c r="H915" s="146"/>
      <c r="I915" s="146"/>
      <c r="J915" s="146"/>
      <c r="K915" s="146"/>
      <c r="L915" s="146"/>
    </row>
    <row r="916" spans="2:12" x14ac:dyDescent="0.2">
      <c r="B916" s="146"/>
      <c r="C916" s="146"/>
      <c r="D916" s="146"/>
      <c r="E916" s="146"/>
      <c r="F916" s="146"/>
      <c r="G916" s="146"/>
      <c r="H916" s="146"/>
      <c r="I916" s="146"/>
      <c r="J916" s="146"/>
      <c r="K916" s="146"/>
      <c r="L916" s="146"/>
    </row>
    <row r="917" spans="2:12" x14ac:dyDescent="0.2">
      <c r="B917" s="146"/>
      <c r="C917" s="146"/>
      <c r="D917" s="146"/>
      <c r="E917" s="146"/>
      <c r="F917" s="146"/>
      <c r="G917" s="146"/>
      <c r="H917" s="146"/>
      <c r="I917" s="146"/>
      <c r="J917" s="146"/>
      <c r="K917" s="146"/>
      <c r="L917" s="146"/>
    </row>
    <row r="918" spans="2:12" x14ac:dyDescent="0.2">
      <c r="B918" s="146"/>
      <c r="C918" s="146"/>
      <c r="D918" s="146"/>
      <c r="E918" s="146"/>
      <c r="F918" s="146"/>
      <c r="G918" s="146"/>
      <c r="H918" s="146"/>
      <c r="I918" s="146"/>
      <c r="J918" s="146"/>
      <c r="K918" s="146"/>
      <c r="L918" s="146"/>
    </row>
    <row r="919" spans="2:12" x14ac:dyDescent="0.2">
      <c r="B919" s="146"/>
      <c r="C919" s="146"/>
      <c r="D919" s="146"/>
      <c r="E919" s="146"/>
      <c r="F919" s="146"/>
      <c r="G919" s="146"/>
      <c r="H919" s="146"/>
      <c r="I919" s="146"/>
      <c r="J919" s="146"/>
      <c r="K919" s="146"/>
      <c r="L919" s="146"/>
    </row>
    <row r="920" spans="2:12" x14ac:dyDescent="0.2">
      <c r="B920" s="146"/>
      <c r="C920" s="146"/>
      <c r="D920" s="146"/>
      <c r="E920" s="146"/>
      <c r="F920" s="146"/>
      <c r="G920" s="146"/>
      <c r="H920" s="146"/>
      <c r="I920" s="146"/>
      <c r="J920" s="146"/>
      <c r="K920" s="146"/>
      <c r="L920" s="146"/>
    </row>
    <row r="921" spans="2:12" x14ac:dyDescent="0.2">
      <c r="B921" s="146"/>
      <c r="C921" s="146"/>
      <c r="D921" s="146"/>
      <c r="E921" s="146"/>
      <c r="F921" s="146"/>
      <c r="G921" s="146"/>
      <c r="H921" s="146"/>
      <c r="I921" s="146"/>
      <c r="J921" s="146"/>
      <c r="K921" s="146"/>
      <c r="L921" s="146"/>
    </row>
    <row r="922" spans="2:12" x14ac:dyDescent="0.2">
      <c r="B922" s="146"/>
      <c r="C922" s="146"/>
      <c r="D922" s="146"/>
      <c r="E922" s="146"/>
      <c r="F922" s="146"/>
      <c r="G922" s="146"/>
      <c r="H922" s="146"/>
      <c r="I922" s="146"/>
      <c r="J922" s="146"/>
      <c r="K922" s="146"/>
      <c r="L922" s="146"/>
    </row>
    <row r="923" spans="2:12" x14ac:dyDescent="0.2">
      <c r="B923" s="146"/>
      <c r="C923" s="146"/>
      <c r="D923" s="146"/>
      <c r="E923" s="146"/>
      <c r="F923" s="146"/>
      <c r="G923" s="146"/>
      <c r="H923" s="146"/>
      <c r="I923" s="146"/>
      <c r="J923" s="146"/>
      <c r="K923" s="146"/>
      <c r="L923" s="146"/>
    </row>
    <row r="924" spans="2:12" x14ac:dyDescent="0.2">
      <c r="B924" s="146"/>
      <c r="C924" s="146"/>
      <c r="D924" s="146"/>
      <c r="E924" s="146"/>
      <c r="F924" s="146"/>
      <c r="G924" s="146"/>
      <c r="H924" s="146"/>
      <c r="I924" s="146"/>
      <c r="J924" s="146"/>
      <c r="K924" s="146"/>
      <c r="L924" s="146"/>
    </row>
    <row r="925" spans="2:12" x14ac:dyDescent="0.2">
      <c r="B925" s="146"/>
      <c r="C925" s="146"/>
      <c r="D925" s="146"/>
      <c r="E925" s="146"/>
      <c r="F925" s="146"/>
      <c r="G925" s="146"/>
      <c r="H925" s="146"/>
      <c r="I925" s="146"/>
      <c r="J925" s="146"/>
      <c r="K925" s="146"/>
      <c r="L925" s="146"/>
    </row>
    <row r="926" spans="2:12" x14ac:dyDescent="0.2">
      <c r="B926" s="146"/>
      <c r="C926" s="146"/>
      <c r="D926" s="146"/>
      <c r="E926" s="146"/>
      <c r="F926" s="146"/>
      <c r="G926" s="146"/>
      <c r="H926" s="146"/>
      <c r="I926" s="146"/>
      <c r="J926" s="146"/>
      <c r="K926" s="146"/>
      <c r="L926" s="146"/>
    </row>
    <row r="927" spans="2:12" x14ac:dyDescent="0.2">
      <c r="B927" s="146"/>
      <c r="C927" s="146"/>
      <c r="D927" s="146"/>
      <c r="E927" s="146"/>
      <c r="F927" s="146"/>
      <c r="G927" s="146"/>
      <c r="H927" s="146"/>
      <c r="I927" s="146"/>
      <c r="J927" s="146"/>
      <c r="K927" s="146"/>
      <c r="L927" s="146"/>
    </row>
  </sheetData>
  <sheetProtection algorithmName="SHA-512" hashValue="9dhp9F3jvEZk8m86aYWzmwiTcCI/0amoSqy2z1KDHQr0tVTD1ujSWqpWQ7rfIvDkM8smTbD8gwgYOwgIwHRm6g==" saltValue="ohW+5F1pctarIn4WfLNVpQ==" spinCount="100000" sheet="1" selectLockedCells="1"/>
  <mergeCells count="3">
    <mergeCell ref="F72:H72"/>
    <mergeCell ref="O3:P3"/>
    <mergeCell ref="A1:Q1"/>
  </mergeCells>
  <phoneticPr fontId="5" type="noConversion"/>
  <conditionalFormatting sqref="E12">
    <cfRule type="cellIs" dxfId="24" priority="23" stopIfTrue="1" operator="notBetween">
      <formula>1000</formula>
      <formula>100</formula>
    </cfRule>
    <cfRule type="cellIs" dxfId="23" priority="24" stopIfTrue="1" operator="notBetween">
      <formula>$E$11*0.8</formula>
      <formula>$E$11*1.5</formula>
    </cfRule>
  </conditionalFormatting>
  <conditionalFormatting sqref="E11">
    <cfRule type="cellIs" dxfId="22" priority="26" stopIfTrue="1" operator="notBetween">
      <formula>1000</formula>
      <formula>100</formula>
    </cfRule>
    <cfRule type="cellIs" dxfId="21" priority="27" stopIfTrue="1" operator="notBetween">
      <formula>$E$12/1.5</formula>
      <formula>$E$12/0.8</formula>
    </cfRule>
  </conditionalFormatting>
  <conditionalFormatting sqref="E30">
    <cfRule type="cellIs" dxfId="20" priority="20" stopIfTrue="1" operator="lessThanOrEqual">
      <formula>0</formula>
    </cfRule>
  </conditionalFormatting>
  <conditionalFormatting sqref="E32">
    <cfRule type="cellIs" dxfId="19" priority="19" stopIfTrue="1" operator="lessThan">
      <formula>$E$31</formula>
    </cfRule>
  </conditionalFormatting>
  <conditionalFormatting sqref="E34">
    <cfRule type="cellIs" dxfId="18" priority="18" stopIfTrue="1" operator="greaterThan">
      <formula>$E$33</formula>
    </cfRule>
  </conditionalFormatting>
  <conditionalFormatting sqref="E39">
    <cfRule type="cellIs" dxfId="17" priority="16" stopIfTrue="1" operator="equal">
      <formula>0</formula>
    </cfRule>
  </conditionalFormatting>
  <conditionalFormatting sqref="E41">
    <cfRule type="cellIs" dxfId="16" priority="15" stopIfTrue="1" operator="lessThan">
      <formula>$E$40</formula>
    </cfRule>
  </conditionalFormatting>
  <conditionalFormatting sqref="E43">
    <cfRule type="cellIs" dxfId="15" priority="13" stopIfTrue="1" operator="greaterThan">
      <formula>$E$42</formula>
    </cfRule>
    <cfRule type="cellIs" dxfId="14" priority="14" stopIfTrue="1" operator="equal">
      <formula>0</formula>
    </cfRule>
  </conditionalFormatting>
  <conditionalFormatting sqref="E50">
    <cfRule type="cellIs" dxfId="13" priority="11" operator="notBetween">
      <formula>VIN_MIN_RATING</formula>
      <formula>VIN_MAX_RATING</formula>
    </cfRule>
  </conditionalFormatting>
  <conditionalFormatting sqref="E51">
    <cfRule type="cellIs" dxfId="12" priority="10" operator="notBetween">
      <formula>VIN_MIN_RATING</formula>
      <formula>VIN_MAX_RATING</formula>
    </cfRule>
  </conditionalFormatting>
  <conditionalFormatting sqref="E9">
    <cfRule type="cellIs" dxfId="11" priority="28" operator="greaterThan">
      <formula>$E$7</formula>
    </cfRule>
    <cfRule type="cellIs" dxfId="10" priority="29" stopIfTrue="1" operator="notBetween">
      <formula>0.8</formula>
      <formula>VOUT_MAX_RATING</formula>
    </cfRule>
  </conditionalFormatting>
  <conditionalFormatting sqref="E6:E8">
    <cfRule type="cellIs" dxfId="9" priority="7" operator="notBetween">
      <formula>VIN_MIN_RATING</formula>
      <formula>VIN_MAX_RATING</formula>
    </cfRule>
  </conditionalFormatting>
  <conditionalFormatting sqref="D23:F23">
    <cfRule type="expression" dxfId="8" priority="3">
      <formula>RDSON_sense=1</formula>
    </cfRule>
  </conditionalFormatting>
  <hyperlinks>
    <hyperlink ref="C3" r:id="rId1" xr:uid="{00000000-0004-0000-0000-000000000000}"/>
  </hyperlinks>
  <printOptions horizontalCentered="1" verticalCentered="1"/>
  <pageMargins left="0.1" right="0.17" top="0.25" bottom="0.25" header="0.25" footer="0.25"/>
  <pageSetup scale="47" orientation="portrait" r:id="rId2"/>
  <headerFooter alignWithMargins="0"/>
  <rowBreaks count="1" manualBreakCount="1">
    <brk id="106" max="16" man="1"/>
  </rowBreaks>
  <ignoredErrors>
    <ignoredError sqref="E71" unlockedFormula="1"/>
  </ignoredErrors>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673566" r:id="rId6" name="Button 798">
              <controlPr locked="0" defaultSize="0" print="0" autoFill="0" autoPict="0" macro="[0]!RESETValues">
                <anchor moveWithCells="1" sizeWithCells="1">
                  <from>
                    <xdr:col>2</xdr:col>
                    <xdr:colOff>390525</xdr:colOff>
                    <xdr:row>73</xdr:row>
                    <xdr:rowOff>9525</xdr:rowOff>
                  </from>
                  <to>
                    <xdr:col>3</xdr:col>
                    <xdr:colOff>9525</xdr:colOff>
                    <xdr:row>76</xdr:row>
                    <xdr:rowOff>19050</xdr:rowOff>
                  </to>
                </anchor>
              </controlPr>
            </control>
          </mc:Choice>
        </mc:AlternateContent>
        <mc:AlternateContent xmlns:mc="http://schemas.openxmlformats.org/markup-compatibility/2006">
          <mc:Choice Requires="x14">
            <control shapeId="673565" r:id="rId7" name="Button 797">
              <controlPr locked="0" defaultSize="0" print="0" autoFill="0" autoPict="0" macro="[0]!FIXValues">
                <anchor moveWithCells="1" sizeWithCells="1">
                  <from>
                    <xdr:col>2</xdr:col>
                    <xdr:colOff>390525</xdr:colOff>
                    <xdr:row>73</xdr:row>
                    <xdr:rowOff>9525</xdr:rowOff>
                  </from>
                  <to>
                    <xdr:col>3</xdr:col>
                    <xdr:colOff>9525</xdr:colOff>
                    <xdr:row>76</xdr:row>
                    <xdr:rowOff>19050</xdr:rowOff>
                  </to>
                </anchor>
              </controlPr>
            </control>
          </mc:Choice>
        </mc:AlternateContent>
        <mc:AlternateContent xmlns:mc="http://schemas.openxmlformats.org/markup-compatibility/2006">
          <mc:Choice Requires="x14">
            <control shapeId="683100" r:id="rId8" name="Drop Down 1116">
              <controlPr defaultSize="0" autoLine="0" autoPict="0">
                <anchor moveWithCells="1">
                  <from>
                    <xdr:col>16</xdr:col>
                    <xdr:colOff>1695450</xdr:colOff>
                    <xdr:row>0</xdr:row>
                    <xdr:rowOff>447675</xdr:rowOff>
                  </from>
                  <to>
                    <xdr:col>16</xdr:col>
                    <xdr:colOff>2076450</xdr:colOff>
                    <xdr:row>1</xdr:row>
                    <xdr:rowOff>28575</xdr:rowOff>
                  </to>
                </anchor>
              </controlPr>
            </control>
          </mc:Choice>
        </mc:AlternateContent>
        <mc:AlternateContent xmlns:mc="http://schemas.openxmlformats.org/markup-compatibility/2006">
          <mc:Choice Requires="x14">
            <control shapeId="672829" r:id="rId9" name="Spinner 61">
              <controlPr defaultSize="0" autoPict="0">
                <anchor moveWithCells="1" sizeWithCells="1">
                  <from>
                    <xdr:col>5</xdr:col>
                    <xdr:colOff>0</xdr:colOff>
                    <xdr:row>58</xdr:row>
                    <xdr:rowOff>161925</xdr:rowOff>
                  </from>
                  <to>
                    <xdr:col>5</xdr:col>
                    <xdr:colOff>180975</xdr:colOff>
                    <xdr:row>60</xdr:row>
                    <xdr:rowOff>9525</xdr:rowOff>
                  </to>
                </anchor>
              </controlPr>
            </control>
          </mc:Choice>
        </mc:AlternateContent>
        <mc:AlternateContent xmlns:mc="http://schemas.openxmlformats.org/markup-compatibility/2006">
          <mc:Choice Requires="x14">
            <control shapeId="672830" r:id="rId10" name="Spinner 62">
              <controlPr defaultSize="0" autoPict="0">
                <anchor moveWithCells="1" sizeWithCells="1">
                  <from>
                    <xdr:col>5</xdr:col>
                    <xdr:colOff>0</xdr:colOff>
                    <xdr:row>65</xdr:row>
                    <xdr:rowOff>0</xdr:rowOff>
                  </from>
                  <to>
                    <xdr:col>5</xdr:col>
                    <xdr:colOff>180975</xdr:colOff>
                    <xdr:row>66</xdr:row>
                    <xdr:rowOff>0</xdr:rowOff>
                  </to>
                </anchor>
              </controlPr>
            </control>
          </mc:Choice>
        </mc:AlternateContent>
        <mc:AlternateContent xmlns:mc="http://schemas.openxmlformats.org/markup-compatibility/2006">
          <mc:Choice Requires="x14">
            <control shapeId="672831" r:id="rId11" name="Spinner 63">
              <controlPr defaultSize="0" autoPict="0">
                <anchor moveWithCells="1" sizeWithCells="1">
                  <from>
                    <xdr:col>5</xdr:col>
                    <xdr:colOff>0</xdr:colOff>
                    <xdr:row>66</xdr:row>
                    <xdr:rowOff>0</xdr:rowOff>
                  </from>
                  <to>
                    <xdr:col>5</xdr:col>
                    <xdr:colOff>180975</xdr:colOff>
                    <xdr:row>66</xdr:row>
                    <xdr:rowOff>190500</xdr:rowOff>
                  </to>
                </anchor>
              </controlPr>
            </control>
          </mc:Choice>
        </mc:AlternateContent>
        <mc:AlternateContent xmlns:mc="http://schemas.openxmlformats.org/markup-compatibility/2006">
          <mc:Choice Requires="x14">
            <control shapeId="672832" r:id="rId12" name="Spinner 64">
              <controlPr defaultSize="0" autoPict="0">
                <anchor moveWithCells="1" sizeWithCells="1">
                  <from>
                    <xdr:col>5</xdr:col>
                    <xdr:colOff>0</xdr:colOff>
                    <xdr:row>67</xdr:row>
                    <xdr:rowOff>0</xdr:rowOff>
                  </from>
                  <to>
                    <xdr:col>5</xdr:col>
                    <xdr:colOff>180975</xdr:colOff>
                    <xdr:row>67</xdr:row>
                    <xdr:rowOff>190500</xdr:rowOff>
                  </to>
                </anchor>
              </controlPr>
            </control>
          </mc:Choice>
        </mc:AlternateContent>
        <mc:AlternateContent xmlns:mc="http://schemas.openxmlformats.org/markup-compatibility/2006">
          <mc:Choice Requires="x14">
            <control shapeId="672833" r:id="rId13" name="Spinner 65">
              <controlPr defaultSize="0" autoPict="0">
                <anchor moveWithCells="1" sizeWithCells="1">
                  <from>
                    <xdr:col>5</xdr:col>
                    <xdr:colOff>0</xdr:colOff>
                    <xdr:row>68</xdr:row>
                    <xdr:rowOff>0</xdr:rowOff>
                  </from>
                  <to>
                    <xdr:col>5</xdr:col>
                    <xdr:colOff>180975</xdr:colOff>
                    <xdr:row>68</xdr:row>
                    <xdr:rowOff>190500</xdr:rowOff>
                  </to>
                </anchor>
              </controlPr>
            </control>
          </mc:Choice>
        </mc:AlternateContent>
        <mc:AlternateContent xmlns:mc="http://schemas.openxmlformats.org/markup-compatibility/2006">
          <mc:Choice Requires="x14">
            <control shapeId="672871" r:id="rId14" name="Drop Down 103">
              <controlPr defaultSize="0" autoLine="0" autoPict="0">
                <anchor moveWithCells="1">
                  <from>
                    <xdr:col>0</xdr:col>
                    <xdr:colOff>9525</xdr:colOff>
                    <xdr:row>22</xdr:row>
                    <xdr:rowOff>0</xdr:rowOff>
                  </from>
                  <to>
                    <xdr:col>1</xdr:col>
                    <xdr:colOff>523875</xdr:colOff>
                    <xdr:row>23</xdr:row>
                    <xdr:rowOff>0</xdr:rowOff>
                  </to>
                </anchor>
              </controlPr>
            </control>
          </mc:Choice>
        </mc:AlternateContent>
        <mc:AlternateContent xmlns:mc="http://schemas.openxmlformats.org/markup-compatibility/2006">
          <mc:Choice Requires="x14">
            <control shapeId="683041" r:id="rId15" name="Drop Down 1057">
              <controlPr locked="0" defaultSize="0" autoLine="0" autoPict="0">
                <anchor moveWithCells="1">
                  <from>
                    <xdr:col>4</xdr:col>
                    <xdr:colOff>38100</xdr:colOff>
                    <xdr:row>3</xdr:row>
                    <xdr:rowOff>171450</xdr:rowOff>
                  </from>
                  <to>
                    <xdr:col>6</xdr:col>
                    <xdr:colOff>0</xdr:colOff>
                    <xdr:row>4</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7A020C5F-9345-43EA-822E-8A1B038AD51E}">
            <xm:f>'Variable Management'!$B$18&lt;140</xm:f>
            <x14:dxf>
              <font>
                <color rgb="FFFF0000"/>
              </font>
            </x14:dxf>
          </x14:cfRule>
          <xm:sqref>E6</xm:sqref>
        </x14:conditionalFormatting>
        <x14:conditionalFormatting xmlns:xm="http://schemas.microsoft.com/office/excel/2006/main">
          <x14:cfRule type="expression" priority="1" id="{A84700B2-9D6A-4FAA-BAEF-6285CF5F700C}">
            <xm:f>'Variable Management'!$B$17&lt;40</xm:f>
            <x14:dxf>
              <font>
                <color rgb="FFFF0000"/>
              </font>
            </x14:dxf>
          </x14:cfRule>
          <xm:sqref>E8</xm:sqref>
        </x14:conditionalFormatting>
        <x14:conditionalFormatting xmlns:xm="http://schemas.microsoft.com/office/excel/2006/main">
          <x14:cfRule type="expression" priority="30" id="{07A203AC-6DB1-4954-A98A-B7A4EB5F4CBB}">
            <xm:f>'Variable Management'!$M$56=1</xm:f>
            <x14:dxf>
              <font>
                <color theme="0"/>
              </font>
            </x14:dxf>
          </x14:cfRule>
          <xm:sqref>D27:F27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0000FF"/>
  </sheetPr>
  <dimension ref="A1:S455"/>
  <sheetViews>
    <sheetView zoomScaleNormal="100" workbookViewId="0">
      <selection activeCell="D64" sqref="D64"/>
    </sheetView>
  </sheetViews>
  <sheetFormatPr defaultRowHeight="12.75" x14ac:dyDescent="0.15"/>
  <cols>
    <col min="1" max="1" width="8.76171875" style="359" bestFit="1" customWidth="1"/>
    <col min="2" max="2" width="14.83203125" style="359" customWidth="1"/>
    <col min="3" max="3" width="16.1796875" style="359" bestFit="1" customWidth="1"/>
    <col min="4" max="4" width="20.08984375" style="359" customWidth="1"/>
    <col min="5" max="5" width="17.2578125" style="359" customWidth="1"/>
    <col min="6" max="6" width="20.6328125" style="359" bestFit="1" customWidth="1"/>
    <col min="7" max="7" width="9.70703125" style="359" customWidth="1"/>
    <col min="8" max="8" width="16.1796875" style="359" customWidth="1"/>
    <col min="9" max="9" width="18.7421875" style="359" customWidth="1"/>
    <col min="10" max="10" width="12.67578125" style="359" customWidth="1"/>
    <col min="11" max="11" width="17.125" style="359" customWidth="1"/>
    <col min="12" max="12" width="13.88671875" style="359" customWidth="1"/>
    <col min="13" max="13" width="9.16796875" style="360"/>
    <col min="14" max="16" width="9.16796875" style="359"/>
    <col min="17" max="17" width="4.8515625" style="359" customWidth="1"/>
    <col min="18" max="256" width="9.16796875" style="359"/>
    <col min="257" max="257" width="8.76171875" style="359" bestFit="1" customWidth="1"/>
    <col min="258" max="258" width="13.34765625" style="359" customWidth="1"/>
    <col min="259" max="259" width="16.1796875" style="359" bestFit="1" customWidth="1"/>
    <col min="260" max="260" width="23.59765625" style="359" customWidth="1"/>
    <col min="261" max="261" width="17.2578125" style="359" customWidth="1"/>
    <col min="262" max="262" width="20.6328125" style="359" bestFit="1" customWidth="1"/>
    <col min="263" max="263" width="17.125" style="359" customWidth="1"/>
    <col min="264" max="264" width="21.84375" style="359" bestFit="1" customWidth="1"/>
    <col min="265" max="265" width="17.125" style="359" bestFit="1" customWidth="1"/>
    <col min="266" max="266" width="18.203125" style="359" bestFit="1" customWidth="1"/>
    <col min="267" max="267" width="26.4296875" style="359" customWidth="1"/>
    <col min="268" max="512" width="9.16796875" style="359"/>
    <col min="513" max="513" width="8.76171875" style="359" bestFit="1" customWidth="1"/>
    <col min="514" max="514" width="13.34765625" style="359" customWidth="1"/>
    <col min="515" max="515" width="16.1796875" style="359" bestFit="1" customWidth="1"/>
    <col min="516" max="516" width="23.59765625" style="359" customWidth="1"/>
    <col min="517" max="517" width="17.2578125" style="359" customWidth="1"/>
    <col min="518" max="518" width="20.6328125" style="359" bestFit="1" customWidth="1"/>
    <col min="519" max="519" width="17.125" style="359" customWidth="1"/>
    <col min="520" max="520" width="21.84375" style="359" bestFit="1" customWidth="1"/>
    <col min="521" max="521" width="17.125" style="359" bestFit="1" customWidth="1"/>
    <col min="522" max="522" width="18.203125" style="359" bestFit="1" customWidth="1"/>
    <col min="523" max="523" width="26.4296875" style="359" customWidth="1"/>
    <col min="524" max="768" width="9.16796875" style="359"/>
    <col min="769" max="769" width="8.76171875" style="359" bestFit="1" customWidth="1"/>
    <col min="770" max="770" width="13.34765625" style="359" customWidth="1"/>
    <col min="771" max="771" width="16.1796875" style="359" bestFit="1" customWidth="1"/>
    <col min="772" max="772" width="23.59765625" style="359" customWidth="1"/>
    <col min="773" max="773" width="17.2578125" style="359" customWidth="1"/>
    <col min="774" max="774" width="20.6328125" style="359" bestFit="1" customWidth="1"/>
    <col min="775" max="775" width="17.125" style="359" customWidth="1"/>
    <col min="776" max="776" width="21.84375" style="359" bestFit="1" customWidth="1"/>
    <col min="777" max="777" width="17.125" style="359" bestFit="1" customWidth="1"/>
    <col min="778" max="778" width="18.203125" style="359" bestFit="1" customWidth="1"/>
    <col min="779" max="779" width="26.4296875" style="359" customWidth="1"/>
    <col min="780" max="1024" width="9.16796875" style="359"/>
    <col min="1025" max="1025" width="8.76171875" style="359" bestFit="1" customWidth="1"/>
    <col min="1026" max="1026" width="13.34765625" style="359" customWidth="1"/>
    <col min="1027" max="1027" width="16.1796875" style="359" bestFit="1" customWidth="1"/>
    <col min="1028" max="1028" width="23.59765625" style="359" customWidth="1"/>
    <col min="1029" max="1029" width="17.2578125" style="359" customWidth="1"/>
    <col min="1030" max="1030" width="20.6328125" style="359" bestFit="1" customWidth="1"/>
    <col min="1031" max="1031" width="17.125" style="359" customWidth="1"/>
    <col min="1032" max="1032" width="21.84375" style="359" bestFit="1" customWidth="1"/>
    <col min="1033" max="1033" width="17.125" style="359" bestFit="1" customWidth="1"/>
    <col min="1034" max="1034" width="18.203125" style="359" bestFit="1" customWidth="1"/>
    <col min="1035" max="1035" width="26.4296875" style="359" customWidth="1"/>
    <col min="1036" max="1280" width="9.16796875" style="359"/>
    <col min="1281" max="1281" width="8.76171875" style="359" bestFit="1" customWidth="1"/>
    <col min="1282" max="1282" width="13.34765625" style="359" customWidth="1"/>
    <col min="1283" max="1283" width="16.1796875" style="359" bestFit="1" customWidth="1"/>
    <col min="1284" max="1284" width="23.59765625" style="359" customWidth="1"/>
    <col min="1285" max="1285" width="17.2578125" style="359" customWidth="1"/>
    <col min="1286" max="1286" width="20.6328125" style="359" bestFit="1" customWidth="1"/>
    <col min="1287" max="1287" width="17.125" style="359" customWidth="1"/>
    <col min="1288" max="1288" width="21.84375" style="359" bestFit="1" customWidth="1"/>
    <col min="1289" max="1289" width="17.125" style="359" bestFit="1" customWidth="1"/>
    <col min="1290" max="1290" width="18.203125" style="359" bestFit="1" customWidth="1"/>
    <col min="1291" max="1291" width="26.4296875" style="359" customWidth="1"/>
    <col min="1292" max="1536" width="9.16796875" style="359"/>
    <col min="1537" max="1537" width="8.76171875" style="359" bestFit="1" customWidth="1"/>
    <col min="1538" max="1538" width="13.34765625" style="359" customWidth="1"/>
    <col min="1539" max="1539" width="16.1796875" style="359" bestFit="1" customWidth="1"/>
    <col min="1540" max="1540" width="23.59765625" style="359" customWidth="1"/>
    <col min="1541" max="1541" width="17.2578125" style="359" customWidth="1"/>
    <col min="1542" max="1542" width="20.6328125" style="359" bestFit="1" customWidth="1"/>
    <col min="1543" max="1543" width="17.125" style="359" customWidth="1"/>
    <col min="1544" max="1544" width="21.84375" style="359" bestFit="1" customWidth="1"/>
    <col min="1545" max="1545" width="17.125" style="359" bestFit="1" customWidth="1"/>
    <col min="1546" max="1546" width="18.203125" style="359" bestFit="1" customWidth="1"/>
    <col min="1547" max="1547" width="26.4296875" style="359" customWidth="1"/>
    <col min="1548" max="1792" width="9.16796875" style="359"/>
    <col min="1793" max="1793" width="8.76171875" style="359" bestFit="1" customWidth="1"/>
    <col min="1794" max="1794" width="13.34765625" style="359" customWidth="1"/>
    <col min="1795" max="1795" width="16.1796875" style="359" bestFit="1" customWidth="1"/>
    <col min="1796" max="1796" width="23.59765625" style="359" customWidth="1"/>
    <col min="1797" max="1797" width="17.2578125" style="359" customWidth="1"/>
    <col min="1798" max="1798" width="20.6328125" style="359" bestFit="1" customWidth="1"/>
    <col min="1799" max="1799" width="17.125" style="359" customWidth="1"/>
    <col min="1800" max="1800" width="21.84375" style="359" bestFit="1" customWidth="1"/>
    <col min="1801" max="1801" width="17.125" style="359" bestFit="1" customWidth="1"/>
    <col min="1802" max="1802" width="18.203125" style="359" bestFit="1" customWidth="1"/>
    <col min="1803" max="1803" width="26.4296875" style="359" customWidth="1"/>
    <col min="1804" max="2048" width="9.16796875" style="359"/>
    <col min="2049" max="2049" width="8.76171875" style="359" bestFit="1" customWidth="1"/>
    <col min="2050" max="2050" width="13.34765625" style="359" customWidth="1"/>
    <col min="2051" max="2051" width="16.1796875" style="359" bestFit="1" customWidth="1"/>
    <col min="2052" max="2052" width="23.59765625" style="359" customWidth="1"/>
    <col min="2053" max="2053" width="17.2578125" style="359" customWidth="1"/>
    <col min="2054" max="2054" width="20.6328125" style="359" bestFit="1" customWidth="1"/>
    <col min="2055" max="2055" width="17.125" style="359" customWidth="1"/>
    <col min="2056" max="2056" width="21.84375" style="359" bestFit="1" customWidth="1"/>
    <col min="2057" max="2057" width="17.125" style="359" bestFit="1" customWidth="1"/>
    <col min="2058" max="2058" width="18.203125" style="359" bestFit="1" customWidth="1"/>
    <col min="2059" max="2059" width="26.4296875" style="359" customWidth="1"/>
    <col min="2060" max="2304" width="9.16796875" style="359"/>
    <col min="2305" max="2305" width="8.76171875" style="359" bestFit="1" customWidth="1"/>
    <col min="2306" max="2306" width="13.34765625" style="359" customWidth="1"/>
    <col min="2307" max="2307" width="16.1796875" style="359" bestFit="1" customWidth="1"/>
    <col min="2308" max="2308" width="23.59765625" style="359" customWidth="1"/>
    <col min="2309" max="2309" width="17.2578125" style="359" customWidth="1"/>
    <col min="2310" max="2310" width="20.6328125" style="359" bestFit="1" customWidth="1"/>
    <col min="2311" max="2311" width="17.125" style="359" customWidth="1"/>
    <col min="2312" max="2312" width="21.84375" style="359" bestFit="1" customWidth="1"/>
    <col min="2313" max="2313" width="17.125" style="359" bestFit="1" customWidth="1"/>
    <col min="2314" max="2314" width="18.203125" style="359" bestFit="1" customWidth="1"/>
    <col min="2315" max="2315" width="26.4296875" style="359" customWidth="1"/>
    <col min="2316" max="2560" width="9.16796875" style="359"/>
    <col min="2561" max="2561" width="8.76171875" style="359" bestFit="1" customWidth="1"/>
    <col min="2562" max="2562" width="13.34765625" style="359" customWidth="1"/>
    <col min="2563" max="2563" width="16.1796875" style="359" bestFit="1" customWidth="1"/>
    <col min="2564" max="2564" width="23.59765625" style="359" customWidth="1"/>
    <col min="2565" max="2565" width="17.2578125" style="359" customWidth="1"/>
    <col min="2566" max="2566" width="20.6328125" style="359" bestFit="1" customWidth="1"/>
    <col min="2567" max="2567" width="17.125" style="359" customWidth="1"/>
    <col min="2568" max="2568" width="21.84375" style="359" bestFit="1" customWidth="1"/>
    <col min="2569" max="2569" width="17.125" style="359" bestFit="1" customWidth="1"/>
    <col min="2570" max="2570" width="18.203125" style="359" bestFit="1" customWidth="1"/>
    <col min="2571" max="2571" width="26.4296875" style="359" customWidth="1"/>
    <col min="2572" max="2816" width="9.16796875" style="359"/>
    <col min="2817" max="2817" width="8.76171875" style="359" bestFit="1" customWidth="1"/>
    <col min="2818" max="2818" width="13.34765625" style="359" customWidth="1"/>
    <col min="2819" max="2819" width="16.1796875" style="359" bestFit="1" customWidth="1"/>
    <col min="2820" max="2820" width="23.59765625" style="359" customWidth="1"/>
    <col min="2821" max="2821" width="17.2578125" style="359" customWidth="1"/>
    <col min="2822" max="2822" width="20.6328125" style="359" bestFit="1" customWidth="1"/>
    <col min="2823" max="2823" width="17.125" style="359" customWidth="1"/>
    <col min="2824" max="2824" width="21.84375" style="359" bestFit="1" customWidth="1"/>
    <col min="2825" max="2825" width="17.125" style="359" bestFit="1" customWidth="1"/>
    <col min="2826" max="2826" width="18.203125" style="359" bestFit="1" customWidth="1"/>
    <col min="2827" max="2827" width="26.4296875" style="359" customWidth="1"/>
    <col min="2828" max="3072" width="9.16796875" style="359"/>
    <col min="3073" max="3073" width="8.76171875" style="359" bestFit="1" customWidth="1"/>
    <col min="3074" max="3074" width="13.34765625" style="359" customWidth="1"/>
    <col min="3075" max="3075" width="16.1796875" style="359" bestFit="1" customWidth="1"/>
    <col min="3076" max="3076" width="23.59765625" style="359" customWidth="1"/>
    <col min="3077" max="3077" width="17.2578125" style="359" customWidth="1"/>
    <col min="3078" max="3078" width="20.6328125" style="359" bestFit="1" customWidth="1"/>
    <col min="3079" max="3079" width="17.125" style="359" customWidth="1"/>
    <col min="3080" max="3080" width="21.84375" style="359" bestFit="1" customWidth="1"/>
    <col min="3081" max="3081" width="17.125" style="359" bestFit="1" customWidth="1"/>
    <col min="3082" max="3082" width="18.203125" style="359" bestFit="1" customWidth="1"/>
    <col min="3083" max="3083" width="26.4296875" style="359" customWidth="1"/>
    <col min="3084" max="3328" width="9.16796875" style="359"/>
    <col min="3329" max="3329" width="8.76171875" style="359" bestFit="1" customWidth="1"/>
    <col min="3330" max="3330" width="13.34765625" style="359" customWidth="1"/>
    <col min="3331" max="3331" width="16.1796875" style="359" bestFit="1" customWidth="1"/>
    <col min="3332" max="3332" width="23.59765625" style="359" customWidth="1"/>
    <col min="3333" max="3333" width="17.2578125" style="359" customWidth="1"/>
    <col min="3334" max="3334" width="20.6328125" style="359" bestFit="1" customWidth="1"/>
    <col min="3335" max="3335" width="17.125" style="359" customWidth="1"/>
    <col min="3336" max="3336" width="21.84375" style="359" bestFit="1" customWidth="1"/>
    <col min="3337" max="3337" width="17.125" style="359" bestFit="1" customWidth="1"/>
    <col min="3338" max="3338" width="18.203125" style="359" bestFit="1" customWidth="1"/>
    <col min="3339" max="3339" width="26.4296875" style="359" customWidth="1"/>
    <col min="3340" max="3584" width="9.16796875" style="359"/>
    <col min="3585" max="3585" width="8.76171875" style="359" bestFit="1" customWidth="1"/>
    <col min="3586" max="3586" width="13.34765625" style="359" customWidth="1"/>
    <col min="3587" max="3587" width="16.1796875" style="359" bestFit="1" customWidth="1"/>
    <col min="3588" max="3588" width="23.59765625" style="359" customWidth="1"/>
    <col min="3589" max="3589" width="17.2578125" style="359" customWidth="1"/>
    <col min="3590" max="3590" width="20.6328125" style="359" bestFit="1" customWidth="1"/>
    <col min="3591" max="3591" width="17.125" style="359" customWidth="1"/>
    <col min="3592" max="3592" width="21.84375" style="359" bestFit="1" customWidth="1"/>
    <col min="3593" max="3593" width="17.125" style="359" bestFit="1" customWidth="1"/>
    <col min="3594" max="3594" width="18.203125" style="359" bestFit="1" customWidth="1"/>
    <col min="3595" max="3595" width="26.4296875" style="359" customWidth="1"/>
    <col min="3596" max="3840" width="9.16796875" style="359"/>
    <col min="3841" max="3841" width="8.76171875" style="359" bestFit="1" customWidth="1"/>
    <col min="3842" max="3842" width="13.34765625" style="359" customWidth="1"/>
    <col min="3843" max="3843" width="16.1796875" style="359" bestFit="1" customWidth="1"/>
    <col min="3844" max="3844" width="23.59765625" style="359" customWidth="1"/>
    <col min="3845" max="3845" width="17.2578125" style="359" customWidth="1"/>
    <col min="3846" max="3846" width="20.6328125" style="359" bestFit="1" customWidth="1"/>
    <col min="3847" max="3847" width="17.125" style="359" customWidth="1"/>
    <col min="3848" max="3848" width="21.84375" style="359" bestFit="1" customWidth="1"/>
    <col min="3849" max="3849" width="17.125" style="359" bestFit="1" customWidth="1"/>
    <col min="3850" max="3850" width="18.203125" style="359" bestFit="1" customWidth="1"/>
    <col min="3851" max="3851" width="26.4296875" style="359" customWidth="1"/>
    <col min="3852" max="4096" width="9.16796875" style="359"/>
    <col min="4097" max="4097" width="8.76171875" style="359" bestFit="1" customWidth="1"/>
    <col min="4098" max="4098" width="13.34765625" style="359" customWidth="1"/>
    <col min="4099" max="4099" width="16.1796875" style="359" bestFit="1" customWidth="1"/>
    <col min="4100" max="4100" width="23.59765625" style="359" customWidth="1"/>
    <col min="4101" max="4101" width="17.2578125" style="359" customWidth="1"/>
    <col min="4102" max="4102" width="20.6328125" style="359" bestFit="1" customWidth="1"/>
    <col min="4103" max="4103" width="17.125" style="359" customWidth="1"/>
    <col min="4104" max="4104" width="21.84375" style="359" bestFit="1" customWidth="1"/>
    <col min="4105" max="4105" width="17.125" style="359" bestFit="1" customWidth="1"/>
    <col min="4106" max="4106" width="18.203125" style="359" bestFit="1" customWidth="1"/>
    <col min="4107" max="4107" width="26.4296875" style="359" customWidth="1"/>
    <col min="4108" max="4352" width="9.16796875" style="359"/>
    <col min="4353" max="4353" width="8.76171875" style="359" bestFit="1" customWidth="1"/>
    <col min="4354" max="4354" width="13.34765625" style="359" customWidth="1"/>
    <col min="4355" max="4355" width="16.1796875" style="359" bestFit="1" customWidth="1"/>
    <col min="4356" max="4356" width="23.59765625" style="359" customWidth="1"/>
    <col min="4357" max="4357" width="17.2578125" style="359" customWidth="1"/>
    <col min="4358" max="4358" width="20.6328125" style="359" bestFit="1" customWidth="1"/>
    <col min="4359" max="4359" width="17.125" style="359" customWidth="1"/>
    <col min="4360" max="4360" width="21.84375" style="359" bestFit="1" customWidth="1"/>
    <col min="4361" max="4361" width="17.125" style="359" bestFit="1" customWidth="1"/>
    <col min="4362" max="4362" width="18.203125" style="359" bestFit="1" customWidth="1"/>
    <col min="4363" max="4363" width="26.4296875" style="359" customWidth="1"/>
    <col min="4364" max="4608" width="9.16796875" style="359"/>
    <col min="4609" max="4609" width="8.76171875" style="359" bestFit="1" customWidth="1"/>
    <col min="4610" max="4610" width="13.34765625" style="359" customWidth="1"/>
    <col min="4611" max="4611" width="16.1796875" style="359" bestFit="1" customWidth="1"/>
    <col min="4612" max="4612" width="23.59765625" style="359" customWidth="1"/>
    <col min="4613" max="4613" width="17.2578125" style="359" customWidth="1"/>
    <col min="4614" max="4614" width="20.6328125" style="359" bestFit="1" customWidth="1"/>
    <col min="4615" max="4615" width="17.125" style="359" customWidth="1"/>
    <col min="4616" max="4616" width="21.84375" style="359" bestFit="1" customWidth="1"/>
    <col min="4617" max="4617" width="17.125" style="359" bestFit="1" customWidth="1"/>
    <col min="4618" max="4618" width="18.203125" style="359" bestFit="1" customWidth="1"/>
    <col min="4619" max="4619" width="26.4296875" style="359" customWidth="1"/>
    <col min="4620" max="4864" width="9.16796875" style="359"/>
    <col min="4865" max="4865" width="8.76171875" style="359" bestFit="1" customWidth="1"/>
    <col min="4866" max="4866" width="13.34765625" style="359" customWidth="1"/>
    <col min="4867" max="4867" width="16.1796875" style="359" bestFit="1" customWidth="1"/>
    <col min="4868" max="4868" width="23.59765625" style="359" customWidth="1"/>
    <col min="4869" max="4869" width="17.2578125" style="359" customWidth="1"/>
    <col min="4870" max="4870" width="20.6328125" style="359" bestFit="1" customWidth="1"/>
    <col min="4871" max="4871" width="17.125" style="359" customWidth="1"/>
    <col min="4872" max="4872" width="21.84375" style="359" bestFit="1" customWidth="1"/>
    <col min="4873" max="4873" width="17.125" style="359" bestFit="1" customWidth="1"/>
    <col min="4874" max="4874" width="18.203125" style="359" bestFit="1" customWidth="1"/>
    <col min="4875" max="4875" width="26.4296875" style="359" customWidth="1"/>
    <col min="4876" max="5120" width="9.16796875" style="359"/>
    <col min="5121" max="5121" width="8.76171875" style="359" bestFit="1" customWidth="1"/>
    <col min="5122" max="5122" width="13.34765625" style="359" customWidth="1"/>
    <col min="5123" max="5123" width="16.1796875" style="359" bestFit="1" customWidth="1"/>
    <col min="5124" max="5124" width="23.59765625" style="359" customWidth="1"/>
    <col min="5125" max="5125" width="17.2578125" style="359" customWidth="1"/>
    <col min="5126" max="5126" width="20.6328125" style="359" bestFit="1" customWidth="1"/>
    <col min="5127" max="5127" width="17.125" style="359" customWidth="1"/>
    <col min="5128" max="5128" width="21.84375" style="359" bestFit="1" customWidth="1"/>
    <col min="5129" max="5129" width="17.125" style="359" bestFit="1" customWidth="1"/>
    <col min="5130" max="5130" width="18.203125" style="359" bestFit="1" customWidth="1"/>
    <col min="5131" max="5131" width="26.4296875" style="359" customWidth="1"/>
    <col min="5132" max="5376" width="9.16796875" style="359"/>
    <col min="5377" max="5377" width="8.76171875" style="359" bestFit="1" customWidth="1"/>
    <col min="5378" max="5378" width="13.34765625" style="359" customWidth="1"/>
    <col min="5379" max="5379" width="16.1796875" style="359" bestFit="1" customWidth="1"/>
    <col min="5380" max="5380" width="23.59765625" style="359" customWidth="1"/>
    <col min="5381" max="5381" width="17.2578125" style="359" customWidth="1"/>
    <col min="5382" max="5382" width="20.6328125" style="359" bestFit="1" customWidth="1"/>
    <col min="5383" max="5383" width="17.125" style="359" customWidth="1"/>
    <col min="5384" max="5384" width="21.84375" style="359" bestFit="1" customWidth="1"/>
    <col min="5385" max="5385" width="17.125" style="359" bestFit="1" customWidth="1"/>
    <col min="5386" max="5386" width="18.203125" style="359" bestFit="1" customWidth="1"/>
    <col min="5387" max="5387" width="26.4296875" style="359" customWidth="1"/>
    <col min="5388" max="5632" width="9.16796875" style="359"/>
    <col min="5633" max="5633" width="8.76171875" style="359" bestFit="1" customWidth="1"/>
    <col min="5634" max="5634" width="13.34765625" style="359" customWidth="1"/>
    <col min="5635" max="5635" width="16.1796875" style="359" bestFit="1" customWidth="1"/>
    <col min="5636" max="5636" width="23.59765625" style="359" customWidth="1"/>
    <col min="5637" max="5637" width="17.2578125" style="359" customWidth="1"/>
    <col min="5638" max="5638" width="20.6328125" style="359" bestFit="1" customWidth="1"/>
    <col min="5639" max="5639" width="17.125" style="359" customWidth="1"/>
    <col min="5640" max="5640" width="21.84375" style="359" bestFit="1" customWidth="1"/>
    <col min="5641" max="5641" width="17.125" style="359" bestFit="1" customWidth="1"/>
    <col min="5642" max="5642" width="18.203125" style="359" bestFit="1" customWidth="1"/>
    <col min="5643" max="5643" width="26.4296875" style="359" customWidth="1"/>
    <col min="5644" max="5888" width="9.16796875" style="359"/>
    <col min="5889" max="5889" width="8.76171875" style="359" bestFit="1" customWidth="1"/>
    <col min="5890" max="5890" width="13.34765625" style="359" customWidth="1"/>
    <col min="5891" max="5891" width="16.1796875" style="359" bestFit="1" customWidth="1"/>
    <col min="5892" max="5892" width="23.59765625" style="359" customWidth="1"/>
    <col min="5893" max="5893" width="17.2578125" style="359" customWidth="1"/>
    <col min="5894" max="5894" width="20.6328125" style="359" bestFit="1" customWidth="1"/>
    <col min="5895" max="5895" width="17.125" style="359" customWidth="1"/>
    <col min="5896" max="5896" width="21.84375" style="359" bestFit="1" customWidth="1"/>
    <col min="5897" max="5897" width="17.125" style="359" bestFit="1" customWidth="1"/>
    <col min="5898" max="5898" width="18.203125" style="359" bestFit="1" customWidth="1"/>
    <col min="5899" max="5899" width="26.4296875" style="359" customWidth="1"/>
    <col min="5900" max="6144" width="9.16796875" style="359"/>
    <col min="6145" max="6145" width="8.76171875" style="359" bestFit="1" customWidth="1"/>
    <col min="6146" max="6146" width="13.34765625" style="359" customWidth="1"/>
    <col min="6147" max="6147" width="16.1796875" style="359" bestFit="1" customWidth="1"/>
    <col min="6148" max="6148" width="23.59765625" style="359" customWidth="1"/>
    <col min="6149" max="6149" width="17.2578125" style="359" customWidth="1"/>
    <col min="6150" max="6150" width="20.6328125" style="359" bestFit="1" customWidth="1"/>
    <col min="6151" max="6151" width="17.125" style="359" customWidth="1"/>
    <col min="6152" max="6152" width="21.84375" style="359" bestFit="1" customWidth="1"/>
    <col min="6153" max="6153" width="17.125" style="359" bestFit="1" customWidth="1"/>
    <col min="6154" max="6154" width="18.203125" style="359" bestFit="1" customWidth="1"/>
    <col min="6155" max="6155" width="26.4296875" style="359" customWidth="1"/>
    <col min="6156" max="6400" width="9.16796875" style="359"/>
    <col min="6401" max="6401" width="8.76171875" style="359" bestFit="1" customWidth="1"/>
    <col min="6402" max="6402" width="13.34765625" style="359" customWidth="1"/>
    <col min="6403" max="6403" width="16.1796875" style="359" bestFit="1" customWidth="1"/>
    <col min="6404" max="6404" width="23.59765625" style="359" customWidth="1"/>
    <col min="6405" max="6405" width="17.2578125" style="359" customWidth="1"/>
    <col min="6406" max="6406" width="20.6328125" style="359" bestFit="1" customWidth="1"/>
    <col min="6407" max="6407" width="17.125" style="359" customWidth="1"/>
    <col min="6408" max="6408" width="21.84375" style="359" bestFit="1" customWidth="1"/>
    <col min="6409" max="6409" width="17.125" style="359" bestFit="1" customWidth="1"/>
    <col min="6410" max="6410" width="18.203125" style="359" bestFit="1" customWidth="1"/>
    <col min="6411" max="6411" width="26.4296875" style="359" customWidth="1"/>
    <col min="6412" max="6656" width="9.16796875" style="359"/>
    <col min="6657" max="6657" width="8.76171875" style="359" bestFit="1" customWidth="1"/>
    <col min="6658" max="6658" width="13.34765625" style="359" customWidth="1"/>
    <col min="6659" max="6659" width="16.1796875" style="359" bestFit="1" customWidth="1"/>
    <col min="6660" max="6660" width="23.59765625" style="359" customWidth="1"/>
    <col min="6661" max="6661" width="17.2578125" style="359" customWidth="1"/>
    <col min="6662" max="6662" width="20.6328125" style="359" bestFit="1" customWidth="1"/>
    <col min="6663" max="6663" width="17.125" style="359" customWidth="1"/>
    <col min="6664" max="6664" width="21.84375" style="359" bestFit="1" customWidth="1"/>
    <col min="6665" max="6665" width="17.125" style="359" bestFit="1" customWidth="1"/>
    <col min="6666" max="6666" width="18.203125" style="359" bestFit="1" customWidth="1"/>
    <col min="6667" max="6667" width="26.4296875" style="359" customWidth="1"/>
    <col min="6668" max="6912" width="9.16796875" style="359"/>
    <col min="6913" max="6913" width="8.76171875" style="359" bestFit="1" customWidth="1"/>
    <col min="6914" max="6914" width="13.34765625" style="359" customWidth="1"/>
    <col min="6915" max="6915" width="16.1796875" style="359" bestFit="1" customWidth="1"/>
    <col min="6916" max="6916" width="23.59765625" style="359" customWidth="1"/>
    <col min="6917" max="6917" width="17.2578125" style="359" customWidth="1"/>
    <col min="6918" max="6918" width="20.6328125" style="359" bestFit="1" customWidth="1"/>
    <col min="6919" max="6919" width="17.125" style="359" customWidth="1"/>
    <col min="6920" max="6920" width="21.84375" style="359" bestFit="1" customWidth="1"/>
    <col min="6921" max="6921" width="17.125" style="359" bestFit="1" customWidth="1"/>
    <col min="6922" max="6922" width="18.203125" style="359" bestFit="1" customWidth="1"/>
    <col min="6923" max="6923" width="26.4296875" style="359" customWidth="1"/>
    <col min="6924" max="7168" width="9.16796875" style="359"/>
    <col min="7169" max="7169" width="8.76171875" style="359" bestFit="1" customWidth="1"/>
    <col min="7170" max="7170" width="13.34765625" style="359" customWidth="1"/>
    <col min="7171" max="7171" width="16.1796875" style="359" bestFit="1" customWidth="1"/>
    <col min="7172" max="7172" width="23.59765625" style="359" customWidth="1"/>
    <col min="7173" max="7173" width="17.2578125" style="359" customWidth="1"/>
    <col min="7174" max="7174" width="20.6328125" style="359" bestFit="1" customWidth="1"/>
    <col min="7175" max="7175" width="17.125" style="359" customWidth="1"/>
    <col min="7176" max="7176" width="21.84375" style="359" bestFit="1" customWidth="1"/>
    <col min="7177" max="7177" width="17.125" style="359" bestFit="1" customWidth="1"/>
    <col min="7178" max="7178" width="18.203125" style="359" bestFit="1" customWidth="1"/>
    <col min="7179" max="7179" width="26.4296875" style="359" customWidth="1"/>
    <col min="7180" max="7424" width="9.16796875" style="359"/>
    <col min="7425" max="7425" width="8.76171875" style="359" bestFit="1" customWidth="1"/>
    <col min="7426" max="7426" width="13.34765625" style="359" customWidth="1"/>
    <col min="7427" max="7427" width="16.1796875" style="359" bestFit="1" customWidth="1"/>
    <col min="7428" max="7428" width="23.59765625" style="359" customWidth="1"/>
    <col min="7429" max="7429" width="17.2578125" style="359" customWidth="1"/>
    <col min="7430" max="7430" width="20.6328125" style="359" bestFit="1" customWidth="1"/>
    <col min="7431" max="7431" width="17.125" style="359" customWidth="1"/>
    <col min="7432" max="7432" width="21.84375" style="359" bestFit="1" customWidth="1"/>
    <col min="7433" max="7433" width="17.125" style="359" bestFit="1" customWidth="1"/>
    <col min="7434" max="7434" width="18.203125" style="359" bestFit="1" customWidth="1"/>
    <col min="7435" max="7435" width="26.4296875" style="359" customWidth="1"/>
    <col min="7436" max="7680" width="9.16796875" style="359"/>
    <col min="7681" max="7681" width="8.76171875" style="359" bestFit="1" customWidth="1"/>
    <col min="7682" max="7682" width="13.34765625" style="359" customWidth="1"/>
    <col min="7683" max="7683" width="16.1796875" style="359" bestFit="1" customWidth="1"/>
    <col min="7684" max="7684" width="23.59765625" style="359" customWidth="1"/>
    <col min="7685" max="7685" width="17.2578125" style="359" customWidth="1"/>
    <col min="7686" max="7686" width="20.6328125" style="359" bestFit="1" customWidth="1"/>
    <col min="7687" max="7687" width="17.125" style="359" customWidth="1"/>
    <col min="7688" max="7688" width="21.84375" style="359" bestFit="1" customWidth="1"/>
    <col min="7689" max="7689" width="17.125" style="359" bestFit="1" customWidth="1"/>
    <col min="7690" max="7690" width="18.203125" style="359" bestFit="1" customWidth="1"/>
    <col min="7691" max="7691" width="26.4296875" style="359" customWidth="1"/>
    <col min="7692" max="7936" width="9.16796875" style="359"/>
    <col min="7937" max="7937" width="8.76171875" style="359" bestFit="1" customWidth="1"/>
    <col min="7938" max="7938" width="13.34765625" style="359" customWidth="1"/>
    <col min="7939" max="7939" width="16.1796875" style="359" bestFit="1" customWidth="1"/>
    <col min="7940" max="7940" width="23.59765625" style="359" customWidth="1"/>
    <col min="7941" max="7941" width="17.2578125" style="359" customWidth="1"/>
    <col min="7942" max="7942" width="20.6328125" style="359" bestFit="1" customWidth="1"/>
    <col min="7943" max="7943" width="17.125" style="359" customWidth="1"/>
    <col min="7944" max="7944" width="21.84375" style="359" bestFit="1" customWidth="1"/>
    <col min="7945" max="7945" width="17.125" style="359" bestFit="1" customWidth="1"/>
    <col min="7946" max="7946" width="18.203125" style="359" bestFit="1" customWidth="1"/>
    <col min="7947" max="7947" width="26.4296875" style="359" customWidth="1"/>
    <col min="7948" max="8192" width="9.16796875" style="359"/>
    <col min="8193" max="8193" width="8.76171875" style="359" bestFit="1" customWidth="1"/>
    <col min="8194" max="8194" width="13.34765625" style="359" customWidth="1"/>
    <col min="8195" max="8195" width="16.1796875" style="359" bestFit="1" customWidth="1"/>
    <col min="8196" max="8196" width="23.59765625" style="359" customWidth="1"/>
    <col min="8197" max="8197" width="17.2578125" style="359" customWidth="1"/>
    <col min="8198" max="8198" width="20.6328125" style="359" bestFit="1" customWidth="1"/>
    <col min="8199" max="8199" width="17.125" style="359" customWidth="1"/>
    <col min="8200" max="8200" width="21.84375" style="359" bestFit="1" customWidth="1"/>
    <col min="8201" max="8201" width="17.125" style="359" bestFit="1" customWidth="1"/>
    <col min="8202" max="8202" width="18.203125" style="359" bestFit="1" customWidth="1"/>
    <col min="8203" max="8203" width="26.4296875" style="359" customWidth="1"/>
    <col min="8204" max="8448" width="9.16796875" style="359"/>
    <col min="8449" max="8449" width="8.76171875" style="359" bestFit="1" customWidth="1"/>
    <col min="8450" max="8450" width="13.34765625" style="359" customWidth="1"/>
    <col min="8451" max="8451" width="16.1796875" style="359" bestFit="1" customWidth="1"/>
    <col min="8452" max="8452" width="23.59765625" style="359" customWidth="1"/>
    <col min="8453" max="8453" width="17.2578125" style="359" customWidth="1"/>
    <col min="8454" max="8454" width="20.6328125" style="359" bestFit="1" customWidth="1"/>
    <col min="8455" max="8455" width="17.125" style="359" customWidth="1"/>
    <col min="8456" max="8456" width="21.84375" style="359" bestFit="1" customWidth="1"/>
    <col min="8457" max="8457" width="17.125" style="359" bestFit="1" customWidth="1"/>
    <col min="8458" max="8458" width="18.203125" style="359" bestFit="1" customWidth="1"/>
    <col min="8459" max="8459" width="26.4296875" style="359" customWidth="1"/>
    <col min="8460" max="8704" width="9.16796875" style="359"/>
    <col min="8705" max="8705" width="8.76171875" style="359" bestFit="1" customWidth="1"/>
    <col min="8706" max="8706" width="13.34765625" style="359" customWidth="1"/>
    <col min="8707" max="8707" width="16.1796875" style="359" bestFit="1" customWidth="1"/>
    <col min="8708" max="8708" width="23.59765625" style="359" customWidth="1"/>
    <col min="8709" max="8709" width="17.2578125" style="359" customWidth="1"/>
    <col min="8710" max="8710" width="20.6328125" style="359" bestFit="1" customWidth="1"/>
    <col min="8711" max="8711" width="17.125" style="359" customWidth="1"/>
    <col min="8712" max="8712" width="21.84375" style="359" bestFit="1" customWidth="1"/>
    <col min="8713" max="8713" width="17.125" style="359" bestFit="1" customWidth="1"/>
    <col min="8714" max="8714" width="18.203125" style="359" bestFit="1" customWidth="1"/>
    <col min="8715" max="8715" width="26.4296875" style="359" customWidth="1"/>
    <col min="8716" max="8960" width="9.16796875" style="359"/>
    <col min="8961" max="8961" width="8.76171875" style="359" bestFit="1" customWidth="1"/>
    <col min="8962" max="8962" width="13.34765625" style="359" customWidth="1"/>
    <col min="8963" max="8963" width="16.1796875" style="359" bestFit="1" customWidth="1"/>
    <col min="8964" max="8964" width="23.59765625" style="359" customWidth="1"/>
    <col min="8965" max="8965" width="17.2578125" style="359" customWidth="1"/>
    <col min="8966" max="8966" width="20.6328125" style="359" bestFit="1" customWidth="1"/>
    <col min="8967" max="8967" width="17.125" style="359" customWidth="1"/>
    <col min="8968" max="8968" width="21.84375" style="359" bestFit="1" customWidth="1"/>
    <col min="8969" max="8969" width="17.125" style="359" bestFit="1" customWidth="1"/>
    <col min="8970" max="8970" width="18.203125" style="359" bestFit="1" customWidth="1"/>
    <col min="8971" max="8971" width="26.4296875" style="359" customWidth="1"/>
    <col min="8972" max="9216" width="9.16796875" style="359"/>
    <col min="9217" max="9217" width="8.76171875" style="359" bestFit="1" customWidth="1"/>
    <col min="9218" max="9218" width="13.34765625" style="359" customWidth="1"/>
    <col min="9219" max="9219" width="16.1796875" style="359" bestFit="1" customWidth="1"/>
    <col min="9220" max="9220" width="23.59765625" style="359" customWidth="1"/>
    <col min="9221" max="9221" width="17.2578125" style="359" customWidth="1"/>
    <col min="9222" max="9222" width="20.6328125" style="359" bestFit="1" customWidth="1"/>
    <col min="9223" max="9223" width="17.125" style="359" customWidth="1"/>
    <col min="9224" max="9224" width="21.84375" style="359" bestFit="1" customWidth="1"/>
    <col min="9225" max="9225" width="17.125" style="359" bestFit="1" customWidth="1"/>
    <col min="9226" max="9226" width="18.203125" style="359" bestFit="1" customWidth="1"/>
    <col min="9227" max="9227" width="26.4296875" style="359" customWidth="1"/>
    <col min="9228" max="9472" width="9.16796875" style="359"/>
    <col min="9473" max="9473" width="8.76171875" style="359" bestFit="1" customWidth="1"/>
    <col min="9474" max="9474" width="13.34765625" style="359" customWidth="1"/>
    <col min="9475" max="9475" width="16.1796875" style="359" bestFit="1" customWidth="1"/>
    <col min="9476" max="9476" width="23.59765625" style="359" customWidth="1"/>
    <col min="9477" max="9477" width="17.2578125" style="359" customWidth="1"/>
    <col min="9478" max="9478" width="20.6328125" style="359" bestFit="1" customWidth="1"/>
    <col min="9479" max="9479" width="17.125" style="359" customWidth="1"/>
    <col min="9480" max="9480" width="21.84375" style="359" bestFit="1" customWidth="1"/>
    <col min="9481" max="9481" width="17.125" style="359" bestFit="1" customWidth="1"/>
    <col min="9482" max="9482" width="18.203125" style="359" bestFit="1" customWidth="1"/>
    <col min="9483" max="9483" width="26.4296875" style="359" customWidth="1"/>
    <col min="9484" max="9728" width="9.16796875" style="359"/>
    <col min="9729" max="9729" width="8.76171875" style="359" bestFit="1" customWidth="1"/>
    <col min="9730" max="9730" width="13.34765625" style="359" customWidth="1"/>
    <col min="9731" max="9731" width="16.1796875" style="359" bestFit="1" customWidth="1"/>
    <col min="9732" max="9732" width="23.59765625" style="359" customWidth="1"/>
    <col min="9733" max="9733" width="17.2578125" style="359" customWidth="1"/>
    <col min="9734" max="9734" width="20.6328125" style="359" bestFit="1" customWidth="1"/>
    <col min="9735" max="9735" width="17.125" style="359" customWidth="1"/>
    <col min="9736" max="9736" width="21.84375" style="359" bestFit="1" customWidth="1"/>
    <col min="9737" max="9737" width="17.125" style="359" bestFit="1" customWidth="1"/>
    <col min="9738" max="9738" width="18.203125" style="359" bestFit="1" customWidth="1"/>
    <col min="9739" max="9739" width="26.4296875" style="359" customWidth="1"/>
    <col min="9740" max="9984" width="9.16796875" style="359"/>
    <col min="9985" max="9985" width="8.76171875" style="359" bestFit="1" customWidth="1"/>
    <col min="9986" max="9986" width="13.34765625" style="359" customWidth="1"/>
    <col min="9987" max="9987" width="16.1796875" style="359" bestFit="1" customWidth="1"/>
    <col min="9988" max="9988" width="23.59765625" style="359" customWidth="1"/>
    <col min="9989" max="9989" width="17.2578125" style="359" customWidth="1"/>
    <col min="9990" max="9990" width="20.6328125" style="359" bestFit="1" customWidth="1"/>
    <col min="9991" max="9991" width="17.125" style="359" customWidth="1"/>
    <col min="9992" max="9992" width="21.84375" style="359" bestFit="1" customWidth="1"/>
    <col min="9993" max="9993" width="17.125" style="359" bestFit="1" customWidth="1"/>
    <col min="9994" max="9994" width="18.203125" style="359" bestFit="1" customWidth="1"/>
    <col min="9995" max="9995" width="26.4296875" style="359" customWidth="1"/>
    <col min="9996" max="10240" width="9.16796875" style="359"/>
    <col min="10241" max="10241" width="8.76171875" style="359" bestFit="1" customWidth="1"/>
    <col min="10242" max="10242" width="13.34765625" style="359" customWidth="1"/>
    <col min="10243" max="10243" width="16.1796875" style="359" bestFit="1" customWidth="1"/>
    <col min="10244" max="10244" width="23.59765625" style="359" customWidth="1"/>
    <col min="10245" max="10245" width="17.2578125" style="359" customWidth="1"/>
    <col min="10246" max="10246" width="20.6328125" style="359" bestFit="1" customWidth="1"/>
    <col min="10247" max="10247" width="17.125" style="359" customWidth="1"/>
    <col min="10248" max="10248" width="21.84375" style="359" bestFit="1" customWidth="1"/>
    <col min="10249" max="10249" width="17.125" style="359" bestFit="1" customWidth="1"/>
    <col min="10250" max="10250" width="18.203125" style="359" bestFit="1" customWidth="1"/>
    <col min="10251" max="10251" width="26.4296875" style="359" customWidth="1"/>
    <col min="10252" max="10496" width="9.16796875" style="359"/>
    <col min="10497" max="10497" width="8.76171875" style="359" bestFit="1" customWidth="1"/>
    <col min="10498" max="10498" width="13.34765625" style="359" customWidth="1"/>
    <col min="10499" max="10499" width="16.1796875" style="359" bestFit="1" customWidth="1"/>
    <col min="10500" max="10500" width="23.59765625" style="359" customWidth="1"/>
    <col min="10501" max="10501" width="17.2578125" style="359" customWidth="1"/>
    <col min="10502" max="10502" width="20.6328125" style="359" bestFit="1" customWidth="1"/>
    <col min="10503" max="10503" width="17.125" style="359" customWidth="1"/>
    <col min="10504" max="10504" width="21.84375" style="359" bestFit="1" customWidth="1"/>
    <col min="10505" max="10505" width="17.125" style="359" bestFit="1" customWidth="1"/>
    <col min="10506" max="10506" width="18.203125" style="359" bestFit="1" customWidth="1"/>
    <col min="10507" max="10507" width="26.4296875" style="359" customWidth="1"/>
    <col min="10508" max="10752" width="9.16796875" style="359"/>
    <col min="10753" max="10753" width="8.76171875" style="359" bestFit="1" customWidth="1"/>
    <col min="10754" max="10754" width="13.34765625" style="359" customWidth="1"/>
    <col min="10755" max="10755" width="16.1796875" style="359" bestFit="1" customWidth="1"/>
    <col min="10756" max="10756" width="23.59765625" style="359" customWidth="1"/>
    <col min="10757" max="10757" width="17.2578125" style="359" customWidth="1"/>
    <col min="10758" max="10758" width="20.6328125" style="359" bestFit="1" customWidth="1"/>
    <col min="10759" max="10759" width="17.125" style="359" customWidth="1"/>
    <col min="10760" max="10760" width="21.84375" style="359" bestFit="1" customWidth="1"/>
    <col min="10761" max="10761" width="17.125" style="359" bestFit="1" customWidth="1"/>
    <col min="10762" max="10762" width="18.203125" style="359" bestFit="1" customWidth="1"/>
    <col min="10763" max="10763" width="26.4296875" style="359" customWidth="1"/>
    <col min="10764" max="11008" width="9.16796875" style="359"/>
    <col min="11009" max="11009" width="8.76171875" style="359" bestFit="1" customWidth="1"/>
    <col min="11010" max="11010" width="13.34765625" style="359" customWidth="1"/>
    <col min="11011" max="11011" width="16.1796875" style="359" bestFit="1" customWidth="1"/>
    <col min="11012" max="11012" width="23.59765625" style="359" customWidth="1"/>
    <col min="11013" max="11013" width="17.2578125" style="359" customWidth="1"/>
    <col min="11014" max="11014" width="20.6328125" style="359" bestFit="1" customWidth="1"/>
    <col min="11015" max="11015" width="17.125" style="359" customWidth="1"/>
    <col min="11016" max="11016" width="21.84375" style="359" bestFit="1" customWidth="1"/>
    <col min="11017" max="11017" width="17.125" style="359" bestFit="1" customWidth="1"/>
    <col min="11018" max="11018" width="18.203125" style="359" bestFit="1" customWidth="1"/>
    <col min="11019" max="11019" width="26.4296875" style="359" customWidth="1"/>
    <col min="11020" max="11264" width="9.16796875" style="359"/>
    <col min="11265" max="11265" width="8.76171875" style="359" bestFit="1" customWidth="1"/>
    <col min="11266" max="11266" width="13.34765625" style="359" customWidth="1"/>
    <col min="11267" max="11267" width="16.1796875" style="359" bestFit="1" customWidth="1"/>
    <col min="11268" max="11268" width="23.59765625" style="359" customWidth="1"/>
    <col min="11269" max="11269" width="17.2578125" style="359" customWidth="1"/>
    <col min="11270" max="11270" width="20.6328125" style="359" bestFit="1" customWidth="1"/>
    <col min="11271" max="11271" width="17.125" style="359" customWidth="1"/>
    <col min="11272" max="11272" width="21.84375" style="359" bestFit="1" customWidth="1"/>
    <col min="11273" max="11273" width="17.125" style="359" bestFit="1" customWidth="1"/>
    <col min="11274" max="11274" width="18.203125" style="359" bestFit="1" customWidth="1"/>
    <col min="11275" max="11275" width="26.4296875" style="359" customWidth="1"/>
    <col min="11276" max="11520" width="9.16796875" style="359"/>
    <col min="11521" max="11521" width="8.76171875" style="359" bestFit="1" customWidth="1"/>
    <col min="11522" max="11522" width="13.34765625" style="359" customWidth="1"/>
    <col min="11523" max="11523" width="16.1796875" style="359" bestFit="1" customWidth="1"/>
    <col min="11524" max="11524" width="23.59765625" style="359" customWidth="1"/>
    <col min="11525" max="11525" width="17.2578125" style="359" customWidth="1"/>
    <col min="11526" max="11526" width="20.6328125" style="359" bestFit="1" customWidth="1"/>
    <col min="11527" max="11527" width="17.125" style="359" customWidth="1"/>
    <col min="11528" max="11528" width="21.84375" style="359" bestFit="1" customWidth="1"/>
    <col min="11529" max="11529" width="17.125" style="359" bestFit="1" customWidth="1"/>
    <col min="11530" max="11530" width="18.203125" style="359" bestFit="1" customWidth="1"/>
    <col min="11531" max="11531" width="26.4296875" style="359" customWidth="1"/>
    <col min="11532" max="11776" width="9.16796875" style="359"/>
    <col min="11777" max="11777" width="8.76171875" style="359" bestFit="1" customWidth="1"/>
    <col min="11778" max="11778" width="13.34765625" style="359" customWidth="1"/>
    <col min="11779" max="11779" width="16.1796875" style="359" bestFit="1" customWidth="1"/>
    <col min="11780" max="11780" width="23.59765625" style="359" customWidth="1"/>
    <col min="11781" max="11781" width="17.2578125" style="359" customWidth="1"/>
    <col min="11782" max="11782" width="20.6328125" style="359" bestFit="1" customWidth="1"/>
    <col min="11783" max="11783" width="17.125" style="359" customWidth="1"/>
    <col min="11784" max="11784" width="21.84375" style="359" bestFit="1" customWidth="1"/>
    <col min="11785" max="11785" width="17.125" style="359" bestFit="1" customWidth="1"/>
    <col min="11786" max="11786" width="18.203125" style="359" bestFit="1" customWidth="1"/>
    <col min="11787" max="11787" width="26.4296875" style="359" customWidth="1"/>
    <col min="11788" max="12032" width="9.16796875" style="359"/>
    <col min="12033" max="12033" width="8.76171875" style="359" bestFit="1" customWidth="1"/>
    <col min="12034" max="12034" width="13.34765625" style="359" customWidth="1"/>
    <col min="12035" max="12035" width="16.1796875" style="359" bestFit="1" customWidth="1"/>
    <col min="12036" max="12036" width="23.59765625" style="359" customWidth="1"/>
    <col min="12037" max="12037" width="17.2578125" style="359" customWidth="1"/>
    <col min="12038" max="12038" width="20.6328125" style="359" bestFit="1" customWidth="1"/>
    <col min="12039" max="12039" width="17.125" style="359" customWidth="1"/>
    <col min="12040" max="12040" width="21.84375" style="359" bestFit="1" customWidth="1"/>
    <col min="12041" max="12041" width="17.125" style="359" bestFit="1" customWidth="1"/>
    <col min="12042" max="12042" width="18.203125" style="359" bestFit="1" customWidth="1"/>
    <col min="12043" max="12043" width="26.4296875" style="359" customWidth="1"/>
    <col min="12044" max="12288" width="9.16796875" style="359"/>
    <col min="12289" max="12289" width="8.76171875" style="359" bestFit="1" customWidth="1"/>
    <col min="12290" max="12290" width="13.34765625" style="359" customWidth="1"/>
    <col min="12291" max="12291" width="16.1796875" style="359" bestFit="1" customWidth="1"/>
    <col min="12292" max="12292" width="23.59765625" style="359" customWidth="1"/>
    <col min="12293" max="12293" width="17.2578125" style="359" customWidth="1"/>
    <col min="12294" max="12294" width="20.6328125" style="359" bestFit="1" customWidth="1"/>
    <col min="12295" max="12295" width="17.125" style="359" customWidth="1"/>
    <col min="12296" max="12296" width="21.84375" style="359" bestFit="1" customWidth="1"/>
    <col min="12297" max="12297" width="17.125" style="359" bestFit="1" customWidth="1"/>
    <col min="12298" max="12298" width="18.203125" style="359" bestFit="1" customWidth="1"/>
    <col min="12299" max="12299" width="26.4296875" style="359" customWidth="1"/>
    <col min="12300" max="12544" width="9.16796875" style="359"/>
    <col min="12545" max="12545" width="8.76171875" style="359" bestFit="1" customWidth="1"/>
    <col min="12546" max="12546" width="13.34765625" style="359" customWidth="1"/>
    <col min="12547" max="12547" width="16.1796875" style="359" bestFit="1" customWidth="1"/>
    <col min="12548" max="12548" width="23.59765625" style="359" customWidth="1"/>
    <col min="12549" max="12549" width="17.2578125" style="359" customWidth="1"/>
    <col min="12550" max="12550" width="20.6328125" style="359" bestFit="1" customWidth="1"/>
    <col min="12551" max="12551" width="17.125" style="359" customWidth="1"/>
    <col min="12552" max="12552" width="21.84375" style="359" bestFit="1" customWidth="1"/>
    <col min="12553" max="12553" width="17.125" style="359" bestFit="1" customWidth="1"/>
    <col min="12554" max="12554" width="18.203125" style="359" bestFit="1" customWidth="1"/>
    <col min="12555" max="12555" width="26.4296875" style="359" customWidth="1"/>
    <col min="12556" max="12800" width="9.16796875" style="359"/>
    <col min="12801" max="12801" width="8.76171875" style="359" bestFit="1" customWidth="1"/>
    <col min="12802" max="12802" width="13.34765625" style="359" customWidth="1"/>
    <col min="12803" max="12803" width="16.1796875" style="359" bestFit="1" customWidth="1"/>
    <col min="12804" max="12804" width="23.59765625" style="359" customWidth="1"/>
    <col min="12805" max="12805" width="17.2578125" style="359" customWidth="1"/>
    <col min="12806" max="12806" width="20.6328125" style="359" bestFit="1" customWidth="1"/>
    <col min="12807" max="12807" width="17.125" style="359" customWidth="1"/>
    <col min="12808" max="12808" width="21.84375" style="359" bestFit="1" customWidth="1"/>
    <col min="12809" max="12809" width="17.125" style="359" bestFit="1" customWidth="1"/>
    <col min="12810" max="12810" width="18.203125" style="359" bestFit="1" customWidth="1"/>
    <col min="12811" max="12811" width="26.4296875" style="359" customWidth="1"/>
    <col min="12812" max="13056" width="9.16796875" style="359"/>
    <col min="13057" max="13057" width="8.76171875" style="359" bestFit="1" customWidth="1"/>
    <col min="13058" max="13058" width="13.34765625" style="359" customWidth="1"/>
    <col min="13059" max="13059" width="16.1796875" style="359" bestFit="1" customWidth="1"/>
    <col min="13060" max="13060" width="23.59765625" style="359" customWidth="1"/>
    <col min="13061" max="13061" width="17.2578125" style="359" customWidth="1"/>
    <col min="13062" max="13062" width="20.6328125" style="359" bestFit="1" customWidth="1"/>
    <col min="13063" max="13063" width="17.125" style="359" customWidth="1"/>
    <col min="13064" max="13064" width="21.84375" style="359" bestFit="1" customWidth="1"/>
    <col min="13065" max="13065" width="17.125" style="359" bestFit="1" customWidth="1"/>
    <col min="13066" max="13066" width="18.203125" style="359" bestFit="1" customWidth="1"/>
    <col min="13067" max="13067" width="26.4296875" style="359" customWidth="1"/>
    <col min="13068" max="13312" width="9.16796875" style="359"/>
    <col min="13313" max="13313" width="8.76171875" style="359" bestFit="1" customWidth="1"/>
    <col min="13314" max="13314" width="13.34765625" style="359" customWidth="1"/>
    <col min="13315" max="13315" width="16.1796875" style="359" bestFit="1" customWidth="1"/>
    <col min="13316" max="13316" width="23.59765625" style="359" customWidth="1"/>
    <col min="13317" max="13317" width="17.2578125" style="359" customWidth="1"/>
    <col min="13318" max="13318" width="20.6328125" style="359" bestFit="1" customWidth="1"/>
    <col min="13319" max="13319" width="17.125" style="359" customWidth="1"/>
    <col min="13320" max="13320" width="21.84375" style="359" bestFit="1" customWidth="1"/>
    <col min="13321" max="13321" width="17.125" style="359" bestFit="1" customWidth="1"/>
    <col min="13322" max="13322" width="18.203125" style="359" bestFit="1" customWidth="1"/>
    <col min="13323" max="13323" width="26.4296875" style="359" customWidth="1"/>
    <col min="13324" max="13568" width="9.16796875" style="359"/>
    <col min="13569" max="13569" width="8.76171875" style="359" bestFit="1" customWidth="1"/>
    <col min="13570" max="13570" width="13.34765625" style="359" customWidth="1"/>
    <col min="13571" max="13571" width="16.1796875" style="359" bestFit="1" customWidth="1"/>
    <col min="13572" max="13572" width="23.59765625" style="359" customWidth="1"/>
    <col min="13573" max="13573" width="17.2578125" style="359" customWidth="1"/>
    <col min="13574" max="13574" width="20.6328125" style="359" bestFit="1" customWidth="1"/>
    <col min="13575" max="13575" width="17.125" style="359" customWidth="1"/>
    <col min="13576" max="13576" width="21.84375" style="359" bestFit="1" customWidth="1"/>
    <col min="13577" max="13577" width="17.125" style="359" bestFit="1" customWidth="1"/>
    <col min="13578" max="13578" width="18.203125" style="359" bestFit="1" customWidth="1"/>
    <col min="13579" max="13579" width="26.4296875" style="359" customWidth="1"/>
    <col min="13580" max="13824" width="9.16796875" style="359"/>
    <col min="13825" max="13825" width="8.76171875" style="359" bestFit="1" customWidth="1"/>
    <col min="13826" max="13826" width="13.34765625" style="359" customWidth="1"/>
    <col min="13827" max="13827" width="16.1796875" style="359" bestFit="1" customWidth="1"/>
    <col min="13828" max="13828" width="23.59765625" style="359" customWidth="1"/>
    <col min="13829" max="13829" width="17.2578125" style="359" customWidth="1"/>
    <col min="13830" max="13830" width="20.6328125" style="359" bestFit="1" customWidth="1"/>
    <col min="13831" max="13831" width="17.125" style="359" customWidth="1"/>
    <col min="13832" max="13832" width="21.84375" style="359" bestFit="1" customWidth="1"/>
    <col min="13833" max="13833" width="17.125" style="359" bestFit="1" customWidth="1"/>
    <col min="13834" max="13834" width="18.203125" style="359" bestFit="1" customWidth="1"/>
    <col min="13835" max="13835" width="26.4296875" style="359" customWidth="1"/>
    <col min="13836" max="14080" width="9.16796875" style="359"/>
    <col min="14081" max="14081" width="8.76171875" style="359" bestFit="1" customWidth="1"/>
    <col min="14082" max="14082" width="13.34765625" style="359" customWidth="1"/>
    <col min="14083" max="14083" width="16.1796875" style="359" bestFit="1" customWidth="1"/>
    <col min="14084" max="14084" width="23.59765625" style="359" customWidth="1"/>
    <col min="14085" max="14085" width="17.2578125" style="359" customWidth="1"/>
    <col min="14086" max="14086" width="20.6328125" style="359" bestFit="1" customWidth="1"/>
    <col min="14087" max="14087" width="17.125" style="359" customWidth="1"/>
    <col min="14088" max="14088" width="21.84375" style="359" bestFit="1" customWidth="1"/>
    <col min="14089" max="14089" width="17.125" style="359" bestFit="1" customWidth="1"/>
    <col min="14090" max="14090" width="18.203125" style="359" bestFit="1" customWidth="1"/>
    <col min="14091" max="14091" width="26.4296875" style="359" customWidth="1"/>
    <col min="14092" max="14336" width="9.16796875" style="359"/>
    <col min="14337" max="14337" width="8.76171875" style="359" bestFit="1" customWidth="1"/>
    <col min="14338" max="14338" width="13.34765625" style="359" customWidth="1"/>
    <col min="14339" max="14339" width="16.1796875" style="359" bestFit="1" customWidth="1"/>
    <col min="14340" max="14340" width="23.59765625" style="359" customWidth="1"/>
    <col min="14341" max="14341" width="17.2578125" style="359" customWidth="1"/>
    <col min="14342" max="14342" width="20.6328125" style="359" bestFit="1" customWidth="1"/>
    <col min="14343" max="14343" width="17.125" style="359" customWidth="1"/>
    <col min="14344" max="14344" width="21.84375" style="359" bestFit="1" customWidth="1"/>
    <col min="14345" max="14345" width="17.125" style="359" bestFit="1" customWidth="1"/>
    <col min="14346" max="14346" width="18.203125" style="359" bestFit="1" customWidth="1"/>
    <col min="14347" max="14347" width="26.4296875" style="359" customWidth="1"/>
    <col min="14348" max="14592" width="9.16796875" style="359"/>
    <col min="14593" max="14593" width="8.76171875" style="359" bestFit="1" customWidth="1"/>
    <col min="14594" max="14594" width="13.34765625" style="359" customWidth="1"/>
    <col min="14595" max="14595" width="16.1796875" style="359" bestFit="1" customWidth="1"/>
    <col min="14596" max="14596" width="23.59765625" style="359" customWidth="1"/>
    <col min="14597" max="14597" width="17.2578125" style="359" customWidth="1"/>
    <col min="14598" max="14598" width="20.6328125" style="359" bestFit="1" customWidth="1"/>
    <col min="14599" max="14599" width="17.125" style="359" customWidth="1"/>
    <col min="14600" max="14600" width="21.84375" style="359" bestFit="1" customWidth="1"/>
    <col min="14601" max="14601" width="17.125" style="359" bestFit="1" customWidth="1"/>
    <col min="14602" max="14602" width="18.203125" style="359" bestFit="1" customWidth="1"/>
    <col min="14603" max="14603" width="26.4296875" style="359" customWidth="1"/>
    <col min="14604" max="14848" width="9.16796875" style="359"/>
    <col min="14849" max="14849" width="8.76171875" style="359" bestFit="1" customWidth="1"/>
    <col min="14850" max="14850" width="13.34765625" style="359" customWidth="1"/>
    <col min="14851" max="14851" width="16.1796875" style="359" bestFit="1" customWidth="1"/>
    <col min="14852" max="14852" width="23.59765625" style="359" customWidth="1"/>
    <col min="14853" max="14853" width="17.2578125" style="359" customWidth="1"/>
    <col min="14854" max="14854" width="20.6328125" style="359" bestFit="1" customWidth="1"/>
    <col min="14855" max="14855" width="17.125" style="359" customWidth="1"/>
    <col min="14856" max="14856" width="21.84375" style="359" bestFit="1" customWidth="1"/>
    <col min="14857" max="14857" width="17.125" style="359" bestFit="1" customWidth="1"/>
    <col min="14858" max="14858" width="18.203125" style="359" bestFit="1" customWidth="1"/>
    <col min="14859" max="14859" width="26.4296875" style="359" customWidth="1"/>
    <col min="14860" max="15104" width="9.16796875" style="359"/>
    <col min="15105" max="15105" width="8.76171875" style="359" bestFit="1" customWidth="1"/>
    <col min="15106" max="15106" width="13.34765625" style="359" customWidth="1"/>
    <col min="15107" max="15107" width="16.1796875" style="359" bestFit="1" customWidth="1"/>
    <col min="15108" max="15108" width="23.59765625" style="359" customWidth="1"/>
    <col min="15109" max="15109" width="17.2578125" style="359" customWidth="1"/>
    <col min="15110" max="15110" width="20.6328125" style="359" bestFit="1" customWidth="1"/>
    <col min="15111" max="15111" width="17.125" style="359" customWidth="1"/>
    <col min="15112" max="15112" width="21.84375" style="359" bestFit="1" customWidth="1"/>
    <col min="15113" max="15113" width="17.125" style="359" bestFit="1" customWidth="1"/>
    <col min="15114" max="15114" width="18.203125" style="359" bestFit="1" customWidth="1"/>
    <col min="15115" max="15115" width="26.4296875" style="359" customWidth="1"/>
    <col min="15116" max="15360" width="9.16796875" style="359"/>
    <col min="15361" max="15361" width="8.76171875" style="359" bestFit="1" customWidth="1"/>
    <col min="15362" max="15362" width="13.34765625" style="359" customWidth="1"/>
    <col min="15363" max="15363" width="16.1796875" style="359" bestFit="1" customWidth="1"/>
    <col min="15364" max="15364" width="23.59765625" style="359" customWidth="1"/>
    <col min="15365" max="15365" width="17.2578125" style="359" customWidth="1"/>
    <col min="15366" max="15366" width="20.6328125" style="359" bestFit="1" customWidth="1"/>
    <col min="15367" max="15367" width="17.125" style="359" customWidth="1"/>
    <col min="15368" max="15368" width="21.84375" style="359" bestFit="1" customWidth="1"/>
    <col min="15369" max="15369" width="17.125" style="359" bestFit="1" customWidth="1"/>
    <col min="15370" max="15370" width="18.203125" style="359" bestFit="1" customWidth="1"/>
    <col min="15371" max="15371" width="26.4296875" style="359" customWidth="1"/>
    <col min="15372" max="15616" width="9.16796875" style="359"/>
    <col min="15617" max="15617" width="8.76171875" style="359" bestFit="1" customWidth="1"/>
    <col min="15618" max="15618" width="13.34765625" style="359" customWidth="1"/>
    <col min="15619" max="15619" width="16.1796875" style="359" bestFit="1" customWidth="1"/>
    <col min="15620" max="15620" width="23.59765625" style="359" customWidth="1"/>
    <col min="15621" max="15621" width="17.2578125" style="359" customWidth="1"/>
    <col min="15622" max="15622" width="20.6328125" style="359" bestFit="1" customWidth="1"/>
    <col min="15623" max="15623" width="17.125" style="359" customWidth="1"/>
    <col min="15624" max="15624" width="21.84375" style="359" bestFit="1" customWidth="1"/>
    <col min="15625" max="15625" width="17.125" style="359" bestFit="1" customWidth="1"/>
    <col min="15626" max="15626" width="18.203125" style="359" bestFit="1" customWidth="1"/>
    <col min="15627" max="15627" width="26.4296875" style="359" customWidth="1"/>
    <col min="15628" max="15872" width="9.16796875" style="359"/>
    <col min="15873" max="15873" width="8.76171875" style="359" bestFit="1" customWidth="1"/>
    <col min="15874" max="15874" width="13.34765625" style="359" customWidth="1"/>
    <col min="15875" max="15875" width="16.1796875" style="359" bestFit="1" customWidth="1"/>
    <col min="15876" max="15876" width="23.59765625" style="359" customWidth="1"/>
    <col min="15877" max="15877" width="17.2578125" style="359" customWidth="1"/>
    <col min="15878" max="15878" width="20.6328125" style="359" bestFit="1" customWidth="1"/>
    <col min="15879" max="15879" width="17.125" style="359" customWidth="1"/>
    <col min="15880" max="15880" width="21.84375" style="359" bestFit="1" customWidth="1"/>
    <col min="15881" max="15881" width="17.125" style="359" bestFit="1" customWidth="1"/>
    <col min="15882" max="15882" width="18.203125" style="359" bestFit="1" customWidth="1"/>
    <col min="15883" max="15883" width="26.4296875" style="359" customWidth="1"/>
    <col min="15884" max="16128" width="9.16796875" style="359"/>
    <col min="16129" max="16129" width="8.76171875" style="359" bestFit="1" customWidth="1"/>
    <col min="16130" max="16130" width="13.34765625" style="359" customWidth="1"/>
    <col min="16131" max="16131" width="16.1796875" style="359" bestFit="1" customWidth="1"/>
    <col min="16132" max="16132" width="23.59765625" style="359" customWidth="1"/>
    <col min="16133" max="16133" width="17.2578125" style="359" customWidth="1"/>
    <col min="16134" max="16134" width="20.6328125" style="359" bestFit="1" customWidth="1"/>
    <col min="16135" max="16135" width="17.125" style="359" customWidth="1"/>
    <col min="16136" max="16136" width="21.84375" style="359" bestFit="1" customWidth="1"/>
    <col min="16137" max="16137" width="17.125" style="359" bestFit="1" customWidth="1"/>
    <col min="16138" max="16138" width="18.203125" style="359" bestFit="1" customWidth="1"/>
    <col min="16139" max="16139" width="26.4296875" style="359" customWidth="1"/>
    <col min="16140" max="16384" width="9.16796875" style="359"/>
  </cols>
  <sheetData>
    <row r="1" spans="13:13" s="396" customFormat="1" x14ac:dyDescent="0.15">
      <c r="M1" s="397"/>
    </row>
    <row r="2" spans="13:13" s="396" customFormat="1" x14ac:dyDescent="0.15">
      <c r="M2" s="397"/>
    </row>
    <row r="3" spans="13:13" s="396" customFormat="1" x14ac:dyDescent="0.15">
      <c r="M3" s="397"/>
    </row>
    <row r="4" spans="13:13" s="396" customFormat="1" x14ac:dyDescent="0.15">
      <c r="M4" s="397"/>
    </row>
    <row r="5" spans="13:13" s="396" customFormat="1" x14ac:dyDescent="0.15">
      <c r="M5" s="397"/>
    </row>
    <row r="6" spans="13:13" s="396" customFormat="1" x14ac:dyDescent="0.15">
      <c r="M6" s="397"/>
    </row>
    <row r="7" spans="13:13" s="396" customFormat="1" x14ac:dyDescent="0.15">
      <c r="M7" s="397"/>
    </row>
    <row r="8" spans="13:13" s="396" customFormat="1" x14ac:dyDescent="0.15">
      <c r="M8" s="397"/>
    </row>
    <row r="9" spans="13:13" s="396" customFormat="1" x14ac:dyDescent="0.15">
      <c r="M9" s="397"/>
    </row>
    <row r="10" spans="13:13" s="396" customFormat="1" x14ac:dyDescent="0.15">
      <c r="M10" s="397"/>
    </row>
    <row r="11" spans="13:13" s="396" customFormat="1" x14ac:dyDescent="0.15">
      <c r="M11" s="397"/>
    </row>
    <row r="12" spans="13:13" s="396" customFormat="1" x14ac:dyDescent="0.15">
      <c r="M12" s="397"/>
    </row>
    <row r="13" spans="13:13" s="396" customFormat="1" x14ac:dyDescent="0.15">
      <c r="M13" s="397"/>
    </row>
    <row r="14" spans="13:13" s="396" customFormat="1" x14ac:dyDescent="0.15">
      <c r="M14" s="397"/>
    </row>
    <row r="15" spans="13:13" s="396" customFormat="1" x14ac:dyDescent="0.15">
      <c r="M15" s="397"/>
    </row>
    <row r="16" spans="13:13" s="396" customFormat="1" x14ac:dyDescent="0.15">
      <c r="M16" s="397"/>
    </row>
    <row r="17" spans="13:13" s="396" customFormat="1" x14ac:dyDescent="0.15">
      <c r="M17" s="397"/>
    </row>
    <row r="18" spans="13:13" s="396" customFormat="1" x14ac:dyDescent="0.15">
      <c r="M18" s="397"/>
    </row>
    <row r="19" spans="13:13" s="396" customFormat="1" x14ac:dyDescent="0.15">
      <c r="M19" s="397"/>
    </row>
    <row r="20" spans="13:13" s="396" customFormat="1" x14ac:dyDescent="0.15">
      <c r="M20" s="397"/>
    </row>
    <row r="21" spans="13:13" s="396" customFormat="1" x14ac:dyDescent="0.15">
      <c r="M21" s="397"/>
    </row>
    <row r="22" spans="13:13" s="396" customFormat="1" x14ac:dyDescent="0.15">
      <c r="M22" s="397"/>
    </row>
    <row r="23" spans="13:13" s="396" customFormat="1" x14ac:dyDescent="0.15">
      <c r="M23" s="397"/>
    </row>
    <row r="24" spans="13:13" s="396" customFormat="1" x14ac:dyDescent="0.15">
      <c r="M24" s="397"/>
    </row>
    <row r="25" spans="13:13" s="396" customFormat="1" x14ac:dyDescent="0.15">
      <c r="M25" s="397"/>
    </row>
    <row r="26" spans="13:13" s="396" customFormat="1" x14ac:dyDescent="0.15">
      <c r="M26" s="397"/>
    </row>
    <row r="27" spans="13:13" s="396" customFormat="1" x14ac:dyDescent="0.15">
      <c r="M27" s="397"/>
    </row>
    <row r="28" spans="13:13" s="396" customFormat="1" x14ac:dyDescent="0.15">
      <c r="M28" s="397"/>
    </row>
    <row r="29" spans="13:13" s="396" customFormat="1" x14ac:dyDescent="0.15">
      <c r="M29" s="397"/>
    </row>
    <row r="30" spans="13:13" s="396" customFormat="1" x14ac:dyDescent="0.15">
      <c r="M30" s="397"/>
    </row>
    <row r="31" spans="13:13" s="396" customFormat="1" x14ac:dyDescent="0.15">
      <c r="M31" s="397"/>
    </row>
    <row r="32" spans="13:13" s="396" customFormat="1" x14ac:dyDescent="0.15">
      <c r="M32" s="397"/>
    </row>
    <row r="33" spans="1:19" s="396" customFormat="1" x14ac:dyDescent="0.15">
      <c r="M33" s="397"/>
    </row>
    <row r="34" spans="1:19" s="396" customFormat="1" ht="15.75" customHeight="1" x14ac:dyDescent="0.15">
      <c r="B34" s="403" t="s">
        <v>700</v>
      </c>
    </row>
    <row r="35" spans="1:19" s="396" customFormat="1" ht="24.75" customHeight="1" x14ac:dyDescent="0.15">
      <c r="A35" s="402" t="str">
        <f>"VIN = "&amp;Vin&amp;" V, VOUT = "&amp; Vout &amp;" V, IOUT = " &amp;Iout &amp; " A,  Fsw = " &amp; Fsw/1000 &amp;" kHz, Current Limit = "&amp;ROUNDUP(DC_Current_Limit_Setpoint,0)&amp;" A"</f>
        <v>VIN = 12 V, VOUT = 5 V, IOUT = 12 A,  Fsw = 250 kHz, Current Limit = 18 A</v>
      </c>
      <c r="Q35" s="520"/>
    </row>
    <row r="36" spans="1:19" ht="24.75" customHeight="1" thickBot="1" x14ac:dyDescent="0.2">
      <c r="A36" s="361" t="s">
        <v>710</v>
      </c>
      <c r="Q36" s="521"/>
    </row>
    <row r="37" spans="1:19" ht="18" customHeight="1" x14ac:dyDescent="0.15">
      <c r="A37" s="503" t="s">
        <v>510</v>
      </c>
      <c r="B37" s="504" t="s">
        <v>509</v>
      </c>
      <c r="C37" s="504" t="s">
        <v>8</v>
      </c>
      <c r="D37" s="577" t="s">
        <v>188</v>
      </c>
      <c r="E37" s="578"/>
      <c r="F37" s="578"/>
      <c r="G37" s="579"/>
      <c r="H37" s="504" t="s">
        <v>496</v>
      </c>
      <c r="I37" s="504" t="s">
        <v>303</v>
      </c>
      <c r="J37" s="504" t="s">
        <v>497</v>
      </c>
      <c r="K37" s="491" t="s">
        <v>675</v>
      </c>
      <c r="L37" s="492" t="s">
        <v>676</v>
      </c>
      <c r="M37" s="359"/>
      <c r="P37" s="529"/>
      <c r="Q37" s="536"/>
      <c r="R37" s="529"/>
      <c r="S37" s="529"/>
    </row>
    <row r="38" spans="1:19" s="366" customFormat="1" ht="17.100000000000001" customHeight="1" x14ac:dyDescent="0.15">
      <c r="A38" s="363">
        <v>1</v>
      </c>
      <c r="B38" s="364" t="s">
        <v>609</v>
      </c>
      <c r="C38" s="378">
        <v>0.1</v>
      </c>
      <c r="D38" s="598">
        <f t="shared" ref="D38:D47" si="0">C38</f>
        <v>0.1</v>
      </c>
      <c r="E38" s="599"/>
      <c r="F38" s="599"/>
      <c r="G38" s="379"/>
      <c r="H38" s="380"/>
      <c r="I38" s="365" t="s">
        <v>498</v>
      </c>
      <c r="J38" s="496" t="s">
        <v>498</v>
      </c>
      <c r="K38" s="500" t="str">
        <f>CHOOSE(Q38, 'Variable Management'!N69,'Variable Management'!N70,'Variable Management'!N71)</f>
        <v>1.6 x 0.8</v>
      </c>
      <c r="L38" s="494">
        <f>CHOOSE(Q38, 'Variable Management'!O69,'Variable Management'!O70,'Variable Management'!O71)</f>
        <v>1.3</v>
      </c>
      <c r="P38" s="519"/>
      <c r="Q38" s="522">
        <v>2</v>
      </c>
      <c r="R38" s="519"/>
      <c r="S38" s="519"/>
    </row>
    <row r="39" spans="1:19" s="366" customFormat="1" ht="17.100000000000001" customHeight="1" x14ac:dyDescent="0.15">
      <c r="A39" s="362">
        <v>1</v>
      </c>
      <c r="B39" s="381" t="s">
        <v>502</v>
      </c>
      <c r="C39" s="382">
        <f>'Design Regulator'!D74</f>
        <v>8200</v>
      </c>
      <c r="D39" s="600">
        <f t="shared" si="0"/>
        <v>8200</v>
      </c>
      <c r="E39" s="601"/>
      <c r="F39" s="601"/>
      <c r="G39" s="383"/>
      <c r="H39" s="384"/>
      <c r="I39" s="385" t="s">
        <v>498</v>
      </c>
      <c r="J39" s="497" t="s">
        <v>498</v>
      </c>
      <c r="K39" s="501" t="str">
        <f>CHOOSE(Q39, 'Variable Management'!N69,'Variable Management'!N70,'Variable Management'!N71)</f>
        <v>1.0 x 0.5</v>
      </c>
      <c r="L39" s="502">
        <f>CHOOSE(Q39, 'Variable Management'!O69,'Variable Management'!O70,'Variable Management'!O71)</f>
        <v>0.5</v>
      </c>
      <c r="P39" s="519"/>
      <c r="Q39" s="522">
        <v>1</v>
      </c>
      <c r="R39" s="519"/>
      <c r="S39" s="519"/>
    </row>
    <row r="40" spans="1:19" s="366" customFormat="1" ht="17.100000000000001" customHeight="1" x14ac:dyDescent="0.15">
      <c r="A40" s="362">
        <v>1</v>
      </c>
      <c r="B40" s="381" t="s">
        <v>503</v>
      </c>
      <c r="C40" s="382">
        <f>'Design Regulator'!D75</f>
        <v>150</v>
      </c>
      <c r="D40" s="602">
        <f t="shared" si="0"/>
        <v>150</v>
      </c>
      <c r="E40" s="603"/>
      <c r="F40" s="603"/>
      <c r="G40" s="383"/>
      <c r="H40" s="384"/>
      <c r="I40" s="385" t="s">
        <v>498</v>
      </c>
      <c r="J40" s="497" t="s">
        <v>498</v>
      </c>
      <c r="K40" s="501" t="str">
        <f>CHOOSE(Q40, 'Variable Management'!N69,'Variable Management'!N70,'Variable Management'!N71)</f>
        <v>1.0 x 0.5</v>
      </c>
      <c r="L40" s="502">
        <f>CHOOSE(Q40, 'Variable Management'!O69,'Variable Management'!O70,'Variable Management'!O71)</f>
        <v>0.5</v>
      </c>
      <c r="P40" s="519"/>
      <c r="Q40" s="522">
        <v>1</v>
      </c>
      <c r="R40" s="519"/>
      <c r="S40" s="519"/>
    </row>
    <row r="41" spans="1:19" s="366" customFormat="1" ht="17.100000000000001" customHeight="1" x14ac:dyDescent="0.15">
      <c r="A41" s="362">
        <v>1</v>
      </c>
      <c r="B41" s="381" t="s">
        <v>504</v>
      </c>
      <c r="C41" s="382">
        <f>'Design Regulator'!D77</f>
        <v>1500</v>
      </c>
      <c r="D41" s="602">
        <f t="shared" si="0"/>
        <v>1500</v>
      </c>
      <c r="E41" s="603"/>
      <c r="F41" s="603"/>
      <c r="G41" s="383"/>
      <c r="H41" s="384"/>
      <c r="I41" s="385" t="s">
        <v>498</v>
      </c>
      <c r="J41" s="497" t="s">
        <v>498</v>
      </c>
      <c r="K41" s="501" t="str">
        <f>CHOOSE(Q41, 'Variable Management'!N69,'Variable Management'!N70,'Variable Management'!N71)</f>
        <v>1.0 x 0.5</v>
      </c>
      <c r="L41" s="502">
        <f>CHOOSE(Q41, 'Variable Management'!O69,'Variable Management'!O70,'Variable Management'!O71)</f>
        <v>0.5</v>
      </c>
      <c r="P41" s="519"/>
      <c r="Q41" s="522">
        <v>1</v>
      </c>
      <c r="R41" s="519"/>
      <c r="S41" s="519"/>
    </row>
    <row r="42" spans="1:19" s="366" customFormat="1" ht="17.100000000000001" customHeight="1" x14ac:dyDescent="0.15">
      <c r="A42" s="373">
        <v>1</v>
      </c>
      <c r="B42" s="374" t="s">
        <v>718</v>
      </c>
      <c r="C42" s="391" t="str">
        <f>'Variable Management'!B270</f>
        <v>18pF</v>
      </c>
      <c r="D42" s="604" t="str">
        <f>"Capacitor, Ceramic, "&amp;'Variable Management'!B270&amp;", 100V, X7R, 20%"</f>
        <v>Capacitor, Ceramic, 18pF, 100V, X7R, 20%</v>
      </c>
      <c r="E42" s="605"/>
      <c r="F42" s="605"/>
      <c r="G42" s="386"/>
      <c r="H42" s="376"/>
      <c r="I42" s="377" t="s">
        <v>498</v>
      </c>
      <c r="J42" s="498" t="s">
        <v>498</v>
      </c>
      <c r="K42" s="500" t="str">
        <f>CHOOSE(Q42, 'Variable Management'!N69,'Variable Management'!N70,'Variable Management'!N71)</f>
        <v>1.6 x 0.8</v>
      </c>
      <c r="L42" s="494">
        <f>CHOOSE(RDSON_sense,CHOOSE(Q42,'Variable Management'!O69,'Variable Management'!O70,'Variable Management'!O71),0)</f>
        <v>1.3</v>
      </c>
      <c r="P42" s="519"/>
      <c r="Q42" s="522">
        <v>2</v>
      </c>
      <c r="R42" s="519"/>
      <c r="S42" s="519"/>
    </row>
    <row r="43" spans="1:19" s="366" customFormat="1" ht="17.100000000000001" customHeight="1" x14ac:dyDescent="0.15">
      <c r="A43" s="362">
        <f>ROUNDUP('Design Regulator'!E41/10,0)</f>
        <v>3</v>
      </c>
      <c r="B43" s="381" t="s">
        <v>505</v>
      </c>
      <c r="C43" s="388" t="str">
        <f>'Variable Management'!B249</f>
        <v>4.7µF</v>
      </c>
      <c r="D43" s="608" t="str">
        <f>CHOOSE(Cin_Voltage_Rating, "Capacitor, Ceramic, "&amp;'Variable Management'!B249&amp;", 10V, X7R, 10%", "Capacitor, Ceramic, "&amp;'Variable Management'!B249&amp;", 16V, X7R, 10%", "Capacitor, Ceramic, "&amp;'Variable Management'!B249&amp;", 25V, X7R, 10%",  "Capacitor, Ceramic, "&amp;'Variable Management'!B249&amp;", 50V, X7R, 10%",  "Capacitor, Ceramic, "&amp;'Variable Management'!B249&amp;", 100V, X7S, 10%")</f>
        <v>Capacitor, Ceramic, 4.7µF, 50V, X7R, 10%</v>
      </c>
      <c r="E43" s="609"/>
      <c r="F43" s="609"/>
      <c r="G43" s="383"/>
      <c r="H43" s="384"/>
      <c r="I43" s="385" t="s">
        <v>498</v>
      </c>
      <c r="J43" s="497" t="s">
        <v>498</v>
      </c>
      <c r="K43" s="501" t="str">
        <f>CHOOSE(Q43, 'Variable Management'!N69,'Variable Management'!N70,'Variable Management'!N71,'Variable Management'!N72,'Variable Management'!N73)</f>
        <v>3.2 x 2.5</v>
      </c>
      <c r="L43" s="502">
        <f>CHOOSE(Q43, 'Variable Management'!O69,'Variable Management'!O70,'Variable Management'!O71,'Variable Management'!O72,'Variable Management'!O73)*A43</f>
        <v>24</v>
      </c>
      <c r="P43" s="519"/>
      <c r="Q43" s="522">
        <v>5</v>
      </c>
      <c r="R43" s="519"/>
      <c r="S43" s="519"/>
    </row>
    <row r="44" spans="1:19" s="366" customFormat="1" ht="17.100000000000001" customHeight="1" x14ac:dyDescent="0.15">
      <c r="A44" s="362">
        <f>'Variable Management'!D242</f>
        <v>8</v>
      </c>
      <c r="B44" s="381" t="s">
        <v>506</v>
      </c>
      <c r="C44" s="388" t="str">
        <f>'Variable Management'!F243</f>
        <v>47µF</v>
      </c>
      <c r="D44" s="608" t="str">
        <f>CHOOSE(Cout_Voltage_Rating, "Capacitor, Ceramic, "&amp;'Variable Management'!B244&amp;", 6.3V, X7R, 10%", "Capacitor, Ceramic, "&amp;'Variable Management'!B244&amp;", 10V, X7R, 10%", "Capacitor, Ceramic, "&amp;'Variable Management'!B244&amp;", 16V, X7R, 10%", "Capacitor, Ceramic, "&amp;'Variable Management'!B244&amp;", 25V, X7R, 10%",  "Capacitor, Ceramic, "&amp;'Variable Management'!B244&amp;", 50V, X7R, 10%",  "Capacitor, Ceramic, "&amp;'Variable Management'!B244&amp;", 100V, X7R, 10%")</f>
        <v>Capacitor, Ceramic, 47µF, 10V, X7R, 10%</v>
      </c>
      <c r="E44" s="609"/>
      <c r="F44" s="609"/>
      <c r="G44" s="383"/>
      <c r="H44" s="384"/>
      <c r="I44" s="385" t="s">
        <v>498</v>
      </c>
      <c r="J44" s="497" t="s">
        <v>498</v>
      </c>
      <c r="K44" s="501" t="str">
        <f>CHOOSE(Q44, 'Variable Management'!N69,'Variable Management'!N70,'Variable Management'!N71,'Variable Management'!N72,'Variable Management'!N73)</f>
        <v>3.2 x 2.5</v>
      </c>
      <c r="L44" s="502">
        <f>CHOOSE(Q44, 'Variable Management'!O69,'Variable Management'!O70,'Variable Management'!O71,'Variable Management'!O72,'Variable Management'!O73)*A44</f>
        <v>64</v>
      </c>
      <c r="P44" s="519"/>
      <c r="Q44" s="522">
        <v>5</v>
      </c>
      <c r="R44" s="519"/>
      <c r="S44" s="519"/>
    </row>
    <row r="45" spans="1:19" s="366" customFormat="1" ht="17.100000000000001" customHeight="1" x14ac:dyDescent="0.15">
      <c r="A45" s="373">
        <v>1</v>
      </c>
      <c r="B45" s="374" t="s">
        <v>507</v>
      </c>
      <c r="C45" s="510">
        <f>'Design Regulator'!E49</f>
        <v>56</v>
      </c>
      <c r="D45" s="615">
        <f t="shared" ref="D45" si="1">C45</f>
        <v>56</v>
      </c>
      <c r="E45" s="616"/>
      <c r="F45" s="616"/>
      <c r="G45" s="386"/>
      <c r="H45" s="376"/>
      <c r="I45" s="377" t="s">
        <v>498</v>
      </c>
      <c r="J45" s="498" t="s">
        <v>498</v>
      </c>
      <c r="K45" s="511" t="str">
        <f>CHOOSE(Q45, 'Variable Management'!N69,'Variable Management'!N70,'Variable Management'!N71)</f>
        <v>1.6 x 0.8</v>
      </c>
      <c r="L45" s="512">
        <f>CHOOSE(Q45, 'Variable Management'!O69,'Variable Management'!O70,'Variable Management'!O71)</f>
        <v>1.3</v>
      </c>
      <c r="P45" s="519"/>
      <c r="Q45" s="522">
        <v>2</v>
      </c>
      <c r="R45" s="519"/>
      <c r="S45" s="519"/>
    </row>
    <row r="46" spans="1:19" s="366" customFormat="1" ht="17.100000000000001" customHeight="1" x14ac:dyDescent="0.15">
      <c r="A46" s="373">
        <v>1</v>
      </c>
      <c r="B46" s="374" t="s">
        <v>608</v>
      </c>
      <c r="C46" s="387">
        <v>2.2000000000000002</v>
      </c>
      <c r="D46" s="606">
        <f t="shared" si="0"/>
        <v>2.2000000000000002</v>
      </c>
      <c r="E46" s="607"/>
      <c r="F46" s="607"/>
      <c r="G46" s="386"/>
      <c r="H46" s="376"/>
      <c r="I46" s="377" t="s">
        <v>498</v>
      </c>
      <c r="J46" s="498" t="s">
        <v>498</v>
      </c>
      <c r="K46" s="500" t="str">
        <f>CHOOSE(Q46, 'Variable Management'!N69,'Variable Management'!N70,'Variable Management'!N71)</f>
        <v>2.0 x 1.25</v>
      </c>
      <c r="L46" s="494">
        <f>CHOOSE(Q46, 'Variable Management'!O69,'Variable Management'!O70,'Variable Management'!O71)</f>
        <v>2.5</v>
      </c>
      <c r="P46" s="519"/>
      <c r="Q46" s="522">
        <v>3</v>
      </c>
      <c r="R46" s="519"/>
      <c r="S46" s="519"/>
    </row>
    <row r="47" spans="1:19" s="366" customFormat="1" ht="17.100000000000001" customHeight="1" x14ac:dyDescent="0.15">
      <c r="A47" s="373">
        <v>1</v>
      </c>
      <c r="B47" s="374" t="s">
        <v>508</v>
      </c>
      <c r="C47" s="387">
        <v>0.1</v>
      </c>
      <c r="D47" s="617">
        <f t="shared" si="0"/>
        <v>0.1</v>
      </c>
      <c r="E47" s="618"/>
      <c r="F47" s="618"/>
      <c r="G47" s="386"/>
      <c r="H47" s="376"/>
      <c r="I47" s="377" t="s">
        <v>498</v>
      </c>
      <c r="J47" s="498" t="s">
        <v>498</v>
      </c>
      <c r="K47" s="500" t="str">
        <f>CHOOSE(Q47, 'Variable Management'!N69,'Variable Management'!N70,'Variable Management'!N71)</f>
        <v>1.6 x 0.8</v>
      </c>
      <c r="L47" s="494">
        <f>CHOOSE(Q47, 'Variable Management'!O69,'Variable Management'!O70,'Variable Management'!O71)</f>
        <v>1.3</v>
      </c>
      <c r="P47" s="519"/>
      <c r="Q47" s="522">
        <v>2</v>
      </c>
      <c r="R47" s="519"/>
      <c r="S47" s="519"/>
    </row>
    <row r="48" spans="1:19" s="366" customFormat="1" ht="17.100000000000001" customHeight="1" x14ac:dyDescent="0.15">
      <c r="A48" s="362">
        <v>1</v>
      </c>
      <c r="B48" s="381" t="s">
        <v>606</v>
      </c>
      <c r="C48" s="390">
        <f>'Design Regulator'!E17</f>
        <v>3.3</v>
      </c>
      <c r="D48" s="608" t="str">
        <f>"Inductor, "&amp;Lout2*1000000&amp;"µH, "&amp;Rdcr*1000&amp;"mΩ, &gt;"&amp;ROUNDUP(Ilsat,0)&amp;"A"</f>
        <v>Inductor, 3.3µH, 6.8mΩ, &gt;24A</v>
      </c>
      <c r="E48" s="609"/>
      <c r="F48" s="609"/>
      <c r="G48" s="614"/>
      <c r="H48" s="385"/>
      <c r="I48" s="385" t="s">
        <v>511</v>
      </c>
      <c r="J48" s="497" t="s">
        <v>511</v>
      </c>
      <c r="K48" s="501" t="str">
        <f>CHOOSE(Q48, 'Variable Management'!N78,'Variable Management'!N79,'Variable Management'!N80, 'Variable Management'!N81, 'Variable Management'!N82, 'Variable Management'!N83, 'Variable Management'!N84, 'Variable Management'!N85)</f>
        <v>10.0 x 10.0</v>
      </c>
      <c r="L48" s="502">
        <f>CHOOSE(Q48, 'Variable Management'!O78,'Variable Management'!O79,'Variable Management'!O80, 'Variable Management'!O81, 'Variable Management'!O82, 'Variable Management'!O83, 'Variable Management'!O84, 'Variable Management'!O85)</f>
        <v>100</v>
      </c>
      <c r="P48" s="519"/>
      <c r="Q48" s="522">
        <v>7</v>
      </c>
      <c r="R48" s="519"/>
      <c r="S48" s="519"/>
    </row>
    <row r="49" spans="1:19" s="366" customFormat="1" ht="17.100000000000001" customHeight="1" x14ac:dyDescent="0.15">
      <c r="A49" s="373">
        <f>R49</f>
        <v>1</v>
      </c>
      <c r="B49" s="374" t="s">
        <v>512</v>
      </c>
      <c r="C49" s="389" t="s">
        <v>499</v>
      </c>
      <c r="D49" s="589">
        <f>'Design Regulator'!E84</f>
        <v>4</v>
      </c>
      <c r="E49" s="590"/>
      <c r="F49" s="590"/>
      <c r="G49" s="591"/>
      <c r="H49" s="377"/>
      <c r="I49" s="377" t="str">
        <f>'Design Regulator'!E83</f>
        <v>IAUC120N06S5L032</v>
      </c>
      <c r="J49" s="498" t="s">
        <v>500</v>
      </c>
      <c r="K49" s="500" t="str">
        <f>CHOOSE(Q49, 'Variable Management'!N48,'Variable Management'!N49,'Variable Management'!N50,'Variable Management'!N51)</f>
        <v>5.0 x 6.0</v>
      </c>
      <c r="L49" s="494">
        <f>CHOOSE(Q49, 'Variable Management'!O48,'Variable Management'!O49,'Variable Management'!O50,'Variable Management'!O51)*R49</f>
        <v>30</v>
      </c>
      <c r="P49" s="519"/>
      <c r="Q49" s="522">
        <v>1</v>
      </c>
      <c r="R49" s="522">
        <v>1</v>
      </c>
      <c r="S49" s="519"/>
    </row>
    <row r="50" spans="1:19" s="366" customFormat="1" ht="17.100000000000001" customHeight="1" x14ac:dyDescent="0.15">
      <c r="A50" s="373">
        <f>R50</f>
        <v>1</v>
      </c>
      <c r="B50" s="374" t="s">
        <v>513</v>
      </c>
      <c r="C50" s="389" t="s">
        <v>499</v>
      </c>
      <c r="D50" s="589">
        <f>'Design Regulator'!E96</f>
        <v>4</v>
      </c>
      <c r="E50" s="590"/>
      <c r="F50" s="590"/>
      <c r="G50" s="591"/>
      <c r="H50" s="377"/>
      <c r="I50" s="377" t="str">
        <f>'Design Regulator'!E95</f>
        <v>IAUC120N06S5L032</v>
      </c>
      <c r="J50" s="498" t="s">
        <v>500</v>
      </c>
      <c r="K50" s="500" t="str">
        <f>CHOOSE(Q50, 'Variable Management'!N48,'Variable Management'!N49,'Variable Management'!N50,'Variable Management'!N51)</f>
        <v>5.0 x 6.0</v>
      </c>
      <c r="L50" s="494">
        <f>CHOOSE(Q50, 'Variable Management'!O48,'Variable Management'!O49,'Variable Management'!O50,'Variable Management'!O51)*R50</f>
        <v>30</v>
      </c>
      <c r="P50" s="519"/>
      <c r="Q50" s="522">
        <v>1</v>
      </c>
      <c r="R50" s="522">
        <v>1</v>
      </c>
      <c r="S50" s="519"/>
    </row>
    <row r="51" spans="1:19" s="366" customFormat="1" ht="17.100000000000001" customHeight="1" x14ac:dyDescent="0.15">
      <c r="A51" s="373"/>
      <c r="B51" s="374"/>
      <c r="C51" s="389"/>
      <c r="D51" s="483"/>
      <c r="E51" s="484"/>
      <c r="F51" s="484"/>
      <c r="G51" s="485"/>
      <c r="H51" s="377"/>
      <c r="I51" s="377"/>
      <c r="J51" s="498"/>
      <c r="K51" s="500"/>
      <c r="L51" s="494"/>
      <c r="P51" s="519"/>
      <c r="Q51" s="522"/>
      <c r="R51" s="519"/>
      <c r="S51" s="519"/>
    </row>
    <row r="52" spans="1:19" s="366" customFormat="1" ht="17.100000000000001" customHeight="1" x14ac:dyDescent="0.15">
      <c r="A52" s="367">
        <v>1</v>
      </c>
      <c r="B52" s="368" t="s">
        <v>514</v>
      </c>
      <c r="C52" s="369">
        <f>'Design Regulator'!D73</f>
        <v>8.25</v>
      </c>
      <c r="D52" s="586">
        <f t="shared" ref="D52:D62" si="2">C52</f>
        <v>8.25</v>
      </c>
      <c r="E52" s="587"/>
      <c r="F52" s="587"/>
      <c r="G52" s="588"/>
      <c r="H52" s="370"/>
      <c r="I52" s="371" t="s">
        <v>498</v>
      </c>
      <c r="J52" s="499" t="s">
        <v>498</v>
      </c>
      <c r="K52" s="501" t="str">
        <f>CHOOSE(Q52, 'Variable Management'!N69,'Variable Management'!N70,'Variable Management'!N71)</f>
        <v>1.0 x 0.5</v>
      </c>
      <c r="L52" s="502">
        <f>CHOOSE(Q52, 'Variable Management'!O69,'Variable Management'!O70,'Variable Management'!O71)</f>
        <v>0.5</v>
      </c>
      <c r="P52" s="519"/>
      <c r="Q52" s="522">
        <v>1</v>
      </c>
      <c r="R52" s="519"/>
      <c r="S52" s="519"/>
    </row>
    <row r="53" spans="1:19" s="366" customFormat="1" ht="17.100000000000001" customHeight="1" x14ac:dyDescent="0.15">
      <c r="A53" s="367">
        <v>1</v>
      </c>
      <c r="B53" s="368" t="s">
        <v>515</v>
      </c>
      <c r="C53" s="372">
        <f>'Design Regulator'!D76</f>
        <v>412</v>
      </c>
      <c r="D53" s="610">
        <f t="shared" si="2"/>
        <v>412</v>
      </c>
      <c r="E53" s="611"/>
      <c r="F53" s="611"/>
      <c r="G53" s="612"/>
      <c r="H53" s="370"/>
      <c r="I53" s="371" t="s">
        <v>498</v>
      </c>
      <c r="J53" s="499" t="s">
        <v>498</v>
      </c>
      <c r="K53" s="501" t="str">
        <f>CHOOSE(Q52, 'Variable Management'!N69,'Variable Management'!N70,'Variable Management'!N71)</f>
        <v>1.0 x 0.5</v>
      </c>
      <c r="L53" s="502">
        <f>CHOOSE(Q53, 'Variable Management'!O69,'Variable Management'!O70,'Variable Management'!O71)</f>
        <v>0.5</v>
      </c>
      <c r="P53" s="519"/>
      <c r="Q53" s="522">
        <v>1</v>
      </c>
      <c r="R53" s="519"/>
      <c r="S53" s="519"/>
    </row>
    <row r="54" spans="1:19" s="366" customFormat="1" ht="17.100000000000001" customHeight="1" x14ac:dyDescent="0.15">
      <c r="A54" s="367">
        <v>1</v>
      </c>
      <c r="B54" s="368" t="s">
        <v>610</v>
      </c>
      <c r="C54" s="372">
        <f>'Design Regulator'!E25</f>
        <v>324</v>
      </c>
      <c r="D54" s="610">
        <f t="shared" si="2"/>
        <v>324</v>
      </c>
      <c r="E54" s="611"/>
      <c r="F54" s="611"/>
      <c r="G54" s="612"/>
      <c r="H54" s="370"/>
      <c r="I54" s="371" t="s">
        <v>498</v>
      </c>
      <c r="J54" s="499" t="s">
        <v>498</v>
      </c>
      <c r="K54" s="501" t="str">
        <f>CHOOSE(Q52, 'Variable Management'!N69,'Variable Management'!N70,'Variable Management'!N71)</f>
        <v>1.0 x 0.5</v>
      </c>
      <c r="L54" s="502">
        <f>CHOOSE(Q54, 'Variable Management'!O69,'Variable Management'!O70,'Variable Management'!O71)</f>
        <v>2.5</v>
      </c>
      <c r="P54" s="519"/>
      <c r="Q54" s="522">
        <v>3</v>
      </c>
      <c r="R54" s="519"/>
      <c r="S54" s="519"/>
    </row>
    <row r="55" spans="1:19" s="366" customFormat="1" ht="17.100000000000001" customHeight="1" x14ac:dyDescent="0.15">
      <c r="A55" s="367">
        <v>1</v>
      </c>
      <c r="B55" s="368" t="s">
        <v>611</v>
      </c>
      <c r="C55" s="369">
        <f>'Design Regulator'!E13</f>
        <v>40.200000000000003</v>
      </c>
      <c r="D55" s="586">
        <f t="shared" si="2"/>
        <v>40.200000000000003</v>
      </c>
      <c r="E55" s="587"/>
      <c r="F55" s="587"/>
      <c r="G55" s="588"/>
      <c r="H55" s="370"/>
      <c r="I55" s="371" t="s">
        <v>498</v>
      </c>
      <c r="J55" s="499" t="s">
        <v>498</v>
      </c>
      <c r="K55" s="501" t="str">
        <f>CHOOSE(Q55, 'Variable Management'!N69,'Variable Management'!N70,'Variable Management'!N71)</f>
        <v>1.0 x 0.5</v>
      </c>
      <c r="L55" s="502">
        <f>CHOOSE(Q55, 'Variable Management'!O69,'Variable Management'!O70,'Variable Management'!O71)</f>
        <v>0.5</v>
      </c>
      <c r="P55" s="519"/>
      <c r="Q55" s="522">
        <v>1</v>
      </c>
      <c r="R55" s="519"/>
      <c r="S55" s="519"/>
    </row>
    <row r="56" spans="1:19" s="366" customFormat="1" ht="17.100000000000001" customHeight="1" x14ac:dyDescent="0.15">
      <c r="A56" s="367">
        <v>1</v>
      </c>
      <c r="B56" s="368" t="s">
        <v>521</v>
      </c>
      <c r="C56" s="369">
        <f>'Design Regulator'!E62</f>
        <v>20</v>
      </c>
      <c r="D56" s="586">
        <f t="shared" si="2"/>
        <v>20</v>
      </c>
      <c r="E56" s="587"/>
      <c r="F56" s="587"/>
      <c r="G56" s="588"/>
      <c r="H56" s="370"/>
      <c r="I56" s="371" t="s">
        <v>498</v>
      </c>
      <c r="J56" s="499" t="s">
        <v>498</v>
      </c>
      <c r="K56" s="501" t="str">
        <f>CHOOSE(Q56, 'Variable Management'!N69,'Variable Management'!N70,'Variable Management'!N71)</f>
        <v>1.0 x 0.5</v>
      </c>
      <c r="L56" s="502">
        <f>CHOOSE(Q56, 'Variable Management'!O69,'Variable Management'!O70,'Variable Management'!O71)</f>
        <v>0.5</v>
      </c>
      <c r="P56" s="519"/>
      <c r="Q56" s="522">
        <v>1</v>
      </c>
      <c r="R56" s="519"/>
      <c r="S56" s="519"/>
    </row>
    <row r="57" spans="1:19" s="366" customFormat="1" ht="17.100000000000001" customHeight="1" x14ac:dyDescent="0.15">
      <c r="A57" s="367">
        <v>1</v>
      </c>
      <c r="B57" s="368" t="s">
        <v>522</v>
      </c>
      <c r="C57" s="369">
        <f>'Design Regulator'!E63</f>
        <v>3.83</v>
      </c>
      <c r="D57" s="586">
        <f t="shared" si="2"/>
        <v>3.83</v>
      </c>
      <c r="E57" s="587"/>
      <c r="F57" s="587"/>
      <c r="G57" s="588"/>
      <c r="H57" s="370"/>
      <c r="I57" s="371" t="s">
        <v>498</v>
      </c>
      <c r="J57" s="499" t="s">
        <v>498</v>
      </c>
      <c r="K57" s="501" t="str">
        <f>CHOOSE(Q57, 'Variable Management'!N69,'Variable Management'!N70,'Variable Management'!N71)</f>
        <v>1.0 x 0.5</v>
      </c>
      <c r="L57" s="502">
        <f>CHOOSE(Q57, 'Variable Management'!O69,'Variable Management'!O70,'Variable Management'!O71)</f>
        <v>0.5</v>
      </c>
      <c r="P57" s="519"/>
      <c r="Q57" s="522">
        <v>1</v>
      </c>
      <c r="R57" s="519"/>
      <c r="S57" s="519"/>
    </row>
    <row r="58" spans="1:19" s="366" customFormat="1" ht="17.100000000000001" customHeight="1" x14ac:dyDescent="0.15">
      <c r="A58" s="373">
        <v>1</v>
      </c>
      <c r="B58" s="374" t="s">
        <v>520</v>
      </c>
      <c r="C58" s="375">
        <v>20</v>
      </c>
      <c r="D58" s="583">
        <f t="shared" si="2"/>
        <v>20</v>
      </c>
      <c r="E58" s="584"/>
      <c r="F58" s="584"/>
      <c r="G58" s="585"/>
      <c r="H58" s="376"/>
      <c r="I58" s="377" t="s">
        <v>498</v>
      </c>
      <c r="J58" s="498" t="s">
        <v>498</v>
      </c>
      <c r="K58" s="500" t="str">
        <f>CHOOSE(Q58, 'Variable Management'!N69,'Variable Management'!N70,'Variable Management'!N71)</f>
        <v>1.0 x 0.5</v>
      </c>
      <c r="L58" s="494">
        <f>CHOOSE(Q58, 'Variable Management'!O69,'Variable Management'!O70,'Variable Management'!O71)</f>
        <v>0.5</v>
      </c>
      <c r="P58" s="519"/>
      <c r="Q58" s="522">
        <v>1</v>
      </c>
      <c r="R58" s="519"/>
      <c r="S58" s="519"/>
    </row>
    <row r="59" spans="1:19" s="366" customFormat="1" ht="17.100000000000001" customHeight="1" x14ac:dyDescent="0.15">
      <c r="A59" s="373">
        <v>1</v>
      </c>
      <c r="B59" s="374" t="s">
        <v>519</v>
      </c>
      <c r="C59" s="539">
        <f>'Design Regulator'!E23</f>
        <v>6</v>
      </c>
      <c r="D59" s="595">
        <f t="shared" si="2"/>
        <v>6</v>
      </c>
      <c r="E59" s="596"/>
      <c r="F59" s="596"/>
      <c r="G59" s="597"/>
      <c r="H59" s="538">
        <v>1206</v>
      </c>
      <c r="I59" s="377" t="s">
        <v>498</v>
      </c>
      <c r="J59" s="498" t="s">
        <v>498</v>
      </c>
      <c r="K59" s="500" t="s">
        <v>643</v>
      </c>
      <c r="L59" s="494">
        <f>CHOOSE(RDSON_sense, 0,5.1)</f>
        <v>0</v>
      </c>
      <c r="P59" s="519"/>
      <c r="Q59" s="522"/>
      <c r="R59" s="519"/>
      <c r="S59" s="519"/>
    </row>
    <row r="60" spans="1:19" s="366" customFormat="1" ht="17.100000000000001" customHeight="1" x14ac:dyDescent="0.15">
      <c r="A60" s="367">
        <v>1</v>
      </c>
      <c r="B60" s="368" t="s">
        <v>516</v>
      </c>
      <c r="C60" s="369">
        <f>'Design Regulator'!E52</f>
        <v>49.900000000000006</v>
      </c>
      <c r="D60" s="586">
        <f t="shared" si="2"/>
        <v>49.900000000000006</v>
      </c>
      <c r="E60" s="587"/>
      <c r="F60" s="587"/>
      <c r="G60" s="588"/>
      <c r="H60" s="370"/>
      <c r="I60" s="371" t="s">
        <v>498</v>
      </c>
      <c r="J60" s="499" t="s">
        <v>498</v>
      </c>
      <c r="K60" s="501" t="str">
        <f>CHOOSE(Q60, 'Variable Management'!N69,'Variable Management'!N70,'Variable Management'!N71)</f>
        <v>1.6 x 0.8</v>
      </c>
      <c r="L60" s="502">
        <f>CHOOSE(Q60, 'Variable Management'!O69,'Variable Management'!O70,'Variable Management'!O71)</f>
        <v>1.3</v>
      </c>
      <c r="P60" s="519"/>
      <c r="Q60" s="522">
        <v>2</v>
      </c>
      <c r="R60" s="519"/>
      <c r="S60" s="519"/>
    </row>
    <row r="61" spans="1:19" s="366" customFormat="1" ht="17.100000000000001" customHeight="1" x14ac:dyDescent="0.15">
      <c r="A61" s="367">
        <v>1</v>
      </c>
      <c r="B61" s="368" t="s">
        <v>517</v>
      </c>
      <c r="C61" s="369">
        <f>'Design Regulator'!E53</f>
        <v>11.3</v>
      </c>
      <c r="D61" s="586">
        <f t="shared" si="2"/>
        <v>11.3</v>
      </c>
      <c r="E61" s="587"/>
      <c r="F61" s="587"/>
      <c r="G61" s="588"/>
      <c r="H61" s="370"/>
      <c r="I61" s="371" t="s">
        <v>498</v>
      </c>
      <c r="J61" s="499" t="s">
        <v>498</v>
      </c>
      <c r="K61" s="501" t="str">
        <f>CHOOSE(Q61, 'Variable Management'!N69,'Variable Management'!N70,'Variable Management'!N71)</f>
        <v>1.0 x 0.5</v>
      </c>
      <c r="L61" s="502">
        <f>CHOOSE(Q61, 'Variable Management'!O69,'Variable Management'!O70,'Variable Management'!O71)</f>
        <v>0.5</v>
      </c>
      <c r="P61" s="519"/>
      <c r="Q61" s="522">
        <v>1</v>
      </c>
      <c r="R61" s="519"/>
      <c r="S61" s="519"/>
    </row>
    <row r="62" spans="1:19" s="366" customFormat="1" ht="17.100000000000001" customHeight="1" x14ac:dyDescent="0.15">
      <c r="A62" s="373">
        <v>1</v>
      </c>
      <c r="B62" s="374" t="s">
        <v>518</v>
      </c>
      <c r="C62" s="391">
        <v>2.2000000000000002</v>
      </c>
      <c r="D62" s="592">
        <f t="shared" si="2"/>
        <v>2.2000000000000002</v>
      </c>
      <c r="E62" s="593"/>
      <c r="F62" s="593"/>
      <c r="G62" s="594"/>
      <c r="H62" s="376"/>
      <c r="I62" s="377" t="s">
        <v>498</v>
      </c>
      <c r="J62" s="498" t="s">
        <v>498</v>
      </c>
      <c r="K62" s="500" t="str">
        <f>CHOOSE(Q62, 'Variable Management'!N69,'Variable Management'!N70,'Variable Management'!N71)</f>
        <v>1.0 x 0.5</v>
      </c>
      <c r="L62" s="494">
        <f>CHOOSE(Q62, 'Variable Management'!O69,'Variable Management'!O70,'Variable Management'!O71)</f>
        <v>0.5</v>
      </c>
      <c r="P62" s="519"/>
      <c r="Q62" s="522">
        <v>1</v>
      </c>
      <c r="R62" s="519"/>
      <c r="S62" s="519"/>
    </row>
    <row r="63" spans="1:19" s="366" customFormat="1" ht="17.100000000000001" customHeight="1" x14ac:dyDescent="0.15">
      <c r="A63" s="393">
        <v>1</v>
      </c>
      <c r="B63" s="394" t="s">
        <v>523</v>
      </c>
      <c r="C63" s="392" t="str">
        <f>CHOOSE(VARIANT, "LM5145", "LM5145-Q1", "LM25145", "LM5146", "LM5146-Q1")</f>
        <v>LM5145</v>
      </c>
      <c r="D63" s="580" t="str">
        <f>CHOOSE(VARIANT, "IC, LM5145, PWM Controller, 6V-75V Input", "IC, LM5145-Q1, PWM Controller, 6V-75V Input", "IC, LM25145, PWM Controller, 6V-42V Input", "IC, LM5146 PWM Controller, 5.5V-100V Input", "IC, LM5146-Q1, PWM Controller, 5.5V-100V Input")</f>
        <v>IC, LM5145, PWM Controller, 6V-75V Input</v>
      </c>
      <c r="E63" s="581"/>
      <c r="F63" s="581"/>
      <c r="G63" s="582"/>
      <c r="H63" s="395" t="s">
        <v>627</v>
      </c>
      <c r="I63" s="395" t="str">
        <f>CHOOSE(VARIANT, "LM5145RGYR", "LM5145QRGYRQ1", "LM25145RGYR", "LM5146RGYR", "LM5146QRGYRQ1",)</f>
        <v>LM5145RGYR</v>
      </c>
      <c r="J63" s="482" t="s">
        <v>500</v>
      </c>
      <c r="K63" s="500" t="s">
        <v>714</v>
      </c>
      <c r="L63" s="495">
        <v>15.75</v>
      </c>
      <c r="P63" s="519"/>
      <c r="Q63" s="522"/>
      <c r="R63" s="519"/>
      <c r="S63" s="519"/>
    </row>
    <row r="64" spans="1:19" x14ac:dyDescent="0.15">
      <c r="L64" s="493"/>
      <c r="P64" s="529"/>
      <c r="Q64" s="530"/>
      <c r="R64" s="529"/>
      <c r="S64" s="529"/>
    </row>
    <row r="65" spans="1:15" ht="17.25" x14ac:dyDescent="0.15">
      <c r="I65" s="613" t="s">
        <v>677</v>
      </c>
      <c r="J65" s="613"/>
      <c r="K65" s="613"/>
      <c r="L65" s="505">
        <f>SUM(L38:L63)*1.25</f>
        <v>350.9375</v>
      </c>
      <c r="M65" s="506" t="s">
        <v>678</v>
      </c>
      <c r="N65" s="507">
        <f>L65/25.4/25.4</f>
        <v>0.54395421290842583</v>
      </c>
      <c r="O65" s="506" t="s">
        <v>679</v>
      </c>
    </row>
    <row r="66" spans="1:15" x14ac:dyDescent="0.15">
      <c r="A66" s="404" t="s">
        <v>541</v>
      </c>
    </row>
    <row r="67" spans="1:15" x14ac:dyDescent="0.15">
      <c r="A67" s="359" t="s">
        <v>540</v>
      </c>
    </row>
    <row r="68" spans="1:15" x14ac:dyDescent="0.15">
      <c r="A68" s="359" t="s">
        <v>713</v>
      </c>
    </row>
    <row r="455" spans="17:17" x14ac:dyDescent="0.15">
      <c r="Q455" s="359">
        <v>2</v>
      </c>
    </row>
  </sheetData>
  <sheetProtection algorithmName="SHA-512" hashValue="BrNu6mA4x65o5FcYvjFMGZsarY4lW4Bss8LSJghrowMNx+k4NWdV/WMSX7I6FZa3STO1hDU9PnpSC36jMG4aHg==" saltValue="syukUhaOC3zv9QobCzRg7A==" spinCount="100000" sheet="1" objects="1" scenarios="1" selectLockedCells="1" selectUnlockedCells="1"/>
  <mergeCells count="27">
    <mergeCell ref="I65:K65"/>
    <mergeCell ref="D54:G54"/>
    <mergeCell ref="D48:G48"/>
    <mergeCell ref="D44:F44"/>
    <mergeCell ref="D45:F45"/>
    <mergeCell ref="D47:F47"/>
    <mergeCell ref="D42:F42"/>
    <mergeCell ref="D46:F46"/>
    <mergeCell ref="D43:F43"/>
    <mergeCell ref="D52:G52"/>
    <mergeCell ref="D53:G53"/>
    <mergeCell ref="D37:G37"/>
    <mergeCell ref="D63:G63"/>
    <mergeCell ref="D58:G58"/>
    <mergeCell ref="D56:G56"/>
    <mergeCell ref="D57:G57"/>
    <mergeCell ref="D49:G49"/>
    <mergeCell ref="D50:G50"/>
    <mergeCell ref="D55:G55"/>
    <mergeCell ref="D60:G60"/>
    <mergeCell ref="D61:G61"/>
    <mergeCell ref="D62:G62"/>
    <mergeCell ref="D59:G59"/>
    <mergeCell ref="D38:F38"/>
    <mergeCell ref="D39:F39"/>
    <mergeCell ref="D40:F40"/>
    <mergeCell ref="D41:F41"/>
  </mergeCells>
  <conditionalFormatting sqref="A59:J59">
    <cfRule type="expression" dxfId="4" priority="6">
      <formula>RDSON_sense=1</formula>
    </cfRule>
  </conditionalFormatting>
  <conditionalFormatting sqref="K59">
    <cfRule type="expression" dxfId="3" priority="5">
      <formula>RDSON_sense=1</formula>
    </cfRule>
  </conditionalFormatting>
  <conditionalFormatting sqref="L59">
    <cfRule type="expression" dxfId="2" priority="3">
      <formula>RDSON_sense=1</formula>
    </cfRule>
  </conditionalFormatting>
  <conditionalFormatting sqref="A42:F42">
    <cfRule type="expression" dxfId="1" priority="2">
      <formula>RDSON_sense=0</formula>
    </cfRule>
  </conditionalFormatting>
  <conditionalFormatting sqref="I42:L42">
    <cfRule type="expression" dxfId="0" priority="1">
      <formula>RDSON_sense=0</formula>
    </cfRule>
  </conditionalFormatting>
  <printOptions horizontalCentered="1"/>
  <pageMargins left="0.23" right="0.23" top="0.7" bottom="0.61" header="0.3" footer="0.5"/>
  <pageSetup scale="84" fitToHeight="2" orientation="landscape" r:id="rId1"/>
  <headerFooter alignWithMargins="0"/>
  <rowBreaks count="1" manualBreakCount="1">
    <brk id="34" max="9" man="1"/>
  </rowBreaks>
  <ignoredErrors>
    <ignoredError sqref="L59"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73839" r:id="rId4" name="Drop Down 47">
              <controlPr defaultSize="0" autoLine="0" autoPict="0">
                <anchor moveWithCells="1">
                  <from>
                    <xdr:col>7</xdr:col>
                    <xdr:colOff>0</xdr:colOff>
                    <xdr:row>48</xdr:row>
                    <xdr:rowOff>0</xdr:rowOff>
                  </from>
                  <to>
                    <xdr:col>8</xdr:col>
                    <xdr:colOff>0</xdr:colOff>
                    <xdr:row>48</xdr:row>
                    <xdr:rowOff>200025</xdr:rowOff>
                  </to>
                </anchor>
              </controlPr>
            </control>
          </mc:Choice>
        </mc:AlternateContent>
        <mc:AlternateContent xmlns:mc="http://schemas.openxmlformats.org/markup-compatibility/2006">
          <mc:Choice Requires="x14">
            <control shapeId="673840" r:id="rId5" name="Drop Down 48">
              <controlPr defaultSize="0" autoLine="0" autoPict="0">
                <anchor moveWithCells="1">
                  <from>
                    <xdr:col>7</xdr:col>
                    <xdr:colOff>0</xdr:colOff>
                    <xdr:row>49</xdr:row>
                    <xdr:rowOff>0</xdr:rowOff>
                  </from>
                  <to>
                    <xdr:col>8</xdr:col>
                    <xdr:colOff>0</xdr:colOff>
                    <xdr:row>49</xdr:row>
                    <xdr:rowOff>200025</xdr:rowOff>
                  </to>
                </anchor>
              </controlPr>
            </control>
          </mc:Choice>
        </mc:AlternateContent>
        <mc:AlternateContent xmlns:mc="http://schemas.openxmlformats.org/markup-compatibility/2006">
          <mc:Choice Requires="x14">
            <control shapeId="673855" r:id="rId6" name="Drop Down 63">
              <controlPr defaultSize="0" autoLine="0" autoPict="0">
                <anchor moveWithCells="1">
                  <from>
                    <xdr:col>7</xdr:col>
                    <xdr:colOff>0</xdr:colOff>
                    <xdr:row>37</xdr:row>
                    <xdr:rowOff>0</xdr:rowOff>
                  </from>
                  <to>
                    <xdr:col>7</xdr:col>
                    <xdr:colOff>876300</xdr:colOff>
                    <xdr:row>37</xdr:row>
                    <xdr:rowOff>200025</xdr:rowOff>
                  </to>
                </anchor>
              </controlPr>
            </control>
          </mc:Choice>
        </mc:AlternateContent>
        <mc:AlternateContent xmlns:mc="http://schemas.openxmlformats.org/markup-compatibility/2006">
          <mc:Choice Requires="x14">
            <control shapeId="673857" r:id="rId7" name="Drop Down 65">
              <controlPr defaultSize="0" autoLine="0" autoPict="0">
                <anchor moveWithCells="1">
                  <from>
                    <xdr:col>7</xdr:col>
                    <xdr:colOff>0</xdr:colOff>
                    <xdr:row>38</xdr:row>
                    <xdr:rowOff>0</xdr:rowOff>
                  </from>
                  <to>
                    <xdr:col>7</xdr:col>
                    <xdr:colOff>876300</xdr:colOff>
                    <xdr:row>38</xdr:row>
                    <xdr:rowOff>200025</xdr:rowOff>
                  </to>
                </anchor>
              </controlPr>
            </control>
          </mc:Choice>
        </mc:AlternateContent>
        <mc:AlternateContent xmlns:mc="http://schemas.openxmlformats.org/markup-compatibility/2006">
          <mc:Choice Requires="x14">
            <control shapeId="673858" r:id="rId8" name="Drop Down 66">
              <controlPr defaultSize="0" autoLine="0" autoPict="0">
                <anchor moveWithCells="1">
                  <from>
                    <xdr:col>7</xdr:col>
                    <xdr:colOff>0</xdr:colOff>
                    <xdr:row>39</xdr:row>
                    <xdr:rowOff>0</xdr:rowOff>
                  </from>
                  <to>
                    <xdr:col>7</xdr:col>
                    <xdr:colOff>876300</xdr:colOff>
                    <xdr:row>39</xdr:row>
                    <xdr:rowOff>200025</xdr:rowOff>
                  </to>
                </anchor>
              </controlPr>
            </control>
          </mc:Choice>
        </mc:AlternateContent>
        <mc:AlternateContent xmlns:mc="http://schemas.openxmlformats.org/markup-compatibility/2006">
          <mc:Choice Requires="x14">
            <control shapeId="673859" r:id="rId9" name="Drop Down 67">
              <controlPr defaultSize="0" autoLine="0" autoPict="0">
                <anchor moveWithCells="1">
                  <from>
                    <xdr:col>7</xdr:col>
                    <xdr:colOff>0</xdr:colOff>
                    <xdr:row>40</xdr:row>
                    <xdr:rowOff>0</xdr:rowOff>
                  </from>
                  <to>
                    <xdr:col>7</xdr:col>
                    <xdr:colOff>876300</xdr:colOff>
                    <xdr:row>40</xdr:row>
                    <xdr:rowOff>200025</xdr:rowOff>
                  </to>
                </anchor>
              </controlPr>
            </control>
          </mc:Choice>
        </mc:AlternateContent>
        <mc:AlternateContent xmlns:mc="http://schemas.openxmlformats.org/markup-compatibility/2006">
          <mc:Choice Requires="x14">
            <control shapeId="673860" r:id="rId10" name="Drop Down 68">
              <controlPr defaultSize="0" autoLine="0" autoPict="0">
                <anchor moveWithCells="1">
                  <from>
                    <xdr:col>7</xdr:col>
                    <xdr:colOff>0</xdr:colOff>
                    <xdr:row>41</xdr:row>
                    <xdr:rowOff>0</xdr:rowOff>
                  </from>
                  <to>
                    <xdr:col>7</xdr:col>
                    <xdr:colOff>876300</xdr:colOff>
                    <xdr:row>41</xdr:row>
                    <xdr:rowOff>200025</xdr:rowOff>
                  </to>
                </anchor>
              </controlPr>
            </control>
          </mc:Choice>
        </mc:AlternateContent>
        <mc:AlternateContent xmlns:mc="http://schemas.openxmlformats.org/markup-compatibility/2006">
          <mc:Choice Requires="x14">
            <control shapeId="673861" r:id="rId11" name="Drop Down 69">
              <controlPr defaultSize="0" autoLine="0" autoPict="0">
                <anchor moveWithCells="1">
                  <from>
                    <xdr:col>7</xdr:col>
                    <xdr:colOff>0</xdr:colOff>
                    <xdr:row>44</xdr:row>
                    <xdr:rowOff>0</xdr:rowOff>
                  </from>
                  <to>
                    <xdr:col>7</xdr:col>
                    <xdr:colOff>876300</xdr:colOff>
                    <xdr:row>44</xdr:row>
                    <xdr:rowOff>200025</xdr:rowOff>
                  </to>
                </anchor>
              </controlPr>
            </control>
          </mc:Choice>
        </mc:AlternateContent>
        <mc:AlternateContent xmlns:mc="http://schemas.openxmlformats.org/markup-compatibility/2006">
          <mc:Choice Requires="x14">
            <control shapeId="673862" r:id="rId12" name="Drop Down 70">
              <controlPr defaultSize="0" autoLine="0" autoPict="0">
                <anchor moveWithCells="1">
                  <from>
                    <xdr:col>7</xdr:col>
                    <xdr:colOff>0</xdr:colOff>
                    <xdr:row>45</xdr:row>
                    <xdr:rowOff>0</xdr:rowOff>
                  </from>
                  <to>
                    <xdr:col>7</xdr:col>
                    <xdr:colOff>876300</xdr:colOff>
                    <xdr:row>45</xdr:row>
                    <xdr:rowOff>200025</xdr:rowOff>
                  </to>
                </anchor>
              </controlPr>
            </control>
          </mc:Choice>
        </mc:AlternateContent>
        <mc:AlternateContent xmlns:mc="http://schemas.openxmlformats.org/markup-compatibility/2006">
          <mc:Choice Requires="x14">
            <control shapeId="673863" r:id="rId13" name="Drop Down 71">
              <controlPr defaultSize="0" autoLine="0" autoPict="0">
                <anchor moveWithCells="1">
                  <from>
                    <xdr:col>7</xdr:col>
                    <xdr:colOff>0</xdr:colOff>
                    <xdr:row>46</xdr:row>
                    <xdr:rowOff>0</xdr:rowOff>
                  </from>
                  <to>
                    <xdr:col>7</xdr:col>
                    <xdr:colOff>876300</xdr:colOff>
                    <xdr:row>46</xdr:row>
                    <xdr:rowOff>200025</xdr:rowOff>
                  </to>
                </anchor>
              </controlPr>
            </control>
          </mc:Choice>
        </mc:AlternateContent>
        <mc:AlternateContent xmlns:mc="http://schemas.openxmlformats.org/markup-compatibility/2006">
          <mc:Choice Requires="x14">
            <control shapeId="673865" r:id="rId14" name="Drop Down 73">
              <controlPr defaultSize="0" autoLine="0" autoPict="0">
                <anchor moveWithCells="1">
                  <from>
                    <xdr:col>7</xdr:col>
                    <xdr:colOff>0</xdr:colOff>
                    <xdr:row>51</xdr:row>
                    <xdr:rowOff>0</xdr:rowOff>
                  </from>
                  <to>
                    <xdr:col>7</xdr:col>
                    <xdr:colOff>876300</xdr:colOff>
                    <xdr:row>51</xdr:row>
                    <xdr:rowOff>200025</xdr:rowOff>
                  </to>
                </anchor>
              </controlPr>
            </control>
          </mc:Choice>
        </mc:AlternateContent>
        <mc:AlternateContent xmlns:mc="http://schemas.openxmlformats.org/markup-compatibility/2006">
          <mc:Choice Requires="x14">
            <control shapeId="673866" r:id="rId15" name="Drop Down 74">
              <controlPr defaultSize="0" autoLine="0" autoPict="0">
                <anchor moveWithCells="1">
                  <from>
                    <xdr:col>7</xdr:col>
                    <xdr:colOff>0</xdr:colOff>
                    <xdr:row>52</xdr:row>
                    <xdr:rowOff>0</xdr:rowOff>
                  </from>
                  <to>
                    <xdr:col>7</xdr:col>
                    <xdr:colOff>876300</xdr:colOff>
                    <xdr:row>52</xdr:row>
                    <xdr:rowOff>200025</xdr:rowOff>
                  </to>
                </anchor>
              </controlPr>
            </control>
          </mc:Choice>
        </mc:AlternateContent>
        <mc:AlternateContent xmlns:mc="http://schemas.openxmlformats.org/markup-compatibility/2006">
          <mc:Choice Requires="x14">
            <control shapeId="673867" r:id="rId16" name="Drop Down 75">
              <controlPr defaultSize="0" autoLine="0" autoPict="0">
                <anchor moveWithCells="1">
                  <from>
                    <xdr:col>7</xdr:col>
                    <xdr:colOff>0</xdr:colOff>
                    <xdr:row>53</xdr:row>
                    <xdr:rowOff>0</xdr:rowOff>
                  </from>
                  <to>
                    <xdr:col>7</xdr:col>
                    <xdr:colOff>876300</xdr:colOff>
                    <xdr:row>53</xdr:row>
                    <xdr:rowOff>200025</xdr:rowOff>
                  </to>
                </anchor>
              </controlPr>
            </control>
          </mc:Choice>
        </mc:AlternateContent>
        <mc:AlternateContent xmlns:mc="http://schemas.openxmlformats.org/markup-compatibility/2006">
          <mc:Choice Requires="x14">
            <control shapeId="673868" r:id="rId17" name="Drop Down 76">
              <controlPr defaultSize="0" autoLine="0" autoPict="0">
                <anchor moveWithCells="1">
                  <from>
                    <xdr:col>7</xdr:col>
                    <xdr:colOff>0</xdr:colOff>
                    <xdr:row>54</xdr:row>
                    <xdr:rowOff>0</xdr:rowOff>
                  </from>
                  <to>
                    <xdr:col>7</xdr:col>
                    <xdr:colOff>876300</xdr:colOff>
                    <xdr:row>54</xdr:row>
                    <xdr:rowOff>200025</xdr:rowOff>
                  </to>
                </anchor>
              </controlPr>
            </control>
          </mc:Choice>
        </mc:AlternateContent>
        <mc:AlternateContent xmlns:mc="http://schemas.openxmlformats.org/markup-compatibility/2006">
          <mc:Choice Requires="x14">
            <control shapeId="673869" r:id="rId18" name="Drop Down 77">
              <controlPr defaultSize="0" autoLine="0" autoPict="0">
                <anchor moveWithCells="1">
                  <from>
                    <xdr:col>7</xdr:col>
                    <xdr:colOff>0</xdr:colOff>
                    <xdr:row>55</xdr:row>
                    <xdr:rowOff>0</xdr:rowOff>
                  </from>
                  <to>
                    <xdr:col>7</xdr:col>
                    <xdr:colOff>876300</xdr:colOff>
                    <xdr:row>55</xdr:row>
                    <xdr:rowOff>200025</xdr:rowOff>
                  </to>
                </anchor>
              </controlPr>
            </control>
          </mc:Choice>
        </mc:AlternateContent>
        <mc:AlternateContent xmlns:mc="http://schemas.openxmlformats.org/markup-compatibility/2006">
          <mc:Choice Requires="x14">
            <control shapeId="673870" r:id="rId19" name="Drop Down 78">
              <controlPr defaultSize="0" autoLine="0" autoPict="0">
                <anchor moveWithCells="1">
                  <from>
                    <xdr:col>7</xdr:col>
                    <xdr:colOff>0</xdr:colOff>
                    <xdr:row>56</xdr:row>
                    <xdr:rowOff>0</xdr:rowOff>
                  </from>
                  <to>
                    <xdr:col>7</xdr:col>
                    <xdr:colOff>876300</xdr:colOff>
                    <xdr:row>56</xdr:row>
                    <xdr:rowOff>200025</xdr:rowOff>
                  </to>
                </anchor>
              </controlPr>
            </control>
          </mc:Choice>
        </mc:AlternateContent>
        <mc:AlternateContent xmlns:mc="http://schemas.openxmlformats.org/markup-compatibility/2006">
          <mc:Choice Requires="x14">
            <control shapeId="673871" r:id="rId20" name="Drop Down 79">
              <controlPr defaultSize="0" autoLine="0" autoPict="0">
                <anchor moveWithCells="1">
                  <from>
                    <xdr:col>7</xdr:col>
                    <xdr:colOff>0</xdr:colOff>
                    <xdr:row>57</xdr:row>
                    <xdr:rowOff>0</xdr:rowOff>
                  </from>
                  <to>
                    <xdr:col>7</xdr:col>
                    <xdr:colOff>876300</xdr:colOff>
                    <xdr:row>57</xdr:row>
                    <xdr:rowOff>200025</xdr:rowOff>
                  </to>
                </anchor>
              </controlPr>
            </control>
          </mc:Choice>
        </mc:AlternateContent>
        <mc:AlternateContent xmlns:mc="http://schemas.openxmlformats.org/markup-compatibility/2006">
          <mc:Choice Requires="x14">
            <control shapeId="673872" r:id="rId21" name="Drop Down 80">
              <controlPr defaultSize="0" autoLine="0" autoPict="0">
                <anchor moveWithCells="1">
                  <from>
                    <xdr:col>7</xdr:col>
                    <xdr:colOff>0</xdr:colOff>
                    <xdr:row>59</xdr:row>
                    <xdr:rowOff>0</xdr:rowOff>
                  </from>
                  <to>
                    <xdr:col>7</xdr:col>
                    <xdr:colOff>876300</xdr:colOff>
                    <xdr:row>59</xdr:row>
                    <xdr:rowOff>200025</xdr:rowOff>
                  </to>
                </anchor>
              </controlPr>
            </control>
          </mc:Choice>
        </mc:AlternateContent>
        <mc:AlternateContent xmlns:mc="http://schemas.openxmlformats.org/markup-compatibility/2006">
          <mc:Choice Requires="x14">
            <control shapeId="673873" r:id="rId22" name="Drop Down 81">
              <controlPr defaultSize="0" autoLine="0" autoPict="0">
                <anchor moveWithCells="1">
                  <from>
                    <xdr:col>7</xdr:col>
                    <xdr:colOff>0</xdr:colOff>
                    <xdr:row>60</xdr:row>
                    <xdr:rowOff>0</xdr:rowOff>
                  </from>
                  <to>
                    <xdr:col>7</xdr:col>
                    <xdr:colOff>876300</xdr:colOff>
                    <xdr:row>60</xdr:row>
                    <xdr:rowOff>200025</xdr:rowOff>
                  </to>
                </anchor>
              </controlPr>
            </control>
          </mc:Choice>
        </mc:AlternateContent>
        <mc:AlternateContent xmlns:mc="http://schemas.openxmlformats.org/markup-compatibility/2006">
          <mc:Choice Requires="x14">
            <control shapeId="673874" r:id="rId23" name="Drop Down 82">
              <controlPr defaultSize="0" autoLine="0" autoPict="0">
                <anchor moveWithCells="1">
                  <from>
                    <xdr:col>7</xdr:col>
                    <xdr:colOff>0</xdr:colOff>
                    <xdr:row>61</xdr:row>
                    <xdr:rowOff>0</xdr:rowOff>
                  </from>
                  <to>
                    <xdr:col>7</xdr:col>
                    <xdr:colOff>876300</xdr:colOff>
                    <xdr:row>61</xdr:row>
                    <xdr:rowOff>200025</xdr:rowOff>
                  </to>
                </anchor>
              </controlPr>
            </control>
          </mc:Choice>
        </mc:AlternateContent>
        <mc:AlternateContent xmlns:mc="http://schemas.openxmlformats.org/markup-compatibility/2006">
          <mc:Choice Requires="x14">
            <control shapeId="673877" r:id="rId24" name="Drop Down 85">
              <controlPr defaultSize="0" autoLine="0" autoPict="0">
                <anchor moveWithCells="1">
                  <from>
                    <xdr:col>7</xdr:col>
                    <xdr:colOff>0</xdr:colOff>
                    <xdr:row>47</xdr:row>
                    <xdr:rowOff>0</xdr:rowOff>
                  </from>
                  <to>
                    <xdr:col>7</xdr:col>
                    <xdr:colOff>876300</xdr:colOff>
                    <xdr:row>47</xdr:row>
                    <xdr:rowOff>200025</xdr:rowOff>
                  </to>
                </anchor>
              </controlPr>
            </control>
          </mc:Choice>
        </mc:AlternateContent>
        <mc:AlternateContent xmlns:mc="http://schemas.openxmlformats.org/markup-compatibility/2006">
          <mc:Choice Requires="x14">
            <control shapeId="673878" r:id="rId25" name="Drop Down 86">
              <controlPr defaultSize="0" autoLine="0" autoPict="0">
                <anchor moveWithCells="1">
                  <from>
                    <xdr:col>7</xdr:col>
                    <xdr:colOff>0</xdr:colOff>
                    <xdr:row>42</xdr:row>
                    <xdr:rowOff>0</xdr:rowOff>
                  </from>
                  <to>
                    <xdr:col>7</xdr:col>
                    <xdr:colOff>876300</xdr:colOff>
                    <xdr:row>42</xdr:row>
                    <xdr:rowOff>200025</xdr:rowOff>
                  </to>
                </anchor>
              </controlPr>
            </control>
          </mc:Choice>
        </mc:AlternateContent>
        <mc:AlternateContent xmlns:mc="http://schemas.openxmlformats.org/markup-compatibility/2006">
          <mc:Choice Requires="x14">
            <control shapeId="673879" r:id="rId26" name="Drop Down 87">
              <controlPr defaultSize="0" autoLine="0" autoPict="0">
                <anchor moveWithCells="1">
                  <from>
                    <xdr:col>7</xdr:col>
                    <xdr:colOff>0</xdr:colOff>
                    <xdr:row>43</xdr:row>
                    <xdr:rowOff>0</xdr:rowOff>
                  </from>
                  <to>
                    <xdr:col>7</xdr:col>
                    <xdr:colOff>876300</xdr:colOff>
                    <xdr:row>43</xdr:row>
                    <xdr:rowOff>200025</xdr:rowOff>
                  </to>
                </anchor>
              </controlPr>
            </control>
          </mc:Choice>
        </mc:AlternateContent>
        <mc:AlternateContent xmlns:mc="http://schemas.openxmlformats.org/markup-compatibility/2006">
          <mc:Choice Requires="x14">
            <control shapeId="674328" r:id="rId27" name="Drop Down 536">
              <controlPr defaultSize="0" autoLine="0" autoPict="0">
                <anchor moveWithCells="1">
                  <from>
                    <xdr:col>5</xdr:col>
                    <xdr:colOff>1171575</xdr:colOff>
                    <xdr:row>48</xdr:row>
                    <xdr:rowOff>9525</xdr:rowOff>
                  </from>
                  <to>
                    <xdr:col>6</xdr:col>
                    <xdr:colOff>638175</xdr:colOff>
                    <xdr:row>49</xdr:row>
                    <xdr:rowOff>0</xdr:rowOff>
                  </to>
                </anchor>
              </controlPr>
            </control>
          </mc:Choice>
        </mc:AlternateContent>
        <mc:AlternateContent xmlns:mc="http://schemas.openxmlformats.org/markup-compatibility/2006">
          <mc:Choice Requires="x14">
            <control shapeId="674330" r:id="rId28" name="Drop Down 538">
              <controlPr defaultSize="0" autoLine="0" autoPict="0">
                <anchor moveWithCells="1">
                  <from>
                    <xdr:col>5</xdr:col>
                    <xdr:colOff>1171575</xdr:colOff>
                    <xdr:row>49</xdr:row>
                    <xdr:rowOff>0</xdr:rowOff>
                  </from>
                  <to>
                    <xdr:col>6</xdr:col>
                    <xdr:colOff>638175</xdr:colOff>
                    <xdr:row>49</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FF00"/>
    <pageSetUpPr fitToPage="1"/>
  </sheetPr>
  <dimension ref="A1:Y129"/>
  <sheetViews>
    <sheetView zoomScale="85" zoomScaleNormal="85" zoomScaleSheetLayoutView="80" workbookViewId="0">
      <selection activeCell="AD89" sqref="AD89"/>
    </sheetView>
  </sheetViews>
  <sheetFormatPr defaultColWidth="9.16796875" defaultRowHeight="12.75" x14ac:dyDescent="0.15"/>
  <cols>
    <col min="1" max="13" width="9.16796875" style="559"/>
    <col min="14" max="14" width="11.8671875" style="559" customWidth="1"/>
    <col min="15" max="16" width="9.16796875" style="559"/>
    <col min="17" max="17" width="15.640625" style="559" customWidth="1"/>
    <col min="18" max="16384" width="9.16796875" style="559"/>
  </cols>
  <sheetData>
    <row r="1" spans="1:23" s="558" customFormat="1" ht="47.25" customHeight="1" x14ac:dyDescent="0.2">
      <c r="A1" s="619" t="s">
        <v>752</v>
      </c>
      <c r="B1" s="620"/>
      <c r="C1" s="620"/>
      <c r="D1" s="620"/>
      <c r="E1" s="620"/>
      <c r="F1" s="620"/>
      <c r="G1" s="620"/>
      <c r="H1" s="620"/>
      <c r="I1" s="620"/>
      <c r="J1" s="620"/>
      <c r="K1" s="620"/>
      <c r="L1" s="620"/>
      <c r="M1" s="620"/>
      <c r="N1" s="620"/>
      <c r="O1" s="620"/>
      <c r="P1" s="620"/>
      <c r="Q1" s="620"/>
      <c r="R1" s="557"/>
    </row>
    <row r="2" spans="1:23" ht="20.25" x14ac:dyDescent="0.25">
      <c r="M2" s="560"/>
      <c r="W2" s="560"/>
    </row>
    <row r="3" spans="1:23" ht="20.25" x14ac:dyDescent="0.25">
      <c r="B3" s="560" t="s">
        <v>749</v>
      </c>
    </row>
    <row r="5" spans="1:23" ht="20.25" x14ac:dyDescent="0.15">
      <c r="O5" s="561"/>
    </row>
    <row r="6" spans="1:23" ht="20.25" x14ac:dyDescent="0.15">
      <c r="O6" s="561"/>
    </row>
    <row r="31" spans="15:15" ht="20.25" x14ac:dyDescent="0.15">
      <c r="O31" s="562"/>
    </row>
    <row r="32" spans="15:15" ht="20.25" x14ac:dyDescent="0.15">
      <c r="O32" s="561"/>
    </row>
    <row r="46" spans="2:2" ht="20.25" x14ac:dyDescent="0.25">
      <c r="B46" s="560" t="s">
        <v>761</v>
      </c>
    </row>
    <row r="50" spans="15:25" ht="20.25" x14ac:dyDescent="0.15">
      <c r="O50" s="561" t="s">
        <v>762</v>
      </c>
    </row>
    <row r="51" spans="15:25" ht="20.25" x14ac:dyDescent="0.15">
      <c r="O51" s="561" t="s">
        <v>763</v>
      </c>
      <c r="Y51" s="559" t="s">
        <v>750</v>
      </c>
    </row>
    <row r="76" spans="15:15" ht="20.25" x14ac:dyDescent="0.15">
      <c r="O76" s="562" t="s">
        <v>764</v>
      </c>
    </row>
    <row r="77" spans="15:15" ht="20.25" x14ac:dyDescent="0.15">
      <c r="O77" s="561"/>
    </row>
    <row r="102" spans="15:15" ht="20.25" x14ac:dyDescent="0.15">
      <c r="O102" s="562" t="s">
        <v>765</v>
      </c>
    </row>
    <row r="129" spans="15:15" ht="20.25" x14ac:dyDescent="0.15">
      <c r="O129" s="561" t="s">
        <v>766</v>
      </c>
    </row>
  </sheetData>
  <sheetProtection algorithmName="SHA-512" hashValue="mfqg14JXM7eQdMxfIbAbyQXXoLaBzh7E+vHpbegv5G7PmoVFz5ldxzWC/I3iiTlNv+ZGdrk2NJefeD8Bt6E9aQ==" saltValue="vwGsBJHwmwVGMufLkpoxbQ==" spinCount="100000" sheet="1" objects="1" scenarios="1" selectLockedCells="1"/>
  <mergeCells count="1">
    <mergeCell ref="A1:Q1"/>
  </mergeCells>
  <pageMargins left="0.19" right="0.2" top="0.75" bottom="0.75" header="0.3" footer="0.3"/>
  <pageSetup scale="3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V349"/>
  <sheetViews>
    <sheetView workbookViewId="0">
      <pane ySplit="5" topLeftCell="A6" activePane="bottomLeft" state="frozenSplit"/>
      <selection pane="bottomLeft" activeCell="U15" sqref="U15"/>
    </sheetView>
  </sheetViews>
  <sheetFormatPr defaultRowHeight="12.75" x14ac:dyDescent="0.15"/>
  <cols>
    <col min="1" max="1" width="35.1953125" bestFit="1" customWidth="1"/>
    <col min="2" max="2" width="19.1484375" customWidth="1"/>
    <col min="7" max="7" width="18.87890625" customWidth="1"/>
    <col min="9" max="10" width="12.40625" bestFit="1" customWidth="1"/>
    <col min="12" max="12" width="19.8203125" customWidth="1"/>
    <col min="14" max="14" width="11.4609375" customWidth="1"/>
    <col min="17" max="17" width="10.515625" customWidth="1"/>
    <col min="20" max="20" width="10.78515625" customWidth="1"/>
    <col min="21" max="21" width="10.515625" customWidth="1"/>
  </cols>
  <sheetData>
    <row r="1" spans="1:22" ht="40.5" customHeight="1" x14ac:dyDescent="0.3">
      <c r="A1" s="622" t="s">
        <v>286</v>
      </c>
      <c r="B1" s="622"/>
      <c r="C1" s="622"/>
      <c r="D1" s="622"/>
      <c r="E1" s="622"/>
      <c r="F1" s="622"/>
      <c r="G1" s="622"/>
      <c r="H1" s="622"/>
    </row>
    <row r="2" spans="1:22" ht="12" customHeight="1" x14ac:dyDescent="0.15">
      <c r="A2" s="78"/>
      <c r="B2" s="78" t="s">
        <v>360</v>
      </c>
      <c r="C2" s="79"/>
      <c r="D2" s="78"/>
      <c r="E2" s="78"/>
      <c r="F2" s="78"/>
      <c r="G2" s="78"/>
      <c r="H2" s="78"/>
    </row>
    <row r="3" spans="1:22" ht="11.25" customHeight="1" x14ac:dyDescent="0.15">
      <c r="A3" s="78"/>
      <c r="B3" s="78" t="s">
        <v>420</v>
      </c>
      <c r="C3" s="80"/>
      <c r="D3" s="78"/>
      <c r="E3" s="78"/>
      <c r="F3" s="78"/>
      <c r="G3" s="78"/>
      <c r="H3" s="78"/>
    </row>
    <row r="4" spans="1:22" ht="11.25" customHeight="1" x14ac:dyDescent="0.15">
      <c r="A4" s="78"/>
      <c r="B4" s="78" t="s">
        <v>361</v>
      </c>
      <c r="C4" s="81"/>
      <c r="D4" s="78"/>
      <c r="E4" s="78"/>
      <c r="F4" s="78"/>
      <c r="G4" s="78"/>
      <c r="H4" s="78"/>
    </row>
    <row r="5" spans="1:22" x14ac:dyDescent="0.15">
      <c r="A5" s="2" t="s">
        <v>113</v>
      </c>
      <c r="B5" s="2" t="s">
        <v>8</v>
      </c>
      <c r="C5" s="2" t="s">
        <v>9</v>
      </c>
      <c r="D5" s="621" t="s">
        <v>13</v>
      </c>
      <c r="E5" s="621"/>
      <c r="F5" s="621"/>
      <c r="G5" s="621"/>
      <c r="H5" s="2" t="s">
        <v>38</v>
      </c>
    </row>
    <row r="6" spans="1:22" ht="15" thickBot="1" x14ac:dyDescent="0.2">
      <c r="A6" s="158" t="s">
        <v>288</v>
      </c>
      <c r="B6" s="133"/>
      <c r="C6" s="133"/>
      <c r="D6" s="159"/>
      <c r="E6" s="159"/>
      <c r="F6" s="159"/>
      <c r="G6" s="159"/>
      <c r="H6" s="133"/>
    </row>
    <row r="7" spans="1:22" x14ac:dyDescent="0.15">
      <c r="A7" s="160" t="s">
        <v>4</v>
      </c>
      <c r="B7" s="21">
        <f>'Design Regulator'!E7</f>
        <v>12</v>
      </c>
      <c r="C7" s="112" t="s">
        <v>0</v>
      </c>
      <c r="D7" s="112" t="s">
        <v>14</v>
      </c>
      <c r="E7" s="112"/>
      <c r="F7" s="112"/>
      <c r="G7" s="112"/>
      <c r="H7" s="113">
        <v>1</v>
      </c>
      <c r="U7" s="567" t="s">
        <v>756</v>
      </c>
      <c r="V7" s="568">
        <v>1</v>
      </c>
    </row>
    <row r="8" spans="1:22" x14ac:dyDescent="0.15">
      <c r="A8" s="445" t="s">
        <v>578</v>
      </c>
      <c r="B8" s="44">
        <f>'Design Regulator'!E6</f>
        <v>6</v>
      </c>
      <c r="C8" s="204" t="s">
        <v>0</v>
      </c>
      <c r="D8" s="204" t="s">
        <v>581</v>
      </c>
      <c r="E8" s="13"/>
      <c r="F8" s="13"/>
      <c r="G8" s="13"/>
      <c r="H8" s="106"/>
      <c r="U8" s="567" t="s">
        <v>757</v>
      </c>
      <c r="V8" s="568">
        <v>2</v>
      </c>
    </row>
    <row r="9" spans="1:22" x14ac:dyDescent="0.15">
      <c r="A9" s="445" t="s">
        <v>577</v>
      </c>
      <c r="B9" s="44">
        <f>'Design Regulator'!E8</f>
        <v>40</v>
      </c>
      <c r="C9" s="204" t="s">
        <v>0</v>
      </c>
      <c r="D9" s="204" t="s">
        <v>582</v>
      </c>
      <c r="E9" s="13"/>
      <c r="F9" s="13"/>
      <c r="G9" s="13"/>
      <c r="H9" s="106"/>
      <c r="U9" s="486" t="s">
        <v>758</v>
      </c>
      <c r="V9" s="569">
        <v>3</v>
      </c>
    </row>
    <row r="10" spans="1:22" x14ac:dyDescent="0.15">
      <c r="A10" s="105" t="s">
        <v>5</v>
      </c>
      <c r="B10" s="44">
        <f>'Design Regulator'!E9</f>
        <v>5</v>
      </c>
      <c r="C10" s="13" t="s">
        <v>0</v>
      </c>
      <c r="D10" s="13" t="s">
        <v>1</v>
      </c>
      <c r="E10" s="13"/>
      <c r="F10" s="13"/>
      <c r="G10" s="13"/>
      <c r="H10" s="106">
        <v>1</v>
      </c>
      <c r="U10" s="486" t="s">
        <v>759</v>
      </c>
      <c r="V10" s="569">
        <v>4</v>
      </c>
    </row>
    <row r="11" spans="1:22" x14ac:dyDescent="0.15">
      <c r="A11" s="105" t="s">
        <v>6</v>
      </c>
      <c r="B11" s="44">
        <f>'Design Regulator'!E10</f>
        <v>12</v>
      </c>
      <c r="C11" s="13" t="s">
        <v>2</v>
      </c>
      <c r="D11" s="13" t="s">
        <v>15</v>
      </c>
      <c r="E11" s="13"/>
      <c r="F11" s="13"/>
      <c r="G11" s="13"/>
      <c r="H11" s="106">
        <v>1</v>
      </c>
      <c r="U11" s="486" t="s">
        <v>748</v>
      </c>
      <c r="V11" s="569">
        <v>5</v>
      </c>
    </row>
    <row r="12" spans="1:22" x14ac:dyDescent="0.15">
      <c r="A12" s="107" t="s">
        <v>7</v>
      </c>
      <c r="B12" s="406">
        <f>IF(AND('Design Regulator'!E12&lt;='Design Regulator'!E11*1.5, 'Design Regulator'!E12&gt;='Design Regulator'!E11*0.8), 'Design Regulator'!E12*1000, 'Design Regulator'!E11*1000)</f>
        <v>250000</v>
      </c>
      <c r="C12" s="204" t="s">
        <v>10</v>
      </c>
      <c r="D12" s="13" t="s">
        <v>16</v>
      </c>
      <c r="E12" s="13"/>
      <c r="F12" s="13"/>
      <c r="G12" s="13"/>
      <c r="H12" s="106">
        <v>1</v>
      </c>
      <c r="T12" s="570" t="s">
        <v>753</v>
      </c>
      <c r="U12" s="571" t="str">
        <f>CHOOSE(VARIANT, "LM5145", "LM5145-Q1", "LM25145", "LM5146", "LM5146-Q1")</f>
        <v>LM5145</v>
      </c>
      <c r="V12" s="570">
        <v>1</v>
      </c>
    </row>
    <row r="13" spans="1:22" x14ac:dyDescent="0.15">
      <c r="A13" s="445" t="s">
        <v>711</v>
      </c>
      <c r="B13" s="406">
        <f>'Design Regulator'!E11*1000</f>
        <v>250000</v>
      </c>
      <c r="C13" s="354" t="s">
        <v>10</v>
      </c>
      <c r="D13" s="354" t="s">
        <v>712</v>
      </c>
      <c r="E13" s="13"/>
      <c r="F13" s="13"/>
      <c r="G13" s="13"/>
      <c r="H13" s="106"/>
      <c r="T13" s="438" t="s">
        <v>754</v>
      </c>
      <c r="U13" s="572">
        <f>CHOOSE(VARIANT, 75, 75, 42, 100, 100)</f>
        <v>75</v>
      </c>
      <c r="V13" t="s">
        <v>0</v>
      </c>
    </row>
    <row r="14" spans="1:22" x14ac:dyDescent="0.15">
      <c r="A14" s="107" t="s">
        <v>78</v>
      </c>
      <c r="B14" s="108">
        <v>0.8</v>
      </c>
      <c r="C14" s="13" t="s">
        <v>0</v>
      </c>
      <c r="D14" s="13" t="s">
        <v>79</v>
      </c>
      <c r="E14" s="13"/>
      <c r="F14" s="13"/>
      <c r="G14" s="13"/>
      <c r="H14" s="106"/>
      <c r="T14" s="438" t="s">
        <v>760</v>
      </c>
      <c r="U14" s="572">
        <f>CHOOSE(VARIANT, 6, 6, 6, 5.5, 5.5)</f>
        <v>6</v>
      </c>
      <c r="V14" s="203" t="s">
        <v>0</v>
      </c>
    </row>
    <row r="15" spans="1:22" x14ac:dyDescent="0.15">
      <c r="A15" s="353" t="s">
        <v>576</v>
      </c>
      <c r="B15" s="197">
        <f>1/(B13*0.0000000001)</f>
        <v>40000</v>
      </c>
      <c r="C15" s="358" t="s">
        <v>208</v>
      </c>
      <c r="D15" s="13"/>
      <c r="E15" s="13"/>
      <c r="F15" s="13"/>
      <c r="G15" s="13"/>
      <c r="H15" s="106"/>
      <c r="T15" s="438" t="s">
        <v>755</v>
      </c>
      <c r="U15" s="572">
        <f>CHOOSE(VARIANT, 60, 60, 42, 60, 60)</f>
        <v>60</v>
      </c>
      <c r="V15" s="203" t="s">
        <v>0</v>
      </c>
    </row>
    <row r="16" spans="1:22" x14ac:dyDescent="0.15">
      <c r="A16" s="445"/>
      <c r="B16" s="516"/>
      <c r="C16" s="358"/>
      <c r="D16" s="13"/>
      <c r="E16" s="13"/>
      <c r="F16" s="13"/>
      <c r="G16" s="13"/>
      <c r="H16" s="106"/>
    </row>
    <row r="17" spans="1:8" x14ac:dyDescent="0.15">
      <c r="A17" s="445" t="s">
        <v>695</v>
      </c>
      <c r="B17" s="517">
        <f>B38/Fsw*1000000000</f>
        <v>512.95999999999992</v>
      </c>
      <c r="C17" s="204" t="s">
        <v>147</v>
      </c>
      <c r="D17" s="13"/>
      <c r="E17" s="13"/>
      <c r="F17" s="13"/>
      <c r="G17" s="13"/>
      <c r="H17" s="106"/>
    </row>
    <row r="18" spans="1:8" x14ac:dyDescent="0.15">
      <c r="A18" s="353" t="s">
        <v>694</v>
      </c>
      <c r="B18" s="518">
        <f>B37/Fsw*1000000000</f>
        <v>580.26666666666665</v>
      </c>
      <c r="C18" s="204" t="s">
        <v>147</v>
      </c>
      <c r="D18" s="13"/>
      <c r="E18" s="13"/>
      <c r="F18" s="13"/>
      <c r="G18" s="13"/>
      <c r="H18" s="106"/>
    </row>
    <row r="19" spans="1:8" ht="13.5" thickBot="1" x14ac:dyDescent="0.2">
      <c r="A19" s="109"/>
      <c r="B19" s="515"/>
      <c r="C19" s="110"/>
      <c r="D19" s="110"/>
      <c r="E19" s="110"/>
      <c r="F19" s="110"/>
      <c r="G19" s="110"/>
      <c r="H19" s="111"/>
    </row>
    <row r="20" spans="1:8" x14ac:dyDescent="0.15">
      <c r="A20" s="13"/>
      <c r="B20" s="13"/>
      <c r="C20" s="13"/>
      <c r="D20" s="13"/>
      <c r="E20" s="13"/>
      <c r="F20" s="13"/>
      <c r="G20" s="13"/>
      <c r="H20" s="13"/>
    </row>
    <row r="21" spans="1:8" x14ac:dyDescent="0.15">
      <c r="A21" s="13"/>
      <c r="B21" s="13"/>
      <c r="C21" s="13"/>
      <c r="D21" s="13"/>
      <c r="E21" s="13"/>
      <c r="F21" s="13"/>
      <c r="G21" s="13"/>
      <c r="H21" s="13"/>
    </row>
    <row r="22" spans="1:8" ht="15" thickBot="1" x14ac:dyDescent="0.2">
      <c r="A22" s="158" t="s">
        <v>112</v>
      </c>
      <c r="B22" s="13"/>
      <c r="C22" s="13"/>
      <c r="D22" s="13"/>
      <c r="E22" s="13"/>
      <c r="F22" s="13"/>
      <c r="G22" s="13"/>
      <c r="H22" s="13"/>
    </row>
    <row r="23" spans="1:8" x14ac:dyDescent="0.15">
      <c r="A23" s="161" t="s">
        <v>19</v>
      </c>
      <c r="B23" s="446">
        <f>Vout/Vin</f>
        <v>0.41666666666666669</v>
      </c>
      <c r="C23" s="112" t="s">
        <v>23</v>
      </c>
      <c r="D23" s="112" t="s">
        <v>17</v>
      </c>
      <c r="E23" s="112"/>
      <c r="F23" s="112"/>
      <c r="G23" s="112"/>
      <c r="H23" s="113">
        <v>1</v>
      </c>
    </row>
    <row r="24" spans="1:8" x14ac:dyDescent="0.15">
      <c r="A24" s="114" t="s">
        <v>20</v>
      </c>
      <c r="B24" s="448">
        <f>1-23:23</f>
        <v>0.58333333333333326</v>
      </c>
      <c r="C24" s="13" t="s">
        <v>23</v>
      </c>
      <c r="D24" s="13" t="s">
        <v>18</v>
      </c>
      <c r="E24" s="13"/>
      <c r="F24" s="13"/>
      <c r="G24" s="13"/>
      <c r="H24" s="106">
        <v>1</v>
      </c>
    </row>
    <row r="25" spans="1:8" x14ac:dyDescent="0.15">
      <c r="A25" s="449" t="s">
        <v>688</v>
      </c>
      <c r="B25" s="448">
        <f>Vout/Vinmin</f>
        <v>0.83333333333333337</v>
      </c>
      <c r="C25" s="13"/>
      <c r="D25" s="13"/>
      <c r="E25" s="13"/>
      <c r="F25" s="13"/>
      <c r="G25" s="13"/>
      <c r="H25" s="106"/>
    </row>
    <row r="26" spans="1:8" x14ac:dyDescent="0.15">
      <c r="A26" s="449" t="s">
        <v>689</v>
      </c>
      <c r="B26" s="448">
        <f>1-B25</f>
        <v>0.16666666666666663</v>
      </c>
      <c r="C26" s="13"/>
      <c r="D26" s="13"/>
      <c r="E26" s="13"/>
      <c r="F26" s="13"/>
      <c r="G26" s="13"/>
      <c r="H26" s="106"/>
    </row>
    <row r="27" spans="1:8" x14ac:dyDescent="0.15">
      <c r="A27" s="449" t="s">
        <v>580</v>
      </c>
      <c r="B27" s="448">
        <f>Vout/Vinmax</f>
        <v>0.125</v>
      </c>
      <c r="C27" s="13"/>
      <c r="D27" s="13"/>
      <c r="E27" s="13"/>
      <c r="F27" s="13"/>
      <c r="G27" s="13"/>
      <c r="H27" s="106"/>
    </row>
    <row r="28" spans="1:8" x14ac:dyDescent="0.15">
      <c r="A28" s="449" t="s">
        <v>579</v>
      </c>
      <c r="B28" s="448">
        <f>1-B27</f>
        <v>0.875</v>
      </c>
      <c r="C28" s="13"/>
      <c r="D28" s="13"/>
      <c r="E28" s="13"/>
      <c r="F28" s="13"/>
      <c r="G28" s="13"/>
      <c r="H28" s="106"/>
    </row>
    <row r="29" spans="1:8" x14ac:dyDescent="0.15">
      <c r="A29" s="449"/>
      <c r="B29" s="452"/>
      <c r="C29" s="13"/>
      <c r="D29" s="13"/>
      <c r="E29" s="13"/>
      <c r="F29" s="13"/>
      <c r="G29" s="13"/>
      <c r="H29" s="106"/>
    </row>
    <row r="30" spans="1:8" x14ac:dyDescent="0.15">
      <c r="A30" s="114" t="s">
        <v>31</v>
      </c>
      <c r="B30" s="413">
        <f>(Vin-Vout)*_Don1/(Fsw*Iout*0.333)</f>
        <v>2.9195862529195865E-6</v>
      </c>
      <c r="C30" s="13" t="s">
        <v>24</v>
      </c>
      <c r="D30" s="13" t="s">
        <v>421</v>
      </c>
      <c r="E30" s="13"/>
      <c r="F30" s="13"/>
      <c r="G30" s="13"/>
      <c r="H30" s="106">
        <v>1</v>
      </c>
    </row>
    <row r="31" spans="1:8" x14ac:dyDescent="0.15">
      <c r="A31" s="105" t="s">
        <v>32</v>
      </c>
      <c r="B31" s="135">
        <f>'Design Regulator'!E17/1000000</f>
        <v>3.2999999999999997E-6</v>
      </c>
      <c r="C31" s="13" t="s">
        <v>24</v>
      </c>
      <c r="D31" s="204" t="s">
        <v>543</v>
      </c>
      <c r="E31" s="13"/>
      <c r="F31" s="13"/>
      <c r="G31" s="13"/>
      <c r="H31" s="106">
        <v>2</v>
      </c>
    </row>
    <row r="32" spans="1:8" x14ac:dyDescent="0.15">
      <c r="A32" s="105" t="s">
        <v>12</v>
      </c>
      <c r="B32" s="44">
        <f>'Design Regulator'!E18/1000</f>
        <v>6.7999999999999996E-3</v>
      </c>
      <c r="C32" s="358" t="s">
        <v>208</v>
      </c>
      <c r="D32" s="204" t="s">
        <v>419</v>
      </c>
      <c r="E32" s="13"/>
      <c r="F32" s="13"/>
      <c r="G32" s="13"/>
      <c r="H32" s="106">
        <v>1</v>
      </c>
    </row>
    <row r="33" spans="1:18" x14ac:dyDescent="0.15">
      <c r="A33" s="444"/>
      <c r="B33" s="53"/>
      <c r="C33" s="358"/>
      <c r="D33" s="204"/>
      <c r="E33" s="13"/>
      <c r="F33" s="13"/>
      <c r="G33" s="13"/>
      <c r="H33" s="106"/>
    </row>
    <row r="34" spans="1:18" x14ac:dyDescent="0.15">
      <c r="A34" s="353" t="s">
        <v>21</v>
      </c>
      <c r="B34" s="514">
        <f>(Vout+(Rdcr+RdsonBot)*Iout)/(Vin+(RdsonBot-RdsonTop)*Iout)</f>
        <v>0.42746666666666666</v>
      </c>
      <c r="C34" s="13"/>
      <c r="D34" s="133" t="s">
        <v>422</v>
      </c>
      <c r="E34" s="13"/>
      <c r="F34" s="13"/>
      <c r="G34" s="13"/>
      <c r="H34" s="106">
        <v>2</v>
      </c>
    </row>
    <row r="35" spans="1:18" x14ac:dyDescent="0.15">
      <c r="A35" s="353" t="s">
        <v>22</v>
      </c>
      <c r="B35" s="514">
        <f>1-_Don2</f>
        <v>0.57253333333333334</v>
      </c>
      <c r="C35" s="13"/>
      <c r="D35" s="133" t="s">
        <v>423</v>
      </c>
      <c r="E35" s="13"/>
      <c r="F35" s="13"/>
      <c r="G35" s="13"/>
      <c r="H35" s="106">
        <v>2</v>
      </c>
    </row>
    <row r="36" spans="1:18" x14ac:dyDescent="0.15">
      <c r="A36" s="445" t="s">
        <v>690</v>
      </c>
      <c r="B36" s="514">
        <f>(Vout+(Rdcr+RdsonBot)*Iout)/(Vinmin+(RdsonBot-RdsonTop)*Iout)</f>
        <v>0.85493333333333332</v>
      </c>
      <c r="C36" s="13"/>
      <c r="D36" s="13"/>
      <c r="E36" s="13"/>
      <c r="F36" s="13"/>
      <c r="G36" s="13"/>
      <c r="H36" s="106"/>
    </row>
    <row r="37" spans="1:18" x14ac:dyDescent="0.15">
      <c r="A37" s="445" t="s">
        <v>691</v>
      </c>
      <c r="B37" s="514">
        <f>1-B36</f>
        <v>0.14506666666666668</v>
      </c>
      <c r="C37" s="13"/>
      <c r="D37" s="13"/>
      <c r="E37" s="13"/>
      <c r="F37" s="13"/>
      <c r="G37" s="13"/>
      <c r="H37" s="106"/>
    </row>
    <row r="38" spans="1:18" x14ac:dyDescent="0.15">
      <c r="A38" s="445" t="s">
        <v>692</v>
      </c>
      <c r="B38" s="514">
        <f>(Vout+(Rdcr+RdsonBot)*Iout)/(Vinmax+(RdsonBot-RdsonTop)*Iout)</f>
        <v>0.12823999999999999</v>
      </c>
      <c r="C38" s="13"/>
      <c r="D38" s="13"/>
      <c r="E38" s="13"/>
      <c r="F38" s="13"/>
      <c r="G38" s="13"/>
      <c r="H38" s="106"/>
      <c r="L38" s="531" t="s">
        <v>741</v>
      </c>
      <c r="M38" s="532">
        <v>100</v>
      </c>
      <c r="N38" s="533">
        <v>1</v>
      </c>
    </row>
    <row r="39" spans="1:18" x14ac:dyDescent="0.15">
      <c r="A39" s="445" t="s">
        <v>693</v>
      </c>
      <c r="B39" s="514">
        <f>1-B38</f>
        <v>0.87175999999999998</v>
      </c>
      <c r="C39" s="13"/>
      <c r="D39" s="13"/>
      <c r="E39" s="13"/>
      <c r="F39" s="13"/>
      <c r="G39" s="13"/>
      <c r="H39" s="106"/>
      <c r="L39" s="531" t="s">
        <v>629</v>
      </c>
      <c r="M39" s="532">
        <v>47</v>
      </c>
      <c r="N39" s="533">
        <v>2</v>
      </c>
    </row>
    <row r="40" spans="1:18" x14ac:dyDescent="0.15">
      <c r="A40" s="449"/>
      <c r="B40" s="513"/>
      <c r="C40" s="13"/>
      <c r="D40" s="13"/>
      <c r="E40" s="13"/>
      <c r="F40" s="13"/>
      <c r="G40" s="13"/>
      <c r="H40" s="106"/>
      <c r="L40" s="531" t="s">
        <v>631</v>
      </c>
      <c r="M40" s="532">
        <v>22</v>
      </c>
      <c r="N40" s="533">
        <v>3</v>
      </c>
    </row>
    <row r="41" spans="1:18" x14ac:dyDescent="0.15">
      <c r="A41" s="105" t="s">
        <v>26</v>
      </c>
      <c r="B41" s="116">
        <f>'Design Regulator'!E30/1000</f>
        <v>0.02</v>
      </c>
      <c r="C41" s="13" t="s">
        <v>0</v>
      </c>
      <c r="D41" s="13" t="s">
        <v>27</v>
      </c>
      <c r="E41" s="13"/>
      <c r="F41" s="13"/>
      <c r="G41" s="13"/>
      <c r="H41" s="106">
        <v>1</v>
      </c>
      <c r="L41" s="531" t="s">
        <v>633</v>
      </c>
      <c r="M41" s="532">
        <v>22</v>
      </c>
      <c r="N41" s="533">
        <v>4</v>
      </c>
    </row>
    <row r="42" spans="1:18" x14ac:dyDescent="0.15">
      <c r="A42" s="117" t="s">
        <v>33</v>
      </c>
      <c r="B42" s="447">
        <f>(Vin-Vout)*_Don2/(Fsw*Lout2)</f>
        <v>3.626989898989899</v>
      </c>
      <c r="C42" s="13" t="s">
        <v>2</v>
      </c>
      <c r="D42" s="204" t="s">
        <v>544</v>
      </c>
      <c r="E42" s="13"/>
      <c r="F42" s="13"/>
      <c r="G42" s="13"/>
      <c r="H42" s="106">
        <v>1</v>
      </c>
      <c r="L42" s="486" t="s">
        <v>658</v>
      </c>
      <c r="M42" s="532">
        <v>10</v>
      </c>
      <c r="N42" s="533">
        <v>5</v>
      </c>
    </row>
    <row r="43" spans="1:18" x14ac:dyDescent="0.15">
      <c r="A43" s="117" t="s">
        <v>411</v>
      </c>
      <c r="B43" s="447">
        <f>Rdcr*(1+0.0039*(F43-25))</f>
        <v>8.7889999999999999E-3</v>
      </c>
      <c r="C43" s="53" t="s">
        <v>25</v>
      </c>
      <c r="D43" s="13"/>
      <c r="E43" s="13" t="s">
        <v>412</v>
      </c>
      <c r="F43" s="13">
        <v>100</v>
      </c>
      <c r="G43" s="13"/>
      <c r="H43" s="106"/>
      <c r="K43" s="13"/>
      <c r="L43" s="486" t="s">
        <v>659</v>
      </c>
      <c r="M43" s="566">
        <v>4.7</v>
      </c>
      <c r="N43" s="533">
        <v>6</v>
      </c>
    </row>
    <row r="44" spans="1:18" ht="13.5" thickBot="1" x14ac:dyDescent="0.2">
      <c r="A44" s="118" t="s">
        <v>356</v>
      </c>
      <c r="B44" s="119">
        <f>Lout2/Rdcr</f>
        <v>4.8529411764705881E-4</v>
      </c>
      <c r="C44" s="110" t="s">
        <v>265</v>
      </c>
      <c r="D44" s="110" t="s">
        <v>357</v>
      </c>
      <c r="E44" s="110"/>
      <c r="F44" s="110"/>
      <c r="G44" s="110"/>
      <c r="H44" s="111"/>
      <c r="L44" s="534" t="s">
        <v>715</v>
      </c>
      <c r="M44" s="535" t="str">
        <f>CHOOSE(N44,"100", "47","22","22","10", "4.7")</f>
        <v>47</v>
      </c>
      <c r="N44" s="438">
        <f>IF(Vout&lt;5, 1, IF(Vout&lt;=8, 2, IF(Vout&lt;=12, 3, IF(Vout&lt;=20, 4, IF(Vout&lt;=42, 5, 6)))))</f>
        <v>2</v>
      </c>
      <c r="Q44" s="490" t="s">
        <v>716</v>
      </c>
      <c r="R44" s="436">
        <v>1</v>
      </c>
    </row>
    <row r="45" spans="1:18" x14ac:dyDescent="0.15">
      <c r="A45" s="133"/>
      <c r="B45" s="132"/>
      <c r="C45" s="13"/>
      <c r="D45" s="13"/>
      <c r="E45" s="13"/>
      <c r="F45" s="13"/>
      <c r="G45" s="13"/>
      <c r="H45" s="13"/>
      <c r="Q45" s="490" t="s">
        <v>717</v>
      </c>
      <c r="R45" s="436">
        <v>2</v>
      </c>
    </row>
    <row r="46" spans="1:18" ht="15" thickBot="1" x14ac:dyDescent="0.2">
      <c r="A46" s="158" t="s">
        <v>275</v>
      </c>
      <c r="B46" s="132"/>
      <c r="C46" s="13"/>
      <c r="D46" s="13"/>
      <c r="E46" s="13"/>
      <c r="F46" s="13"/>
      <c r="G46" s="13"/>
      <c r="H46" s="13"/>
    </row>
    <row r="47" spans="1:18" x14ac:dyDescent="0.15">
      <c r="A47" s="162"/>
      <c r="B47" s="163"/>
      <c r="C47" s="112"/>
      <c r="D47" s="112"/>
      <c r="E47" s="112"/>
      <c r="F47" s="112"/>
      <c r="G47" s="112"/>
      <c r="H47" s="113"/>
    </row>
    <row r="48" spans="1:18" x14ac:dyDescent="0.15">
      <c r="A48" s="117"/>
      <c r="B48" s="196"/>
      <c r="C48" s="13"/>
      <c r="D48" s="13"/>
      <c r="E48" s="13"/>
      <c r="F48" s="13"/>
      <c r="G48" s="13"/>
      <c r="H48" s="106"/>
      <c r="L48" s="490" t="s">
        <v>683</v>
      </c>
      <c r="M48" s="436">
        <v>1</v>
      </c>
      <c r="N48" s="490" t="s">
        <v>680</v>
      </c>
      <c r="O48" s="77">
        <v>30</v>
      </c>
    </row>
    <row r="49" spans="1:19" x14ac:dyDescent="0.15">
      <c r="A49" s="117" t="s">
        <v>612</v>
      </c>
      <c r="B49" s="196">
        <f>'Design Regulator'!E24</f>
        <v>18</v>
      </c>
      <c r="C49" s="13"/>
      <c r="D49" s="13"/>
      <c r="E49" s="13"/>
      <c r="F49" s="13"/>
      <c r="G49" s="13"/>
      <c r="H49" s="106"/>
      <c r="L49" s="490" t="s">
        <v>684</v>
      </c>
      <c r="M49" s="436">
        <v>2</v>
      </c>
      <c r="N49" s="490" t="s">
        <v>681</v>
      </c>
      <c r="O49" s="77">
        <v>10.9</v>
      </c>
    </row>
    <row r="50" spans="1:19" x14ac:dyDescent="0.15">
      <c r="A50" s="105" t="s">
        <v>273</v>
      </c>
      <c r="B50" s="442">
        <f>'Design Regulator'!E24-Iripple1/2</f>
        <v>16.186505050505051</v>
      </c>
      <c r="C50" s="13" t="s">
        <v>2</v>
      </c>
      <c r="D50" s="204" t="s">
        <v>583</v>
      </c>
      <c r="E50" s="13"/>
      <c r="F50" s="13"/>
      <c r="G50" s="13"/>
      <c r="H50" s="106"/>
      <c r="L50" s="490" t="s">
        <v>685</v>
      </c>
      <c r="M50" s="436">
        <v>3</v>
      </c>
      <c r="N50" s="490" t="s">
        <v>687</v>
      </c>
      <c r="O50" s="77">
        <v>66</v>
      </c>
    </row>
    <row r="51" spans="1:19" x14ac:dyDescent="0.15">
      <c r="A51" s="445" t="s">
        <v>607</v>
      </c>
      <c r="B51" s="451">
        <f>ROUND('Design Regulator'!E24+Iripple1/2,0)*1.2</f>
        <v>24</v>
      </c>
      <c r="C51" s="204" t="s">
        <v>2</v>
      </c>
      <c r="D51" s="204"/>
      <c r="E51" s="13"/>
      <c r="F51" s="13"/>
      <c r="G51" s="13"/>
      <c r="H51" s="106"/>
      <c r="L51" s="490" t="s">
        <v>686</v>
      </c>
      <c r="M51" s="436">
        <v>4</v>
      </c>
      <c r="N51" s="490" t="s">
        <v>682</v>
      </c>
      <c r="O51" s="77">
        <v>150</v>
      </c>
    </row>
    <row r="52" spans="1:19" x14ac:dyDescent="0.15">
      <c r="A52" s="445"/>
      <c r="B52" s="457"/>
      <c r="C52" s="204"/>
      <c r="D52" s="204"/>
      <c r="E52" s="13"/>
      <c r="F52" s="13"/>
      <c r="G52" s="13"/>
      <c r="H52" s="106"/>
      <c r="K52" s="487" t="s">
        <v>662</v>
      </c>
      <c r="L52" s="488" t="str">
        <f>CHOOSE(M52, L48, L49, L50, L51)</f>
        <v>SON 5 x 6</v>
      </c>
      <c r="M52" s="438">
        <v>1</v>
      </c>
    </row>
    <row r="53" spans="1:19" x14ac:dyDescent="0.15">
      <c r="A53" s="353" t="s">
        <v>592</v>
      </c>
      <c r="B53" s="120">
        <v>2.0000000000000001E-4</v>
      </c>
      <c r="C53" s="13" t="s">
        <v>2</v>
      </c>
      <c r="D53" s="204" t="s">
        <v>584</v>
      </c>
      <c r="E53" s="13"/>
      <c r="F53" s="13"/>
      <c r="G53" s="13"/>
      <c r="H53" s="106"/>
    </row>
    <row r="54" spans="1:19" ht="15.75" x14ac:dyDescent="0.25">
      <c r="A54" s="445" t="s">
        <v>593</v>
      </c>
      <c r="B54" s="120">
        <v>1E-4</v>
      </c>
      <c r="C54" s="13" t="s">
        <v>2</v>
      </c>
      <c r="D54" s="204" t="s">
        <v>585</v>
      </c>
      <c r="E54" s="13"/>
      <c r="F54" s="13"/>
      <c r="G54" s="13"/>
      <c r="H54" s="106"/>
      <c r="L54" s="204" t="s">
        <v>603</v>
      </c>
      <c r="M54" s="436">
        <v>1</v>
      </c>
    </row>
    <row r="55" spans="1:19" x14ac:dyDescent="0.15">
      <c r="A55" s="353" t="s">
        <v>594</v>
      </c>
      <c r="B55" s="443">
        <f>ILimit*RdsonBot/Ilim1</f>
        <v>323.73010101010101</v>
      </c>
      <c r="C55" s="358" t="s">
        <v>208</v>
      </c>
      <c r="D55" s="204" t="s">
        <v>588</v>
      </c>
      <c r="E55" s="13"/>
      <c r="F55" s="13"/>
      <c r="G55" s="13"/>
      <c r="H55" s="106"/>
      <c r="L55" s="204" t="s">
        <v>604</v>
      </c>
      <c r="M55" s="436">
        <v>2</v>
      </c>
    </row>
    <row r="56" spans="1:19" x14ac:dyDescent="0.15">
      <c r="A56" s="353" t="s">
        <v>595</v>
      </c>
      <c r="B56" s="122">
        <f>'Standard Value Calculator'!S6</f>
        <v>324</v>
      </c>
      <c r="C56" s="358" t="s">
        <v>208</v>
      </c>
      <c r="D56" s="204" t="s">
        <v>587</v>
      </c>
      <c r="E56" s="13"/>
      <c r="F56" s="13"/>
      <c r="G56" s="13"/>
      <c r="H56" s="106"/>
      <c r="K56" s="487" t="s">
        <v>661</v>
      </c>
      <c r="L56" s="437" t="str">
        <f>CHOOSE(RDSON_sense, L54,L55)</f>
        <v>RDS(on) sensing</v>
      </c>
      <c r="M56" s="438">
        <v>1</v>
      </c>
      <c r="N56" s="203" t="s">
        <v>575</v>
      </c>
    </row>
    <row r="57" spans="1:19" x14ac:dyDescent="0.15">
      <c r="D57" s="13"/>
      <c r="E57" s="13"/>
      <c r="F57" s="13"/>
      <c r="G57" s="13"/>
      <c r="H57" s="106"/>
      <c r="L57" s="438"/>
      <c r="M57" s="203"/>
    </row>
    <row r="58" spans="1:19" x14ac:dyDescent="0.15">
      <c r="A58" s="445" t="s">
        <v>586</v>
      </c>
      <c r="B58" s="450">
        <f>'Design Regulator'!E23/1000</f>
        <v>6.0000000000000001E-3</v>
      </c>
      <c r="C58" s="358" t="s">
        <v>208</v>
      </c>
      <c r="D58" s="13"/>
      <c r="E58" s="13"/>
      <c r="F58" s="13"/>
      <c r="G58" s="13"/>
      <c r="H58" s="106"/>
      <c r="J58" s="437"/>
      <c r="L58" s="438"/>
      <c r="M58" s="203"/>
    </row>
    <row r="59" spans="1:19" x14ac:dyDescent="0.15">
      <c r="A59" s="445" t="s">
        <v>591</v>
      </c>
      <c r="B59" s="122">
        <f>ILimit*Rshunt/Ilim2</f>
        <v>971.19030303030297</v>
      </c>
      <c r="C59" s="358" t="s">
        <v>208</v>
      </c>
      <c r="D59" s="13"/>
      <c r="E59" s="13"/>
      <c r="F59" s="13"/>
      <c r="G59" s="13"/>
      <c r="H59" s="106"/>
      <c r="K59" s="486" t="s">
        <v>741</v>
      </c>
      <c r="L59" s="2" t="s">
        <v>628</v>
      </c>
      <c r="M59" s="436">
        <v>1</v>
      </c>
      <c r="Q59" s="486"/>
      <c r="R59" s="2"/>
      <c r="S59" s="436"/>
    </row>
    <row r="60" spans="1:19" x14ac:dyDescent="0.15">
      <c r="A60" s="353" t="s">
        <v>596</v>
      </c>
      <c r="B60" s="123">
        <f>'Standard Value Calculator'!S22</f>
        <v>976</v>
      </c>
      <c r="C60" s="358" t="s">
        <v>208</v>
      </c>
      <c r="D60" s="204" t="s">
        <v>587</v>
      </c>
      <c r="E60" s="13"/>
      <c r="F60" s="13"/>
      <c r="G60" s="13"/>
      <c r="H60" s="106"/>
      <c r="K60" s="486" t="s">
        <v>629</v>
      </c>
      <c r="L60" s="2" t="s">
        <v>630</v>
      </c>
      <c r="M60" s="436">
        <v>2</v>
      </c>
      <c r="Q60" s="486" t="s">
        <v>670</v>
      </c>
      <c r="R60" s="2" t="s">
        <v>630</v>
      </c>
      <c r="S60" s="436">
        <v>1</v>
      </c>
    </row>
    <row r="61" spans="1:19" x14ac:dyDescent="0.15">
      <c r="A61" s="445"/>
      <c r="B61" s="123"/>
      <c r="C61" s="358"/>
      <c r="D61" s="204"/>
      <c r="E61" s="13"/>
      <c r="F61" s="13"/>
      <c r="G61" s="13"/>
      <c r="H61" s="106"/>
      <c r="K61" s="486" t="s">
        <v>631</v>
      </c>
      <c r="L61" s="2" t="s">
        <v>632</v>
      </c>
      <c r="M61" s="436">
        <v>3</v>
      </c>
      <c r="Q61" s="486" t="s">
        <v>671</v>
      </c>
      <c r="R61" s="2" t="s">
        <v>632</v>
      </c>
      <c r="S61" s="436">
        <v>2</v>
      </c>
    </row>
    <row r="62" spans="1:19" x14ac:dyDescent="0.15">
      <c r="A62" s="353" t="s">
        <v>590</v>
      </c>
      <c r="B62" s="450">
        <f>ROUND(((1-Don_Vinmax)*Iout)^2*Rshunt,2)</f>
        <v>0.66</v>
      </c>
      <c r="C62" s="354" t="s">
        <v>208</v>
      </c>
      <c r="D62" s="13"/>
      <c r="E62" s="13"/>
      <c r="F62" s="13"/>
      <c r="G62" s="13"/>
      <c r="H62" s="106"/>
      <c r="K62" s="486" t="s">
        <v>633</v>
      </c>
      <c r="L62" s="2" t="s">
        <v>634</v>
      </c>
      <c r="M62" s="436">
        <v>4</v>
      </c>
      <c r="Q62" s="486" t="s">
        <v>672</v>
      </c>
      <c r="R62" s="2" t="s">
        <v>634</v>
      </c>
      <c r="S62" s="436">
        <v>3</v>
      </c>
    </row>
    <row r="63" spans="1:19" x14ac:dyDescent="0.15">
      <c r="A63" s="445"/>
      <c r="B63" s="450"/>
      <c r="C63" s="354"/>
      <c r="D63" s="13"/>
      <c r="E63" s="13"/>
      <c r="F63" s="13"/>
      <c r="G63" s="13"/>
      <c r="H63" s="106"/>
      <c r="K63" s="486"/>
      <c r="L63" s="2"/>
      <c r="M63" s="436"/>
      <c r="Q63" s="486"/>
      <c r="R63" s="2"/>
      <c r="S63" s="436"/>
    </row>
    <row r="64" spans="1:19" x14ac:dyDescent="0.15">
      <c r="A64" s="105" t="s">
        <v>701</v>
      </c>
      <c r="B64" s="528">
        <f>0.000000006/Rilim_Rdson_ideal - 0.000000000002</f>
        <v>1.6533957705134094E-11</v>
      </c>
      <c r="C64" s="354" t="s">
        <v>34</v>
      </c>
      <c r="D64" s="13" t="s">
        <v>705</v>
      </c>
      <c r="E64" s="13"/>
      <c r="F64" s="13"/>
      <c r="G64" s="13"/>
      <c r="H64" s="106"/>
      <c r="K64" s="486" t="s">
        <v>658</v>
      </c>
      <c r="L64" s="2" t="s">
        <v>635</v>
      </c>
      <c r="M64" s="436">
        <v>5</v>
      </c>
      <c r="Q64" s="486" t="s">
        <v>673</v>
      </c>
      <c r="R64" s="2" t="s">
        <v>635</v>
      </c>
      <c r="S64" s="436">
        <v>4</v>
      </c>
    </row>
    <row r="65" spans="1:19" x14ac:dyDescent="0.15">
      <c r="A65" s="105" t="s">
        <v>702</v>
      </c>
      <c r="B65" s="122">
        <f>'Standard Value Calculator'!S23</f>
        <v>18</v>
      </c>
      <c r="C65" s="354" t="s">
        <v>53</v>
      </c>
      <c r="D65" s="13"/>
      <c r="E65" s="13"/>
      <c r="F65" s="13"/>
      <c r="G65" s="13"/>
      <c r="H65" s="106"/>
      <c r="K65" s="486" t="s">
        <v>659</v>
      </c>
      <c r="L65" s="2" t="s">
        <v>660</v>
      </c>
      <c r="M65" s="436">
        <v>6</v>
      </c>
      <c r="Q65" s="486" t="s">
        <v>674</v>
      </c>
      <c r="R65" s="2" t="s">
        <v>660</v>
      </c>
      <c r="S65" s="436">
        <v>5</v>
      </c>
    </row>
    <row r="66" spans="1:19" ht="13.5" thickBot="1" x14ac:dyDescent="0.2">
      <c r="A66" s="109" t="s">
        <v>289</v>
      </c>
      <c r="B66" s="125" t="e">
        <f ca="1">Ics*Rset/Rdcr-Iripple1/2</f>
        <v>#NAME?</v>
      </c>
      <c r="C66" s="110" t="s">
        <v>2</v>
      </c>
      <c r="D66" s="209" t="s">
        <v>480</v>
      </c>
      <c r="E66" s="110"/>
      <c r="F66" s="110"/>
      <c r="G66" s="110"/>
      <c r="H66" s="111"/>
      <c r="K66" s="487" t="s">
        <v>636</v>
      </c>
      <c r="L66" s="488" t="str">
        <f>CHOOSE(M66,"6.3V","10V","16V","25V","50V","100V")</f>
        <v>10V</v>
      </c>
      <c r="M66" s="438">
        <f>IF(Vout&lt;5, 1, IF(Vout&lt;=8, 2, IF(Vout&lt;=12, 3, IF(Vout&lt;=20, 4,  IF(Vout&lt;=42, 5, 6)))))</f>
        <v>2</v>
      </c>
      <c r="Q66" s="487" t="s">
        <v>669</v>
      </c>
      <c r="R66" s="488" t="str">
        <f>CHOOSE(S66,"10V","16V","25V","50V","100V")</f>
        <v>50V</v>
      </c>
      <c r="S66" s="438">
        <f>IF(Vinmax&lt;=8,1,IF(Vinmax&lt;=12,2,IF(Vinmax&lt;=20,3,IF(Vinmax&lt;=42,4,5))))</f>
        <v>4</v>
      </c>
    </row>
    <row r="68" spans="1:19" ht="15" thickBot="1" x14ac:dyDescent="0.2">
      <c r="A68" s="158" t="s">
        <v>276</v>
      </c>
      <c r="B68" s="13"/>
      <c r="C68" s="13"/>
      <c r="D68" s="13"/>
      <c r="E68" s="13"/>
      <c r="F68" s="13"/>
      <c r="G68" s="13"/>
      <c r="H68" s="13"/>
    </row>
    <row r="69" spans="1:19" x14ac:dyDescent="0.15">
      <c r="A69" s="160" t="s">
        <v>284</v>
      </c>
      <c r="B69" s="509">
        <f>Iripple1/SQRT(3)/2</f>
        <v>1.0470217972649358</v>
      </c>
      <c r="C69" s="207" t="s">
        <v>2</v>
      </c>
      <c r="D69" s="207" t="s">
        <v>481</v>
      </c>
      <c r="E69" s="112"/>
      <c r="F69" s="112"/>
      <c r="G69" s="112"/>
      <c r="H69" s="113"/>
      <c r="L69" s="489" t="s">
        <v>637</v>
      </c>
      <c r="M69" s="436">
        <v>1</v>
      </c>
      <c r="N69" s="203" t="s">
        <v>638</v>
      </c>
      <c r="O69" s="77">
        <v>0.5</v>
      </c>
    </row>
    <row r="70" spans="1:19" x14ac:dyDescent="0.15">
      <c r="A70" s="114" t="s">
        <v>29</v>
      </c>
      <c r="B70" s="115">
        <f>(Iripple1/(Vripple1*Fsw*8))</f>
        <v>9.0674747474747469E-5</v>
      </c>
      <c r="C70" s="13" t="s">
        <v>34</v>
      </c>
      <c r="D70" s="13" t="s">
        <v>28</v>
      </c>
      <c r="E70" s="13"/>
      <c r="F70" s="13"/>
      <c r="G70" s="13"/>
      <c r="H70" s="106">
        <v>1</v>
      </c>
      <c r="L70" s="489" t="s">
        <v>501</v>
      </c>
      <c r="M70" s="436">
        <v>2</v>
      </c>
      <c r="N70" s="203" t="s">
        <v>639</v>
      </c>
      <c r="O70" s="77">
        <v>1.3</v>
      </c>
    </row>
    <row r="71" spans="1:19" x14ac:dyDescent="0.15">
      <c r="A71" s="105" t="s">
        <v>36</v>
      </c>
      <c r="B71" s="44">
        <f>'Design Regulator'!E32/1000000</f>
        <v>3.3E-4</v>
      </c>
      <c r="C71" s="13" t="s">
        <v>34</v>
      </c>
      <c r="D71" s="13" t="s">
        <v>35</v>
      </c>
      <c r="E71" s="13"/>
      <c r="F71" s="13"/>
      <c r="G71" s="13"/>
      <c r="H71" s="106">
        <v>1</v>
      </c>
      <c r="L71" s="489" t="s">
        <v>640</v>
      </c>
      <c r="M71" s="436">
        <v>3</v>
      </c>
      <c r="N71" s="203" t="s">
        <v>641</v>
      </c>
      <c r="O71" s="77">
        <v>2.5</v>
      </c>
    </row>
    <row r="72" spans="1:19" x14ac:dyDescent="0.15">
      <c r="A72" s="114" t="s">
        <v>114</v>
      </c>
      <c r="B72" s="448">
        <f>SQRT((Vripple1/Iripple1)^2-(1/(Fsw*Cout*8))^2)</f>
        <v>5.3019691199748652E-3</v>
      </c>
      <c r="C72" s="358" t="s">
        <v>208</v>
      </c>
      <c r="D72" s="204" t="s">
        <v>482</v>
      </c>
      <c r="E72" s="13"/>
      <c r="F72" s="13"/>
      <c r="G72" s="13"/>
      <c r="H72" s="106">
        <v>1</v>
      </c>
      <c r="L72" s="489" t="s">
        <v>642</v>
      </c>
      <c r="M72" s="436">
        <v>4</v>
      </c>
      <c r="N72" s="203" t="s">
        <v>643</v>
      </c>
      <c r="O72" s="77">
        <v>5.0999999999999996</v>
      </c>
    </row>
    <row r="73" spans="1:19" x14ac:dyDescent="0.15">
      <c r="A73" s="105" t="s">
        <v>272</v>
      </c>
      <c r="B73" s="108">
        <f>'Design Regulator'!E34/1000</f>
        <v>2E-3</v>
      </c>
      <c r="C73" s="358" t="s">
        <v>208</v>
      </c>
      <c r="D73" s="204" t="s">
        <v>483</v>
      </c>
      <c r="E73" s="13"/>
      <c r="F73" s="13"/>
      <c r="G73" s="13"/>
      <c r="H73" s="106">
        <v>1</v>
      </c>
      <c r="L73" s="489" t="s">
        <v>644</v>
      </c>
      <c r="M73" s="436">
        <v>5</v>
      </c>
      <c r="N73" s="203" t="s">
        <v>645</v>
      </c>
      <c r="O73" s="77">
        <v>8</v>
      </c>
    </row>
    <row r="74" spans="1:19" ht="13.5" thickBot="1" x14ac:dyDescent="0.2">
      <c r="A74" s="126" t="s">
        <v>363</v>
      </c>
      <c r="B74" s="508">
        <f>Iripple1*SQRT(CoutEsr^2+(1/(8*Fsw*Cout))^2)</f>
        <v>9.1005535743631724E-3</v>
      </c>
      <c r="C74" s="188" t="s">
        <v>75</v>
      </c>
      <c r="D74" s="110"/>
      <c r="E74" s="110"/>
      <c r="F74" s="110"/>
      <c r="G74" s="110"/>
      <c r="H74" s="111"/>
      <c r="K74" s="487" t="s">
        <v>646</v>
      </c>
      <c r="L74" s="488" t="str">
        <f>CHOOSE(M74,"0402","0603","0805","1206","1210")</f>
        <v>1210</v>
      </c>
      <c r="M74" s="438">
        <v>5</v>
      </c>
      <c r="N74" s="488" t="str">
        <f>CHOOSE(M74,N69,N70, N71,N72,N73)</f>
        <v>3.2 x 2.5</v>
      </c>
    </row>
    <row r="76" spans="1:19" ht="13.5" thickBot="1" x14ac:dyDescent="0.2">
      <c r="A76" s="13"/>
      <c r="B76" s="13"/>
      <c r="C76" s="13"/>
      <c r="D76" s="13"/>
      <c r="E76" s="13"/>
      <c r="F76" s="13"/>
      <c r="G76" s="13"/>
      <c r="H76" s="13"/>
    </row>
    <row r="77" spans="1:19" ht="14.25" x14ac:dyDescent="0.15">
      <c r="A77" s="174" t="s">
        <v>277</v>
      </c>
      <c r="B77" s="175"/>
      <c r="C77" s="175"/>
      <c r="D77" s="175"/>
      <c r="E77" s="175"/>
      <c r="F77" s="175"/>
      <c r="G77" s="175"/>
      <c r="H77" s="176"/>
    </row>
    <row r="78" spans="1:19" x14ac:dyDescent="0.15">
      <c r="A78" s="177" t="s">
        <v>416</v>
      </c>
      <c r="B78" s="131">
        <f>'Design Regulator'!E39/1000</f>
        <v>0.5</v>
      </c>
      <c r="C78" s="173" t="s">
        <v>75</v>
      </c>
      <c r="D78" s="13"/>
      <c r="E78" s="13"/>
      <c r="F78" s="13"/>
      <c r="G78" s="13"/>
      <c r="H78" s="178"/>
      <c r="L78" s="203" t="s">
        <v>647</v>
      </c>
      <c r="M78" s="436">
        <v>1</v>
      </c>
      <c r="N78" s="490" t="s">
        <v>648</v>
      </c>
      <c r="O78" s="77">
        <v>9</v>
      </c>
    </row>
    <row r="79" spans="1:19" x14ac:dyDescent="0.15">
      <c r="A79" s="179" t="s">
        <v>283</v>
      </c>
      <c r="B79" s="199">
        <f>Iout*SQRT(_Don2*Doff2)</f>
        <v>5.9365312969780595</v>
      </c>
      <c r="C79" s="171" t="s">
        <v>2</v>
      </c>
      <c r="D79" s="13"/>
      <c r="E79" s="13"/>
      <c r="F79" s="13"/>
      <c r="G79" s="13"/>
      <c r="H79" s="178"/>
      <c r="L79" s="203" t="s">
        <v>649</v>
      </c>
      <c r="M79" s="436">
        <v>2</v>
      </c>
      <c r="N79" s="490" t="s">
        <v>650</v>
      </c>
      <c r="O79" s="77">
        <v>16</v>
      </c>
    </row>
    <row r="80" spans="1:19" x14ac:dyDescent="0.15">
      <c r="A80" s="179" t="s">
        <v>415</v>
      </c>
      <c r="B80" s="185">
        <f>Iout*_Don2*(1-_Don2)/(Vinripple1*Fsw)</f>
        <v>2.3494935893333334E-5</v>
      </c>
      <c r="C80" s="171" t="s">
        <v>34</v>
      </c>
      <c r="D80" s="13"/>
      <c r="E80" s="13"/>
      <c r="F80" s="13"/>
      <c r="G80" s="13"/>
      <c r="H80" s="178"/>
      <c r="L80" s="203" t="s">
        <v>651</v>
      </c>
      <c r="M80" s="436">
        <v>3</v>
      </c>
      <c r="N80" s="490" t="s">
        <v>652</v>
      </c>
      <c r="O80" s="77">
        <v>25</v>
      </c>
    </row>
    <row r="81" spans="1:15" x14ac:dyDescent="0.15">
      <c r="A81" s="179" t="s">
        <v>127</v>
      </c>
      <c r="B81" s="172">
        <f>'Design Regulator'!E41/1000000</f>
        <v>2.4000000000000001E-5</v>
      </c>
      <c r="C81" s="171" t="s">
        <v>34</v>
      </c>
      <c r="D81" s="13" t="s">
        <v>287</v>
      </c>
      <c r="E81" s="13"/>
      <c r="F81" s="13"/>
      <c r="G81" s="13"/>
      <c r="H81" s="178"/>
      <c r="L81" s="203" t="s">
        <v>653</v>
      </c>
      <c r="M81" s="436">
        <v>4</v>
      </c>
      <c r="N81" s="490" t="s">
        <v>654</v>
      </c>
      <c r="O81" s="77">
        <v>36</v>
      </c>
    </row>
    <row r="82" spans="1:15" x14ac:dyDescent="0.15">
      <c r="A82" s="180" t="s">
        <v>417</v>
      </c>
      <c r="B82" s="186">
        <f>-(Iout*_Don2*(1-_Don2)/(Cin*Fsw)-Vinripple1)/(Iout+Iripple1/2)</f>
        <v>7.6173111347708296E-4</v>
      </c>
      <c r="C82" s="358" t="s">
        <v>208</v>
      </c>
      <c r="D82" s="13"/>
      <c r="E82" s="13"/>
      <c r="F82" s="13"/>
      <c r="G82" s="13"/>
      <c r="H82" s="178"/>
      <c r="L82" s="203" t="s">
        <v>655</v>
      </c>
      <c r="M82" s="436">
        <v>5</v>
      </c>
      <c r="N82" s="490" t="s">
        <v>656</v>
      </c>
      <c r="O82" s="77">
        <v>49</v>
      </c>
    </row>
    <row r="83" spans="1:15" x14ac:dyDescent="0.15">
      <c r="A83" s="179" t="s">
        <v>159</v>
      </c>
      <c r="B83" s="172">
        <f>'Design Regulator'!E43/1000</f>
        <v>3.3E-4</v>
      </c>
      <c r="C83" s="358" t="s">
        <v>208</v>
      </c>
      <c r="D83" s="204" t="s">
        <v>484</v>
      </c>
      <c r="E83" s="13"/>
      <c r="F83" s="13"/>
      <c r="G83" s="13"/>
      <c r="H83" s="178"/>
      <c r="L83" s="203" t="s">
        <v>663</v>
      </c>
      <c r="M83" s="436">
        <v>6</v>
      </c>
      <c r="N83" s="490" t="s">
        <v>664</v>
      </c>
      <c r="O83" s="77">
        <v>64</v>
      </c>
    </row>
    <row r="84" spans="1:15" x14ac:dyDescent="0.15">
      <c r="A84" s="179" t="s">
        <v>418</v>
      </c>
      <c r="B84" s="200">
        <f>Iout*_Don2*(1-_Don2)/(Cin*Fsw)+(Iout +Iripple1/2)*RCinEsr</f>
        <v>0.49403628444444447</v>
      </c>
      <c r="C84" s="171" t="s">
        <v>75</v>
      </c>
      <c r="D84" s="13"/>
      <c r="E84" s="13"/>
      <c r="F84" s="13"/>
      <c r="G84" s="13"/>
      <c r="H84" s="178"/>
      <c r="L84" s="203" t="s">
        <v>665</v>
      </c>
      <c r="M84" s="436">
        <v>7</v>
      </c>
      <c r="N84" s="490" t="s">
        <v>666</v>
      </c>
      <c r="O84" s="77">
        <v>100</v>
      </c>
    </row>
    <row r="85" spans="1:15" ht="13.5" thickBot="1" x14ac:dyDescent="0.2">
      <c r="A85" s="181"/>
      <c r="B85" s="187">
        <f>Iout*_Don1*(1-_Don1)/(Cin*Fsw)</f>
        <v>0.48611111111111099</v>
      </c>
      <c r="C85" s="182"/>
      <c r="D85" s="183"/>
      <c r="E85" s="183"/>
      <c r="F85" s="183"/>
      <c r="G85" s="183"/>
      <c r="H85" s="184"/>
      <c r="L85" s="203" t="s">
        <v>667</v>
      </c>
      <c r="M85" s="436">
        <v>8</v>
      </c>
      <c r="N85" s="490" t="s">
        <v>668</v>
      </c>
      <c r="O85" s="77">
        <v>144</v>
      </c>
    </row>
    <row r="86" spans="1:15" x14ac:dyDescent="0.15">
      <c r="A86" s="13"/>
      <c r="B86" s="13"/>
      <c r="C86" s="13"/>
      <c r="D86" s="13"/>
      <c r="E86" s="13"/>
      <c r="F86" s="13"/>
      <c r="G86" s="13"/>
      <c r="H86" s="13"/>
      <c r="K86" s="487" t="s">
        <v>657</v>
      </c>
      <c r="L86" s="488" t="str">
        <f>CHOOSE(M86,L78,L79, L80, L81, L82, L83, L84, L85)</f>
        <v>12mm x 12mm</v>
      </c>
      <c r="M86" s="438">
        <v>8</v>
      </c>
      <c r="N86" s="488" t="str">
        <f>CHOOSE(M86,N78,N79, N80,N81,N82, N83, N84, N85)</f>
        <v>12.0 x 12.0</v>
      </c>
      <c r="O86" s="488"/>
    </row>
    <row r="87" spans="1:15" ht="15" thickBot="1" x14ac:dyDescent="0.2">
      <c r="A87" s="158" t="s">
        <v>290</v>
      </c>
      <c r="B87" s="13"/>
      <c r="C87" s="13"/>
      <c r="D87" s="13"/>
      <c r="E87" s="13"/>
      <c r="F87" s="13"/>
      <c r="G87" s="13"/>
      <c r="H87" s="13"/>
    </row>
    <row r="88" spans="1:15" x14ac:dyDescent="0.15">
      <c r="A88" s="160" t="s">
        <v>292</v>
      </c>
      <c r="B88" s="21">
        <f>'Design Regulator'!E48/1000</f>
        <v>4.2000000000000006E-3</v>
      </c>
      <c r="C88" s="112" t="s">
        <v>265</v>
      </c>
      <c r="D88" s="112" t="s">
        <v>293</v>
      </c>
      <c r="E88" s="112"/>
      <c r="F88" s="112"/>
      <c r="G88" s="112"/>
      <c r="H88" s="113"/>
    </row>
    <row r="89" spans="1:15" x14ac:dyDescent="0.15">
      <c r="A89" s="105" t="s">
        <v>294</v>
      </c>
      <c r="B89" s="121">
        <f>Cout*Vout/Tss</f>
        <v>0.39285714285714279</v>
      </c>
      <c r="C89" s="13" t="s">
        <v>2</v>
      </c>
      <c r="D89" s="204" t="s">
        <v>440</v>
      </c>
      <c r="E89" s="13"/>
      <c r="F89" s="13"/>
      <c r="G89" s="13"/>
      <c r="H89" s="106"/>
    </row>
    <row r="90" spans="1:15" x14ac:dyDescent="0.15">
      <c r="A90" s="105" t="s">
        <v>295</v>
      </c>
      <c r="B90" s="128">
        <f>0.00001*Tss/0.8</f>
        <v>5.2500000000000014E-8</v>
      </c>
      <c r="C90" s="13" t="s">
        <v>34</v>
      </c>
      <c r="D90" s="13"/>
      <c r="E90" s="13"/>
      <c r="F90" s="13"/>
      <c r="G90" s="13"/>
      <c r="H90" s="106"/>
    </row>
    <row r="91" spans="1:15" ht="13.5" thickBot="1" x14ac:dyDescent="0.2">
      <c r="A91" s="109" t="s">
        <v>311</v>
      </c>
      <c r="B91" s="127">
        <f>'Standard Value Calculator'!B4</f>
        <v>5.5999999999999999E-8</v>
      </c>
      <c r="C91" s="110" t="s">
        <v>34</v>
      </c>
      <c r="D91" s="110"/>
      <c r="E91" s="110"/>
      <c r="F91" s="110"/>
      <c r="G91" s="110"/>
      <c r="H91" s="111"/>
    </row>
    <row r="93" spans="1:15" ht="15" thickBot="1" x14ac:dyDescent="0.2">
      <c r="A93" s="158" t="s">
        <v>329</v>
      </c>
      <c r="B93" s="13"/>
      <c r="C93" s="13"/>
      <c r="D93" s="13"/>
      <c r="E93" s="13"/>
      <c r="F93" s="13"/>
      <c r="G93" s="13"/>
      <c r="H93" s="13"/>
    </row>
    <row r="94" spans="1:15" x14ac:dyDescent="0.15">
      <c r="A94" s="352"/>
      <c r="B94" s="164"/>
      <c r="C94" s="207"/>
      <c r="D94" s="112"/>
      <c r="E94" s="112"/>
      <c r="F94" s="112"/>
      <c r="G94" s="112"/>
      <c r="H94" s="113"/>
    </row>
    <row r="95" spans="1:15" ht="15.75" x14ac:dyDescent="0.25">
      <c r="A95" s="353" t="s">
        <v>486</v>
      </c>
      <c r="B95" s="129">
        <f>'Design Regulator'!E50</f>
        <v>6.5</v>
      </c>
      <c r="C95" s="354" t="s">
        <v>0</v>
      </c>
      <c r="D95" s="13"/>
      <c r="E95" s="13"/>
      <c r="F95" s="13"/>
      <c r="G95" s="13"/>
      <c r="H95" s="106"/>
    </row>
    <row r="96" spans="1:15" ht="15.75" x14ac:dyDescent="0.25">
      <c r="A96" s="353" t="s">
        <v>487</v>
      </c>
      <c r="B96" s="129">
        <f>'Design Regulator'!E51</f>
        <v>6</v>
      </c>
      <c r="C96" s="354" t="s">
        <v>0</v>
      </c>
      <c r="D96" s="13"/>
      <c r="E96" s="13"/>
      <c r="F96" s="13"/>
      <c r="G96" s="13"/>
      <c r="H96" s="106"/>
    </row>
    <row r="97" spans="1:8" ht="15.75" x14ac:dyDescent="0.25">
      <c r="A97" s="353" t="s">
        <v>516</v>
      </c>
      <c r="B97" s="77">
        <f>(VINuvlo_off-VINuvlo_on*Vuvlo_off/Vuvlo_on)/(Iuvlo1*Vuvlo_off/Vuvlo_on-Iuvlo2)</f>
        <v>50</v>
      </c>
      <c r="C97" s="65" t="s">
        <v>493</v>
      </c>
      <c r="D97" s="13">
        <f>'Standard Value Calculator'!S16</f>
        <v>49.900000000000006</v>
      </c>
      <c r="E97" s="65" t="s">
        <v>493</v>
      </c>
      <c r="F97" s="129">
        <f>IF(Ruvlo1&lt;0,"N/A",D97)</f>
        <v>49.900000000000006</v>
      </c>
      <c r="G97" s="129" t="str">
        <f>IF(Ruvlo1&lt;0,"N/A",D97&amp;"kΩ")</f>
        <v>49.9kΩ</v>
      </c>
      <c r="H97" s="106"/>
    </row>
    <row r="98" spans="1:8" ht="15.75" customHeight="1" x14ac:dyDescent="0.25">
      <c r="A98" s="353" t="s">
        <v>517</v>
      </c>
      <c r="B98" s="355">
        <f>D97*Vuvlo_on/(VINuvlo_on-Vuvlo_on+Ruvlo1*Iuvlo1)</f>
        <v>11.298113207547171</v>
      </c>
      <c r="C98" s="65" t="s">
        <v>493</v>
      </c>
      <c r="D98" s="13">
        <f>'Standard Value Calculator'!S17</f>
        <v>11.3</v>
      </c>
      <c r="E98" s="65" t="s">
        <v>493</v>
      </c>
      <c r="F98" s="129">
        <f>IF(F97="N/A","N/A",D98)</f>
        <v>11.3</v>
      </c>
      <c r="G98" s="129" t="str">
        <f>IF(G97="N/A","N/A",D98&amp;"kΩ")</f>
        <v>11.3kΩ</v>
      </c>
      <c r="H98" s="106"/>
    </row>
    <row r="99" spans="1:8" ht="15.75" customHeight="1" x14ac:dyDescent="0.2">
      <c r="A99" s="353"/>
      <c r="B99" s="355"/>
      <c r="C99" s="65"/>
      <c r="D99" s="13"/>
      <c r="E99" s="65"/>
      <c r="F99" s="13"/>
      <c r="G99" s="13"/>
      <c r="H99" s="106"/>
    </row>
    <row r="100" spans="1:8" ht="15.75" customHeight="1" x14ac:dyDescent="0.25">
      <c r="A100" s="353" t="s">
        <v>494</v>
      </c>
      <c r="B100" s="355">
        <f>(D97+D98)/D98*Vuvlo_on-Iuvlo1*D97</f>
        <v>6.4991150442477865</v>
      </c>
      <c r="C100" s="65"/>
      <c r="D100" s="13"/>
      <c r="E100" s="65"/>
      <c r="F100" s="13"/>
      <c r="G100" s="13"/>
      <c r="H100" s="106"/>
    </row>
    <row r="101" spans="1:8" ht="15.75" customHeight="1" x14ac:dyDescent="0.25">
      <c r="A101" s="353" t="s">
        <v>495</v>
      </c>
      <c r="B101" s="355">
        <f>(D97+D98)/D98*Vuvlo_off-Iuvlo2*D97</f>
        <v>6.0001150442477869</v>
      </c>
      <c r="C101" s="65"/>
      <c r="D101" s="13"/>
      <c r="E101" s="65"/>
      <c r="F101" s="13"/>
      <c r="G101" s="13"/>
      <c r="H101" s="106"/>
    </row>
    <row r="102" spans="1:8" ht="15.75" customHeight="1" x14ac:dyDescent="0.2">
      <c r="A102" s="353"/>
      <c r="B102" s="355"/>
      <c r="C102" s="65"/>
      <c r="D102" s="13"/>
      <c r="E102" s="65"/>
      <c r="F102" s="13"/>
      <c r="G102" s="13"/>
      <c r="H102" s="106"/>
    </row>
    <row r="103" spans="1:8" ht="15.75" customHeight="1" x14ac:dyDescent="0.15">
      <c r="A103" s="353"/>
      <c r="B103" s="129"/>
      <c r="C103" s="13"/>
      <c r="D103" s="13"/>
      <c r="E103" s="13"/>
      <c r="F103" s="13"/>
      <c r="G103" s="13"/>
      <c r="H103" s="106"/>
    </row>
    <row r="104" spans="1:8" ht="15.75" customHeight="1" x14ac:dyDescent="0.15">
      <c r="A104" s="353" t="s">
        <v>488</v>
      </c>
      <c r="B104" s="129">
        <v>1.2</v>
      </c>
      <c r="C104" s="13"/>
      <c r="D104" s="13"/>
      <c r="E104" s="13"/>
      <c r="F104" s="13"/>
      <c r="G104" s="13"/>
      <c r="H104" s="106"/>
    </row>
    <row r="105" spans="1:8" ht="15.75" customHeight="1" x14ac:dyDescent="0.15">
      <c r="A105" s="353" t="s">
        <v>489</v>
      </c>
      <c r="B105" s="129">
        <v>1.2</v>
      </c>
      <c r="C105" s="13"/>
      <c r="D105" s="13"/>
      <c r="E105" s="13"/>
      <c r="F105" s="13"/>
      <c r="G105" s="13"/>
      <c r="H105" s="106"/>
    </row>
    <row r="106" spans="1:8" ht="15.75" customHeight="1" x14ac:dyDescent="0.15">
      <c r="A106" s="353" t="s">
        <v>489</v>
      </c>
      <c r="B106" s="129">
        <f>B104-B105</f>
        <v>0</v>
      </c>
      <c r="C106" s="13"/>
      <c r="D106" s="13"/>
      <c r="E106" s="13"/>
      <c r="F106" s="13"/>
      <c r="G106" s="13"/>
      <c r="H106" s="106"/>
    </row>
    <row r="107" spans="1:8" ht="15.75" customHeight="1" x14ac:dyDescent="0.15">
      <c r="A107" s="353" t="s">
        <v>492</v>
      </c>
      <c r="B107" s="129">
        <v>0</v>
      </c>
      <c r="C107" s="13"/>
      <c r="D107" s="13"/>
      <c r="E107" s="13"/>
      <c r="F107" s="13"/>
      <c r="G107" s="13"/>
      <c r="H107" s="106"/>
    </row>
    <row r="108" spans="1:8" ht="15.75" customHeight="1" x14ac:dyDescent="0.15">
      <c r="A108" s="353" t="s">
        <v>490</v>
      </c>
      <c r="B108" s="129">
        <v>0.01</v>
      </c>
      <c r="C108" s="13"/>
      <c r="D108" s="13"/>
      <c r="E108" s="13"/>
      <c r="F108" s="13"/>
      <c r="G108" s="13"/>
      <c r="H108" s="106"/>
    </row>
    <row r="109" spans="1:8" ht="15.75" customHeight="1" x14ac:dyDescent="0.15">
      <c r="A109" s="353" t="s">
        <v>491</v>
      </c>
      <c r="B109" s="129">
        <f>B108-B107</f>
        <v>0.01</v>
      </c>
      <c r="C109" s="13"/>
      <c r="D109" s="13"/>
      <c r="E109" s="13"/>
      <c r="F109" s="13"/>
      <c r="G109" s="13"/>
      <c r="H109" s="106"/>
    </row>
    <row r="110" spans="1:8" ht="15.75" customHeight="1" x14ac:dyDescent="0.15">
      <c r="A110" s="353"/>
      <c r="B110" s="129"/>
      <c r="C110" s="13"/>
      <c r="D110" s="13"/>
      <c r="E110" s="13"/>
      <c r="F110" s="13"/>
      <c r="G110" s="13"/>
      <c r="H110" s="106"/>
    </row>
    <row r="111" spans="1:8" ht="15.75" customHeight="1" x14ac:dyDescent="0.25">
      <c r="A111" s="105" t="s">
        <v>331</v>
      </c>
      <c r="B111" s="129"/>
      <c r="C111" s="358" t="s">
        <v>208</v>
      </c>
      <c r="D111" s="13"/>
      <c r="E111" s="13"/>
      <c r="F111" s="13"/>
      <c r="G111" s="13"/>
      <c r="H111" s="106"/>
    </row>
    <row r="112" spans="1:8" ht="15.75" customHeight="1" x14ac:dyDescent="0.25">
      <c r="A112" s="105" t="s">
        <v>332</v>
      </c>
      <c r="B112" s="129"/>
      <c r="C112" s="358" t="s">
        <v>208</v>
      </c>
      <c r="D112" s="13"/>
      <c r="E112" s="13"/>
      <c r="F112" s="13"/>
      <c r="G112" s="13"/>
      <c r="H112" s="106"/>
    </row>
    <row r="113" spans="1:8" ht="15.75" customHeight="1" x14ac:dyDescent="0.15">
      <c r="A113" s="105" t="s">
        <v>306</v>
      </c>
      <c r="B113" s="129"/>
      <c r="C113" s="358" t="s">
        <v>208</v>
      </c>
      <c r="D113" s="13"/>
      <c r="E113" s="13"/>
      <c r="F113" s="13"/>
      <c r="G113" s="13"/>
      <c r="H113" s="106"/>
    </row>
    <row r="114" spans="1:8" ht="15.75" customHeight="1" x14ac:dyDescent="0.15">
      <c r="A114" s="105" t="s">
        <v>429</v>
      </c>
      <c r="B114" s="129" t="e">
        <f ca="1">80700/(Totp+273)*398</f>
        <v>#NAME?</v>
      </c>
      <c r="C114" s="358" t="s">
        <v>208</v>
      </c>
      <c r="D114" s="13"/>
      <c r="E114" s="13"/>
      <c r="F114" s="13"/>
      <c r="G114" s="13"/>
      <c r="H114" s="106"/>
    </row>
    <row r="115" spans="1:8" ht="15.75" customHeight="1" x14ac:dyDescent="0.15">
      <c r="A115" s="105"/>
      <c r="B115" s="129"/>
      <c r="C115" s="13"/>
      <c r="D115" s="13"/>
      <c r="E115" s="13"/>
      <c r="F115" s="13"/>
      <c r="G115" s="13"/>
      <c r="H115" s="106"/>
    </row>
    <row r="116" spans="1:8" x14ac:dyDescent="0.15">
      <c r="A116" s="105"/>
      <c r="B116" s="129"/>
      <c r="C116" s="13"/>
      <c r="D116" s="13"/>
      <c r="E116" s="13"/>
      <c r="F116" s="13"/>
      <c r="G116" s="13"/>
      <c r="H116" s="106"/>
    </row>
    <row r="117" spans="1:8" x14ac:dyDescent="0.15">
      <c r="A117" s="105" t="s">
        <v>333</v>
      </c>
      <c r="B117" s="129">
        <v>100</v>
      </c>
      <c r="C117" s="204" t="s">
        <v>53</v>
      </c>
      <c r="D117" s="13"/>
      <c r="E117" s="13"/>
      <c r="F117" s="13"/>
      <c r="G117" s="13"/>
      <c r="H117" s="106"/>
    </row>
    <row r="118" spans="1:8" x14ac:dyDescent="0.15">
      <c r="A118" s="105"/>
      <c r="B118" s="129"/>
      <c r="C118" s="13"/>
      <c r="D118" s="13"/>
      <c r="E118" s="13"/>
      <c r="F118" s="13"/>
      <c r="G118" s="13"/>
      <c r="H118" s="106"/>
    </row>
    <row r="119" spans="1:8" ht="13.5" thickBot="1" x14ac:dyDescent="0.2">
      <c r="A119" s="109"/>
      <c r="B119" s="130"/>
      <c r="C119" s="110"/>
      <c r="D119" s="110"/>
      <c r="E119" s="110"/>
      <c r="F119" s="110"/>
      <c r="G119" s="110"/>
      <c r="H119" s="111"/>
    </row>
    <row r="120" spans="1:8" x14ac:dyDescent="0.15">
      <c r="B120" s="64"/>
    </row>
    <row r="121" spans="1:8" ht="15" thickBot="1" x14ac:dyDescent="0.2">
      <c r="A121" s="158" t="s">
        <v>330</v>
      </c>
      <c r="B121" s="13"/>
      <c r="C121" s="13"/>
      <c r="D121" s="13"/>
      <c r="E121" s="13"/>
      <c r="F121" s="13"/>
      <c r="G121" s="13"/>
      <c r="H121" s="13"/>
    </row>
    <row r="122" spans="1:8" x14ac:dyDescent="0.15">
      <c r="A122" s="160" t="s">
        <v>81</v>
      </c>
      <c r="B122" s="408">
        <v>10000</v>
      </c>
      <c r="C122" s="112" t="s">
        <v>49</v>
      </c>
      <c r="D122" s="207" t="s">
        <v>432</v>
      </c>
      <c r="E122" s="112"/>
      <c r="F122" s="112"/>
      <c r="G122" s="112"/>
      <c r="H122" s="113"/>
    </row>
    <row r="123" spans="1:8" x14ac:dyDescent="0.15">
      <c r="A123" s="105" t="s">
        <v>82</v>
      </c>
      <c r="B123" s="108">
        <v>5000000</v>
      </c>
      <c r="C123" s="13" t="s">
        <v>10</v>
      </c>
      <c r="D123" s="204" t="s">
        <v>433</v>
      </c>
      <c r="E123" s="13"/>
      <c r="F123" s="13"/>
      <c r="G123" s="13"/>
      <c r="H123" s="106"/>
    </row>
    <row r="124" spans="1:8" x14ac:dyDescent="0.15">
      <c r="A124" s="353" t="s">
        <v>545</v>
      </c>
      <c r="B124" s="169">
        <f>'Design Regulator'!E60*1000</f>
        <v>30000</v>
      </c>
      <c r="C124" s="204" t="s">
        <v>10</v>
      </c>
      <c r="D124" s="13"/>
      <c r="E124" s="13"/>
      <c r="F124" s="13"/>
      <c r="G124" s="13"/>
      <c r="H124" s="106"/>
    </row>
    <row r="125" spans="1:8" x14ac:dyDescent="0.15">
      <c r="A125" s="105" t="s">
        <v>51</v>
      </c>
      <c r="B125" s="170">
        <f>Fcross/Fo/15</f>
        <v>0.41233323154012796</v>
      </c>
      <c r="C125" s="13" t="s">
        <v>49</v>
      </c>
      <c r="D125" s="204" t="s">
        <v>439</v>
      </c>
      <c r="E125" s="13"/>
      <c r="F125" s="13"/>
      <c r="G125" s="13"/>
      <c r="H125" s="106">
        <v>1</v>
      </c>
    </row>
    <row r="126" spans="1:8" x14ac:dyDescent="0.15">
      <c r="A126" s="105" t="s">
        <v>52</v>
      </c>
      <c r="B126" s="131">
        <f>'Design Regulator'!E62*1000</f>
        <v>20000</v>
      </c>
      <c r="C126" s="358" t="s">
        <v>208</v>
      </c>
      <c r="D126" s="13" t="s">
        <v>260</v>
      </c>
      <c r="E126" s="13"/>
      <c r="F126" s="13"/>
      <c r="G126" s="13"/>
      <c r="H126" s="106">
        <v>1</v>
      </c>
    </row>
    <row r="127" spans="1:8" x14ac:dyDescent="0.15">
      <c r="A127" s="117" t="s">
        <v>77</v>
      </c>
      <c r="B127" s="411">
        <f>IF(Vout=Vref,100000000,Vref/((Vout-Vref)/_Rfb1))</f>
        <v>3809.5238095238096</v>
      </c>
      <c r="C127" s="358" t="s">
        <v>208</v>
      </c>
      <c r="D127" s="204" t="s">
        <v>707</v>
      </c>
      <c r="E127" s="13"/>
      <c r="F127" s="13"/>
      <c r="G127" s="13"/>
      <c r="H127" s="106"/>
    </row>
    <row r="128" spans="1:8" x14ac:dyDescent="0.15">
      <c r="A128" s="105" t="s">
        <v>271</v>
      </c>
      <c r="B128" s="121">
        <f>IF(Vout=Vref,"N/A",'Standard Value Calculator'!S11)</f>
        <v>3830</v>
      </c>
      <c r="C128" s="358" t="s">
        <v>208</v>
      </c>
      <c r="D128" s="204" t="s">
        <v>706</v>
      </c>
      <c r="E128" s="13"/>
      <c r="F128" s="13"/>
      <c r="G128" s="13"/>
      <c r="H128" s="106"/>
    </row>
    <row r="129" spans="1:8" x14ac:dyDescent="0.15">
      <c r="A129" s="444" t="s">
        <v>698</v>
      </c>
      <c r="B129" s="526">
        <f>0.8/Rfb2_u*(Rfb2_u+_Rfb1)</f>
        <v>4.9775456919060055</v>
      </c>
      <c r="C129" s="13" t="s">
        <v>0</v>
      </c>
      <c r="D129" s="354" t="s">
        <v>699</v>
      </c>
      <c r="E129" s="13"/>
      <c r="F129" s="13"/>
      <c r="G129" s="13"/>
      <c r="H129" s="106"/>
    </row>
    <row r="130" spans="1:8" x14ac:dyDescent="0.15">
      <c r="A130" s="444"/>
      <c r="B130" s="53"/>
      <c r="C130" s="358"/>
      <c r="D130" s="204"/>
      <c r="E130" s="13"/>
      <c r="F130" s="13"/>
      <c r="G130" s="13"/>
      <c r="H130" s="106"/>
    </row>
    <row r="131" spans="1:8" x14ac:dyDescent="0.15">
      <c r="A131" s="114" t="s">
        <v>74</v>
      </c>
      <c r="B131" s="448">
        <f>Vin/15</f>
        <v>0.8</v>
      </c>
      <c r="C131" s="13" t="s">
        <v>75</v>
      </c>
      <c r="D131" s="204" t="s">
        <v>562</v>
      </c>
      <c r="E131" s="13"/>
      <c r="F131" s="13"/>
      <c r="G131" s="13"/>
      <c r="H131" s="106"/>
    </row>
    <row r="132" spans="1:8" x14ac:dyDescent="0.15">
      <c r="A132" s="114" t="s">
        <v>58</v>
      </c>
      <c r="B132" s="412">
        <f>Kmidband*_Rfb1</f>
        <v>8246.6646308025593</v>
      </c>
      <c r="C132" s="358" t="s">
        <v>208</v>
      </c>
      <c r="D132" s="204" t="s">
        <v>431</v>
      </c>
      <c r="E132" s="13"/>
      <c r="F132" s="13"/>
      <c r="G132" s="13"/>
      <c r="H132" s="106">
        <v>1</v>
      </c>
    </row>
    <row r="133" spans="1:8" x14ac:dyDescent="0.15">
      <c r="A133" s="114" t="s">
        <v>54</v>
      </c>
      <c r="B133" s="413">
        <f>1/(Rcea1*('Design Regulator'!E66*1000)*2*Pi)</f>
        <v>8.041379474764067E-9</v>
      </c>
      <c r="C133" s="13" t="s">
        <v>34</v>
      </c>
      <c r="D133" s="13" t="s">
        <v>261</v>
      </c>
      <c r="E133" s="13"/>
      <c r="F133" s="13"/>
      <c r="G133" s="13"/>
      <c r="H133" s="106">
        <v>1</v>
      </c>
    </row>
    <row r="134" spans="1:8" x14ac:dyDescent="0.15">
      <c r="A134" s="114" t="s">
        <v>55</v>
      </c>
      <c r="B134" s="413">
        <f>1/((Rcea1*2*Pi*'Design Regulator'!E69*1000)-1/Cc1ea)</f>
        <v>1.5741689020745319E-10</v>
      </c>
      <c r="C134" s="13" t="s">
        <v>34</v>
      </c>
      <c r="D134" s="13"/>
      <c r="E134" s="13"/>
      <c r="F134" s="13"/>
      <c r="G134" s="13"/>
      <c r="H134" s="106">
        <v>1</v>
      </c>
    </row>
    <row r="135" spans="1:8" x14ac:dyDescent="0.15">
      <c r="A135" s="114" t="s">
        <v>56</v>
      </c>
      <c r="B135" s="411">
        <f>(1/(1000*2*Pi*'Design Regulator'!E68))*_Rfb1/(1/('Design Regulator'!E67*1000*2*Pi)-(1/(1000*2*Pi*'Design Regulator'!E68)))</f>
        <v>408.16326530612247</v>
      </c>
      <c r="C135" s="358" t="s">
        <v>208</v>
      </c>
      <c r="D135" s="13"/>
      <c r="E135" s="13"/>
      <c r="F135" s="13"/>
      <c r="G135" s="13"/>
      <c r="H135" s="106">
        <v>1</v>
      </c>
    </row>
    <row r="136" spans="1:8" x14ac:dyDescent="0.15">
      <c r="A136" s="114" t="s">
        <v>57</v>
      </c>
      <c r="B136" s="413">
        <f>(1/(1000*2*Pi*'Design Regulator'!E68))/Rcea2</f>
        <v>1.624706712586263E-9</v>
      </c>
      <c r="C136" s="13" t="s">
        <v>34</v>
      </c>
      <c r="D136" s="13"/>
      <c r="E136" s="13"/>
      <c r="F136" s="13"/>
      <c r="G136" s="13"/>
      <c r="H136" s="106">
        <v>1</v>
      </c>
    </row>
    <row r="137" spans="1:8" x14ac:dyDescent="0.15">
      <c r="A137" s="114"/>
      <c r="B137" s="132"/>
      <c r="C137" s="13"/>
      <c r="D137" s="13"/>
      <c r="E137" s="13"/>
      <c r="F137" s="13"/>
      <c r="G137" s="13"/>
      <c r="H137" s="106"/>
    </row>
    <row r="138" spans="1:8" x14ac:dyDescent="0.15">
      <c r="A138" s="117" t="s">
        <v>383</v>
      </c>
      <c r="B138" s="13"/>
      <c r="C138" s="13"/>
      <c r="D138" s="13"/>
      <c r="E138" s="13"/>
      <c r="F138" s="13"/>
      <c r="G138" s="13"/>
      <c r="H138" s="106"/>
    </row>
    <row r="139" spans="1:8" x14ac:dyDescent="0.15">
      <c r="A139" s="105" t="s">
        <v>59</v>
      </c>
      <c r="B139" s="197">
        <f>'Design Regulator'!D73*1000</f>
        <v>8250</v>
      </c>
      <c r="C139" s="358" t="s">
        <v>208</v>
      </c>
      <c r="D139" s="13"/>
      <c r="E139" s="13"/>
      <c r="F139" s="13"/>
      <c r="G139" s="13"/>
      <c r="H139" s="106">
        <v>2</v>
      </c>
    </row>
    <row r="140" spans="1:8" x14ac:dyDescent="0.15">
      <c r="A140" s="105" t="s">
        <v>60</v>
      </c>
      <c r="B140" s="124">
        <f>'Design Regulator'!D74*0.000000000001</f>
        <v>8.2000000000000006E-9</v>
      </c>
      <c r="C140" s="13" t="s">
        <v>34</v>
      </c>
      <c r="D140" s="13"/>
      <c r="E140" s="13"/>
      <c r="F140" s="13"/>
      <c r="G140" s="13"/>
      <c r="H140" s="106">
        <v>2</v>
      </c>
    </row>
    <row r="141" spans="1:8" x14ac:dyDescent="0.15">
      <c r="A141" s="105" t="s">
        <v>61</v>
      </c>
      <c r="B141" s="124">
        <f>'Design Regulator'!D75*0.000000000001</f>
        <v>1.5E-10</v>
      </c>
      <c r="C141" s="13" t="s">
        <v>34</v>
      </c>
      <c r="D141" s="13"/>
      <c r="E141" s="13"/>
      <c r="F141" s="13"/>
      <c r="G141" s="13"/>
      <c r="H141" s="106">
        <v>2</v>
      </c>
    </row>
    <row r="142" spans="1:8" x14ac:dyDescent="0.15">
      <c r="A142" s="105" t="s">
        <v>62</v>
      </c>
      <c r="B142" s="197">
        <f>'Design Regulator'!D76</f>
        <v>412</v>
      </c>
      <c r="C142" s="358" t="s">
        <v>208</v>
      </c>
      <c r="D142" s="13"/>
      <c r="E142" s="13"/>
      <c r="F142" s="13"/>
      <c r="G142" s="13"/>
      <c r="H142" s="106">
        <v>2</v>
      </c>
    </row>
    <row r="143" spans="1:8" x14ac:dyDescent="0.15">
      <c r="A143" s="105" t="s">
        <v>63</v>
      </c>
      <c r="B143" s="124">
        <f>'Design Regulator'!D77*0.000000000001</f>
        <v>1.5E-9</v>
      </c>
      <c r="C143" s="13" t="s">
        <v>34</v>
      </c>
      <c r="D143" s="13"/>
      <c r="E143" s="13"/>
      <c r="F143" s="13"/>
      <c r="G143" s="13"/>
      <c r="H143" s="106">
        <v>2</v>
      </c>
    </row>
    <row r="144" spans="1:8" x14ac:dyDescent="0.15">
      <c r="A144" s="105"/>
      <c r="B144" s="13"/>
      <c r="C144" s="13"/>
      <c r="D144" s="13"/>
      <c r="E144" s="13"/>
      <c r="F144" s="13"/>
      <c r="G144" s="13"/>
      <c r="H144" s="106"/>
    </row>
    <row r="145" spans="1:8" x14ac:dyDescent="0.15">
      <c r="A145" s="117" t="s">
        <v>344</v>
      </c>
      <c r="B145" s="13"/>
      <c r="C145" s="13"/>
      <c r="D145" s="13">
        <f>Cout</f>
        <v>3.3E-4</v>
      </c>
      <c r="E145" s="13">
        <f>CoutEsr</f>
        <v>2E-3</v>
      </c>
      <c r="F145" s="13"/>
      <c r="G145" s="13"/>
      <c r="H145" s="106"/>
    </row>
    <row r="146" spans="1:8" x14ac:dyDescent="0.15">
      <c r="A146" s="114" t="s">
        <v>39</v>
      </c>
      <c r="B146" s="479">
        <f>SQRT((Rfets+Rdcr+Ro)/(Cout*Lout2*(CoutEsr+Ro)))/(2*Pi)</f>
        <v>4850.4458215256936</v>
      </c>
      <c r="C146" s="13" t="s">
        <v>10</v>
      </c>
      <c r="D146" s="13" t="s">
        <v>40</v>
      </c>
      <c r="E146" s="13"/>
      <c r="F146" s="13"/>
      <c r="G146" s="13"/>
      <c r="H146" s="106"/>
    </row>
    <row r="147" spans="1:8" x14ac:dyDescent="0.15">
      <c r="A147" s="114" t="s">
        <v>42</v>
      </c>
      <c r="B147" s="480">
        <f>(Rfets+Rdcr+Ro)/(Lout2+Cout*(Rdcr+Rfets)*(CoutEsr+Ro)+Cout*CoutEsr*Ro)/(Fo*2*Pi)</f>
        <v>3.0778238490770304</v>
      </c>
      <c r="C147" s="13" t="s">
        <v>49</v>
      </c>
      <c r="D147" s="13" t="s">
        <v>43</v>
      </c>
      <c r="E147" s="13"/>
      <c r="F147" s="13"/>
      <c r="G147" s="13"/>
      <c r="H147" s="106"/>
    </row>
    <row r="148" spans="1:8" x14ac:dyDescent="0.15">
      <c r="A148" s="114" t="s">
        <v>41</v>
      </c>
      <c r="B148" s="479">
        <f>1/(2*Pi*Cout*CoutEsr)</f>
        <v>241143.85344508541</v>
      </c>
      <c r="C148" s="13" t="s">
        <v>10</v>
      </c>
      <c r="D148" s="204" t="s">
        <v>434</v>
      </c>
      <c r="E148" s="13"/>
      <c r="F148" s="13"/>
      <c r="G148" s="13"/>
      <c r="H148" s="106"/>
    </row>
    <row r="149" spans="1:8" x14ac:dyDescent="0.15">
      <c r="A149" s="114" t="s">
        <v>64</v>
      </c>
      <c r="B149" s="479">
        <f>1/(2*Pi*Rcea1_u*Cc1ea_u)</f>
        <v>2352.6229604398577</v>
      </c>
      <c r="C149" s="13" t="s">
        <v>10</v>
      </c>
      <c r="D149" s="204" t="s">
        <v>547</v>
      </c>
      <c r="E149" s="13"/>
      <c r="F149" s="13"/>
      <c r="G149" s="13"/>
      <c r="H149" s="106"/>
    </row>
    <row r="150" spans="1:8" x14ac:dyDescent="0.15">
      <c r="A150" s="114" t="s">
        <v>65</v>
      </c>
      <c r="B150" s="479">
        <f>1/(2*Pi*Cc3ea_u*(_Rfb1+Rcea2_u))</f>
        <v>5198.0842404388386</v>
      </c>
      <c r="C150" s="13" t="s">
        <v>10</v>
      </c>
      <c r="D150" s="204" t="s">
        <v>547</v>
      </c>
      <c r="E150" s="13"/>
      <c r="F150" s="13"/>
      <c r="G150" s="13"/>
      <c r="H150" s="106"/>
    </row>
    <row r="151" spans="1:8" x14ac:dyDescent="0.15">
      <c r="A151" s="114" t="s">
        <v>66</v>
      </c>
      <c r="B151" s="479">
        <f>1/(2*Pi*Rcea2_u*Cc3ea_u)</f>
        <v>257532.27066950873</v>
      </c>
      <c r="C151" s="13" t="s">
        <v>10</v>
      </c>
      <c r="D151" s="13" t="s">
        <v>263</v>
      </c>
      <c r="E151" s="13"/>
      <c r="F151" s="13"/>
      <c r="G151" s="13"/>
      <c r="H151" s="106"/>
    </row>
    <row r="152" spans="1:8" x14ac:dyDescent="0.15">
      <c r="A152" s="114" t="s">
        <v>67</v>
      </c>
      <c r="B152" s="479">
        <f>1/(2*Pi*Rcea1_u*(Cc1ea_u*Cc2ea_u/(Cc1ea_u+Cc2ea_u)))</f>
        <v>130962.67813115206</v>
      </c>
      <c r="C152" s="13" t="s">
        <v>10</v>
      </c>
      <c r="D152" s="13" t="s">
        <v>262</v>
      </c>
      <c r="E152" s="13"/>
      <c r="F152" s="13"/>
      <c r="G152" s="13"/>
      <c r="H152" s="106"/>
    </row>
    <row r="153" spans="1:8" x14ac:dyDescent="0.15">
      <c r="A153" s="114" t="s">
        <v>80</v>
      </c>
      <c r="B153" s="480">
        <f>Vout/(Iout+Vref/_Rfb2)</f>
        <v>0.41665937512760198</v>
      </c>
      <c r="C153" s="13"/>
      <c r="D153" s="204" t="s">
        <v>546</v>
      </c>
      <c r="E153" s="13"/>
      <c r="F153" s="13"/>
      <c r="G153" s="13"/>
      <c r="H153" s="106"/>
    </row>
    <row r="154" spans="1:8" x14ac:dyDescent="0.15">
      <c r="A154" s="114" t="s">
        <v>70</v>
      </c>
      <c r="B154" s="480">
        <v>3.1415926500000002</v>
      </c>
      <c r="C154" s="13"/>
      <c r="D154" s="13" t="s">
        <v>264</v>
      </c>
      <c r="E154" s="13"/>
      <c r="F154" s="13"/>
      <c r="G154" s="13"/>
      <c r="H154" s="106"/>
    </row>
    <row r="155" spans="1:8" x14ac:dyDescent="0.15">
      <c r="A155" s="114" t="s">
        <v>328</v>
      </c>
      <c r="B155" s="132"/>
      <c r="C155" s="13"/>
      <c r="D155" s="13"/>
      <c r="E155" s="13"/>
      <c r="F155" s="13"/>
      <c r="G155" s="13"/>
      <c r="H155" s="106"/>
    </row>
    <row r="156" spans="1:8" x14ac:dyDescent="0.15">
      <c r="A156" s="114" t="s">
        <v>337</v>
      </c>
      <c r="B156" s="132">
        <v>0</v>
      </c>
      <c r="C156" s="358" t="s">
        <v>208</v>
      </c>
      <c r="D156" s="204" t="s">
        <v>542</v>
      </c>
      <c r="E156" s="13"/>
      <c r="F156" s="13"/>
      <c r="G156" s="13">
        <f>_Don2*RdsonTop+Doff2*RdsonBot+B161*Vin^2*Fsw/2/(((Iripple1/SQRT(3))^2))</f>
        <v>2.4524428447547261E-2</v>
      </c>
      <c r="H156" s="106"/>
    </row>
    <row r="157" spans="1:8" x14ac:dyDescent="0.15">
      <c r="A157" s="105"/>
      <c r="B157" s="13"/>
      <c r="C157" s="13"/>
      <c r="D157" s="13"/>
      <c r="E157" s="13"/>
      <c r="F157" s="13"/>
      <c r="G157" s="13"/>
      <c r="H157" s="106"/>
    </row>
    <row r="158" spans="1:8" x14ac:dyDescent="0.15">
      <c r="A158" s="114" t="s">
        <v>340</v>
      </c>
      <c r="B158" s="133">
        <f>0.00000002*Fsw*0.6*4/Iripple1</f>
        <v>3.3085286516353267E-3</v>
      </c>
      <c r="C158" s="13"/>
      <c r="D158" s="133"/>
      <c r="E158" s="13"/>
      <c r="F158" s="13"/>
      <c r="G158" s="13"/>
      <c r="H158" s="106"/>
    </row>
    <row r="159" spans="1:8" x14ac:dyDescent="0.15">
      <c r="A159" s="114" t="s">
        <v>339</v>
      </c>
      <c r="B159" s="133">
        <f>_Don2*RdsonTop+Doff2*RdsonBot</f>
        <v>4.0000000000000001E-3</v>
      </c>
      <c r="C159" s="13"/>
      <c r="D159" s="133"/>
      <c r="E159" s="13"/>
      <c r="F159" s="13"/>
      <c r="G159" s="13"/>
      <c r="H159" s="106"/>
    </row>
    <row r="160" spans="1:8" x14ac:dyDescent="0.15">
      <c r="A160" s="114" t="s">
        <v>338</v>
      </c>
      <c r="B160" s="133">
        <f>B161*Vin^2*Fsw/2/(((Iripple1/SQRT(3))^2))</f>
        <v>2.052442844754726E-2</v>
      </c>
      <c r="C160" s="13"/>
      <c r="D160" s="133"/>
      <c r="E160" s="13"/>
      <c r="F160" s="13"/>
      <c r="G160" s="13"/>
      <c r="H160" s="106"/>
    </row>
    <row r="161" spans="1:8" ht="13.5" thickBot="1" x14ac:dyDescent="0.2">
      <c r="A161" s="126" t="s">
        <v>341</v>
      </c>
      <c r="B161" s="134">
        <v>5.0000000000000001E-9</v>
      </c>
      <c r="C161" s="110"/>
      <c r="D161" s="134"/>
      <c r="E161" s="110"/>
      <c r="F161" s="110"/>
      <c r="G161" s="110"/>
      <c r="H161" s="111"/>
    </row>
    <row r="162" spans="1:8" x14ac:dyDescent="0.15">
      <c r="A162" s="1"/>
      <c r="B162" s="74"/>
      <c r="D162" s="74"/>
    </row>
    <row r="163" spans="1:8" x14ac:dyDescent="0.15">
      <c r="A163" s="1"/>
      <c r="B163" s="74"/>
      <c r="D163" s="74"/>
    </row>
    <row r="164" spans="1:8" ht="15" thickBot="1" x14ac:dyDescent="0.2">
      <c r="A164" s="165" t="s">
        <v>362</v>
      </c>
      <c r="B164" s="13"/>
      <c r="C164" s="13"/>
      <c r="D164" s="13"/>
      <c r="E164" s="13"/>
      <c r="F164" s="13"/>
      <c r="G164" s="13"/>
      <c r="H164" s="13"/>
    </row>
    <row r="165" spans="1:8" x14ac:dyDescent="0.15">
      <c r="A165" s="160"/>
      <c r="B165" s="112"/>
      <c r="C165" s="112"/>
      <c r="D165" s="112"/>
      <c r="E165" s="112"/>
      <c r="F165" s="112"/>
      <c r="G165" s="112"/>
      <c r="H165" s="113"/>
    </row>
    <row r="166" spans="1:8" x14ac:dyDescent="0.15">
      <c r="A166" s="117" t="s">
        <v>125</v>
      </c>
      <c r="B166" s="13"/>
      <c r="C166" s="13"/>
      <c r="D166" s="13"/>
      <c r="E166" s="13"/>
      <c r="F166" s="13"/>
      <c r="G166" s="13"/>
      <c r="H166" s="106"/>
    </row>
    <row r="167" spans="1:8" x14ac:dyDescent="0.15">
      <c r="A167" s="105" t="s">
        <v>156</v>
      </c>
      <c r="B167" s="44">
        <v>25</v>
      </c>
      <c r="C167" s="13"/>
      <c r="D167" s="13" t="s">
        <v>175</v>
      </c>
      <c r="E167" s="13"/>
      <c r="F167" s="13"/>
      <c r="G167" s="13"/>
      <c r="H167" s="106"/>
    </row>
    <row r="168" spans="1:8" ht="14.25" x14ac:dyDescent="0.15">
      <c r="A168" s="543" t="s">
        <v>128</v>
      </c>
      <c r="B168" s="13"/>
      <c r="C168" s="13"/>
      <c r="D168" s="13"/>
      <c r="E168" s="13"/>
      <c r="F168" s="13"/>
      <c r="G168" s="13"/>
      <c r="H168" s="106"/>
    </row>
    <row r="169" spans="1:8" x14ac:dyDescent="0.15">
      <c r="A169" s="105" t="s">
        <v>155</v>
      </c>
      <c r="B169" s="108">
        <f>4000/1000000</f>
        <v>4.0000000000000001E-3</v>
      </c>
      <c r="C169" s="204" t="s">
        <v>563</v>
      </c>
      <c r="D169" s="13" t="s">
        <v>176</v>
      </c>
      <c r="E169" s="13"/>
      <c r="F169" s="13"/>
      <c r="G169" s="13"/>
      <c r="H169" s="106"/>
    </row>
    <row r="170" spans="1:8" x14ac:dyDescent="0.15">
      <c r="A170" s="105" t="s">
        <v>250</v>
      </c>
      <c r="B170" s="108">
        <v>20</v>
      </c>
      <c r="C170" s="354" t="s">
        <v>381</v>
      </c>
      <c r="D170" s="13" t="s">
        <v>251</v>
      </c>
      <c r="E170" s="13"/>
      <c r="F170" s="13"/>
      <c r="G170" s="13"/>
      <c r="H170" s="106"/>
    </row>
    <row r="171" spans="1:8" x14ac:dyDescent="0.15">
      <c r="A171" s="105" t="s">
        <v>159</v>
      </c>
      <c r="B171" s="44">
        <f>RCinEsr</f>
        <v>3.3E-4</v>
      </c>
      <c r="C171" s="358" t="s">
        <v>208</v>
      </c>
      <c r="D171" s="13" t="s">
        <v>178</v>
      </c>
      <c r="E171" s="13"/>
      <c r="F171" s="13"/>
      <c r="G171" s="13"/>
      <c r="H171" s="106"/>
    </row>
    <row r="172" spans="1:8" x14ac:dyDescent="0.15">
      <c r="A172" s="114" t="s">
        <v>268</v>
      </c>
      <c r="B172" s="13"/>
      <c r="C172" s="13"/>
      <c r="D172" s="13"/>
      <c r="E172" s="13"/>
      <c r="F172" s="13"/>
      <c r="G172" s="13"/>
      <c r="H172" s="106"/>
    </row>
    <row r="173" spans="1:8" x14ac:dyDescent="0.15">
      <c r="A173" s="353" t="s">
        <v>619</v>
      </c>
      <c r="B173" s="108">
        <v>7.5</v>
      </c>
      <c r="C173" s="13"/>
      <c r="D173" s="13"/>
      <c r="E173" s="13"/>
      <c r="F173" s="13"/>
      <c r="G173" s="13"/>
      <c r="H173" s="106"/>
    </row>
    <row r="174" spans="1:8" x14ac:dyDescent="0.15">
      <c r="A174" s="117" t="s">
        <v>202</v>
      </c>
      <c r="B174" s="13"/>
      <c r="C174" s="13"/>
      <c r="D174" s="13"/>
      <c r="E174" s="13"/>
      <c r="F174" s="13"/>
      <c r="G174" s="13"/>
      <c r="H174" s="106"/>
    </row>
    <row r="175" spans="1:8" x14ac:dyDescent="0.15">
      <c r="A175" s="105" t="s">
        <v>132</v>
      </c>
      <c r="B175" s="108">
        <v>1</v>
      </c>
      <c r="C175" s="358" t="s">
        <v>208</v>
      </c>
      <c r="D175" s="13" t="s">
        <v>204</v>
      </c>
      <c r="E175" s="13"/>
      <c r="F175" s="13"/>
      <c r="G175" s="13"/>
      <c r="H175" s="106"/>
    </row>
    <row r="176" spans="1:8" x14ac:dyDescent="0.15">
      <c r="A176" s="105" t="s">
        <v>239</v>
      </c>
      <c r="B176" s="108">
        <v>0.9</v>
      </c>
      <c r="C176" s="358" t="s">
        <v>208</v>
      </c>
      <c r="D176" s="13" t="s">
        <v>205</v>
      </c>
      <c r="E176" s="13"/>
      <c r="F176" s="13"/>
      <c r="G176" s="13"/>
      <c r="H176" s="106"/>
    </row>
    <row r="177" spans="1:8" x14ac:dyDescent="0.15">
      <c r="A177" s="117" t="s">
        <v>203</v>
      </c>
      <c r="B177" s="13"/>
      <c r="C177" s="13"/>
      <c r="D177" s="13"/>
      <c r="E177" s="13"/>
      <c r="F177" s="13"/>
      <c r="G177" s="13"/>
      <c r="H177" s="106"/>
    </row>
    <row r="178" spans="1:8" x14ac:dyDescent="0.15">
      <c r="A178" s="105" t="s">
        <v>131</v>
      </c>
      <c r="B178" s="189">
        <v>1</v>
      </c>
      <c r="C178" s="358" t="s">
        <v>208</v>
      </c>
      <c r="D178" s="13" t="s">
        <v>204</v>
      </c>
      <c r="E178" s="13"/>
      <c r="F178" s="13"/>
      <c r="G178" s="13"/>
      <c r="H178" s="106"/>
    </row>
    <row r="179" spans="1:8" x14ac:dyDescent="0.15">
      <c r="A179" s="105" t="s">
        <v>238</v>
      </c>
      <c r="B179" s="108">
        <v>0.9</v>
      </c>
      <c r="C179" s="358" t="s">
        <v>208</v>
      </c>
      <c r="D179" s="13" t="s">
        <v>205</v>
      </c>
      <c r="E179" s="13"/>
      <c r="F179" s="13"/>
      <c r="G179" s="13"/>
      <c r="H179" s="106"/>
    </row>
    <row r="180" spans="1:8" x14ac:dyDescent="0.15">
      <c r="A180" s="117" t="s">
        <v>133</v>
      </c>
      <c r="B180" s="13"/>
      <c r="C180" s="13"/>
      <c r="D180" s="13" t="s">
        <v>199</v>
      </c>
      <c r="E180" s="13"/>
      <c r="F180" s="13"/>
      <c r="G180" s="13"/>
      <c r="H180" s="106"/>
    </row>
    <row r="181" spans="1:8" x14ac:dyDescent="0.15">
      <c r="A181" s="105" t="s">
        <v>133</v>
      </c>
      <c r="B181" s="120">
        <v>2.9999999999999997E-8</v>
      </c>
      <c r="C181" s="13" t="s">
        <v>265</v>
      </c>
      <c r="D181" s="13" t="s">
        <v>179</v>
      </c>
      <c r="E181" s="13"/>
      <c r="F181" s="13"/>
      <c r="G181" s="13"/>
      <c r="H181" s="106"/>
    </row>
    <row r="182" spans="1:8" x14ac:dyDescent="0.15">
      <c r="A182" s="117" t="s">
        <v>119</v>
      </c>
      <c r="B182" s="13"/>
      <c r="C182" s="13"/>
      <c r="D182" s="13"/>
      <c r="E182" s="13"/>
      <c r="F182" s="13"/>
      <c r="G182" s="13"/>
      <c r="H182" s="106"/>
    </row>
    <row r="183" spans="1:8" x14ac:dyDescent="0.15">
      <c r="A183" s="105" t="s">
        <v>249</v>
      </c>
      <c r="B183" s="108">
        <v>3.0000000000000001E-3</v>
      </c>
      <c r="C183" s="13" t="s">
        <v>2</v>
      </c>
      <c r="D183" s="13" t="s">
        <v>259</v>
      </c>
      <c r="E183" s="13"/>
      <c r="F183" s="13"/>
      <c r="G183" s="13"/>
      <c r="H183" s="106"/>
    </row>
    <row r="184" spans="1:8" ht="14.25" x14ac:dyDescent="0.15">
      <c r="A184" s="543" t="s">
        <v>129</v>
      </c>
      <c r="B184" s="13"/>
      <c r="C184" s="13"/>
      <c r="D184" s="13"/>
      <c r="E184" s="13"/>
      <c r="F184" s="13"/>
      <c r="G184" s="13"/>
      <c r="H184" s="106"/>
    </row>
    <row r="185" spans="1:8" x14ac:dyDescent="0.15">
      <c r="A185" s="105" t="s">
        <v>142</v>
      </c>
      <c r="B185" s="44">
        <f>'Design Regulator'!E84/1000</f>
        <v>4.0000000000000001E-3</v>
      </c>
      <c r="C185" s="358" t="s">
        <v>208</v>
      </c>
      <c r="D185" s="13" t="s">
        <v>194</v>
      </c>
      <c r="E185" s="13"/>
      <c r="F185" s="13"/>
      <c r="G185" s="13"/>
      <c r="H185" s="106"/>
    </row>
    <row r="186" spans="1:8" x14ac:dyDescent="0.15">
      <c r="A186" s="105" t="s">
        <v>152</v>
      </c>
      <c r="B186" s="108">
        <f>4000/1000000</f>
        <v>4.0000000000000001E-3</v>
      </c>
      <c r="C186" s="204" t="s">
        <v>563</v>
      </c>
      <c r="D186" s="13" t="s">
        <v>193</v>
      </c>
      <c r="E186" s="13"/>
      <c r="F186" s="13"/>
      <c r="G186" s="13"/>
      <c r="H186" s="106"/>
    </row>
    <row r="187" spans="1:8" x14ac:dyDescent="0.15">
      <c r="A187" s="105" t="s">
        <v>141</v>
      </c>
      <c r="B187" s="135">
        <f>'Design Regulator'!E85/1000000000</f>
        <v>4.4999999999999999E-8</v>
      </c>
      <c r="C187" s="13" t="s">
        <v>269</v>
      </c>
      <c r="D187" s="13" t="s">
        <v>180</v>
      </c>
      <c r="E187" s="13"/>
      <c r="F187" s="13"/>
      <c r="G187" s="13"/>
      <c r="H187" s="106"/>
    </row>
    <row r="188" spans="1:8" x14ac:dyDescent="0.15">
      <c r="A188" s="105" t="s">
        <v>218</v>
      </c>
      <c r="B188" s="135">
        <f>'Design Regulator'!E86/1000000000</f>
        <v>8.0000000000000005E-9</v>
      </c>
      <c r="C188" s="13" t="s">
        <v>269</v>
      </c>
      <c r="D188" s="13" t="s">
        <v>219</v>
      </c>
      <c r="E188" s="13"/>
      <c r="F188" s="13"/>
      <c r="G188" s="13"/>
      <c r="H188" s="106"/>
    </row>
    <row r="189" spans="1:8" x14ac:dyDescent="0.15">
      <c r="A189" s="105" t="s">
        <v>236</v>
      </c>
      <c r="B189" s="135">
        <f>'Design Regulator'!E87/1000000000</f>
        <v>1.2E-8</v>
      </c>
      <c r="C189" s="13" t="s">
        <v>269</v>
      </c>
      <c r="D189" s="173" t="s">
        <v>722</v>
      </c>
      <c r="E189" s="13"/>
      <c r="F189" s="13"/>
      <c r="G189" s="13"/>
      <c r="H189" s="106"/>
    </row>
    <row r="190" spans="1:8" x14ac:dyDescent="0.15">
      <c r="A190" s="445" t="s">
        <v>729</v>
      </c>
      <c r="B190" s="135">
        <f>'Design Regulator'!E88/1000000000000</f>
        <v>5.0000000000000003E-10</v>
      </c>
      <c r="C190" s="173" t="s">
        <v>34</v>
      </c>
      <c r="D190" s="173" t="s">
        <v>730</v>
      </c>
      <c r="E190" s="13"/>
      <c r="F190" s="13"/>
      <c r="G190" s="13"/>
      <c r="H190" s="106"/>
    </row>
    <row r="191" spans="1:8" x14ac:dyDescent="0.15">
      <c r="A191" s="105" t="s">
        <v>168</v>
      </c>
      <c r="B191" s="44">
        <f>'Design Regulator'!E89</f>
        <v>1.2</v>
      </c>
      <c r="C191" s="358" t="s">
        <v>208</v>
      </c>
      <c r="D191" s="13" t="s">
        <v>731</v>
      </c>
      <c r="E191" s="13"/>
      <c r="F191" s="13"/>
      <c r="G191" s="13"/>
      <c r="H191" s="106"/>
    </row>
    <row r="192" spans="1:8" x14ac:dyDescent="0.15">
      <c r="A192" s="105" t="s">
        <v>140</v>
      </c>
      <c r="B192" s="44">
        <f>'Design Regulator'!E90</f>
        <v>100</v>
      </c>
      <c r="C192" s="13" t="s">
        <v>137</v>
      </c>
      <c r="D192" s="13" t="s">
        <v>182</v>
      </c>
      <c r="E192" s="13"/>
      <c r="F192" s="13"/>
      <c r="G192" s="13"/>
      <c r="H192" s="106"/>
    </row>
    <row r="193" spans="1:10" x14ac:dyDescent="0.15">
      <c r="A193" s="105" t="s">
        <v>170</v>
      </c>
      <c r="B193" s="44">
        <f>'Design Regulator'!E91</f>
        <v>2</v>
      </c>
      <c r="C193" s="13" t="s">
        <v>0</v>
      </c>
      <c r="D193" s="13" t="s">
        <v>183</v>
      </c>
      <c r="E193" s="13"/>
      <c r="F193" s="13"/>
      <c r="G193" s="13"/>
      <c r="H193" s="106"/>
    </row>
    <row r="194" spans="1:10" x14ac:dyDescent="0.15">
      <c r="A194" s="105" t="s">
        <v>235</v>
      </c>
      <c r="B194" s="121">
        <f>VthTop+Iout/GmTop</f>
        <v>2.12</v>
      </c>
      <c r="C194" s="13" t="s">
        <v>0</v>
      </c>
      <c r="D194" s="13" t="s">
        <v>266</v>
      </c>
      <c r="E194" s="13"/>
      <c r="F194" s="13"/>
      <c r="G194" s="13"/>
      <c r="H194" s="106"/>
    </row>
    <row r="195" spans="1:10" x14ac:dyDescent="0.15">
      <c r="A195" s="105" t="s">
        <v>378</v>
      </c>
      <c r="B195" s="44">
        <f>'Design Regulator'!E92</f>
        <v>1</v>
      </c>
      <c r="C195" s="13" t="s">
        <v>0</v>
      </c>
      <c r="D195" s="13" t="s">
        <v>380</v>
      </c>
      <c r="E195" s="13"/>
      <c r="F195" s="13"/>
      <c r="G195" s="13"/>
      <c r="H195" s="106"/>
    </row>
    <row r="196" spans="1:10" x14ac:dyDescent="0.15">
      <c r="A196" s="105" t="s">
        <v>161</v>
      </c>
      <c r="B196" s="44">
        <f>'Design Regulator'!E93</f>
        <v>25</v>
      </c>
      <c r="C196" s="204" t="s">
        <v>381</v>
      </c>
      <c r="D196" s="13" t="s">
        <v>184</v>
      </c>
      <c r="E196" s="13"/>
      <c r="F196" s="13"/>
      <c r="G196" s="13"/>
      <c r="H196" s="106"/>
    </row>
    <row r="197" spans="1:10" ht="14.25" x14ac:dyDescent="0.15">
      <c r="A197" s="543" t="s">
        <v>130</v>
      </c>
      <c r="B197" s="13"/>
      <c r="C197" s="13"/>
      <c r="D197" s="13"/>
      <c r="E197" s="13"/>
      <c r="F197" s="13"/>
      <c r="G197" s="13"/>
      <c r="H197" s="106"/>
    </row>
    <row r="198" spans="1:10" x14ac:dyDescent="0.15">
      <c r="A198" s="105" t="s">
        <v>139</v>
      </c>
      <c r="B198" s="44">
        <f>'Design Regulator'!E96/1000</f>
        <v>4.0000000000000001E-3</v>
      </c>
      <c r="C198" s="358" t="s">
        <v>208</v>
      </c>
      <c r="D198" s="13" t="s">
        <v>192</v>
      </c>
      <c r="E198" s="13"/>
      <c r="F198" s="13"/>
      <c r="G198" s="13"/>
      <c r="H198" s="106"/>
    </row>
    <row r="199" spans="1:10" x14ac:dyDescent="0.15">
      <c r="A199" s="105" t="s">
        <v>153</v>
      </c>
      <c r="B199" s="44">
        <f>4000/1000000</f>
        <v>4.0000000000000001E-3</v>
      </c>
      <c r="C199" s="204" t="s">
        <v>563</v>
      </c>
      <c r="D199" s="13" t="s">
        <v>185</v>
      </c>
      <c r="E199" s="13"/>
      <c r="F199" s="13"/>
      <c r="G199" s="13"/>
      <c r="H199" s="106"/>
    </row>
    <row r="200" spans="1:10" x14ac:dyDescent="0.15">
      <c r="A200" s="105" t="s">
        <v>138</v>
      </c>
      <c r="B200" s="135">
        <f>'Design Regulator'!E97/1000000000</f>
        <v>4.4999999999999999E-8</v>
      </c>
      <c r="C200" s="13" t="s">
        <v>269</v>
      </c>
      <c r="D200" s="204" t="s">
        <v>725</v>
      </c>
      <c r="E200" s="13"/>
      <c r="F200" s="13"/>
      <c r="G200" s="13"/>
      <c r="H200" s="106"/>
      <c r="J200">
        <f>RGateTop</f>
        <v>1.2</v>
      </c>
    </row>
    <row r="201" spans="1:10" x14ac:dyDescent="0.15">
      <c r="A201" s="445" t="s">
        <v>723</v>
      </c>
      <c r="B201" s="135">
        <f>'Design Regulator'!E98/1000000000</f>
        <v>1E-8</v>
      </c>
      <c r="C201" s="13" t="s">
        <v>269</v>
      </c>
      <c r="D201" s="204" t="s">
        <v>724</v>
      </c>
      <c r="E201" s="13"/>
      <c r="F201" s="13"/>
      <c r="G201" s="13"/>
      <c r="H201" s="106"/>
    </row>
    <row r="202" spans="1:10" x14ac:dyDescent="0.15">
      <c r="A202" s="445" t="s">
        <v>728</v>
      </c>
      <c r="B202" s="135">
        <f>'Design Regulator'!E99/1000000000000</f>
        <v>5.0000000000000003E-10</v>
      </c>
      <c r="C202" s="53" t="s">
        <v>34</v>
      </c>
      <c r="D202" s="204" t="s">
        <v>727</v>
      </c>
      <c r="E202" s="13"/>
      <c r="F202" s="13"/>
      <c r="G202" s="13"/>
      <c r="H202" s="106"/>
    </row>
    <row r="203" spans="1:10" x14ac:dyDescent="0.15">
      <c r="A203" s="105" t="s">
        <v>169</v>
      </c>
      <c r="B203" s="44">
        <v>1</v>
      </c>
      <c r="C203" s="358" t="s">
        <v>208</v>
      </c>
      <c r="D203" s="13" t="s">
        <v>181</v>
      </c>
      <c r="E203" s="13"/>
      <c r="F203" s="13"/>
      <c r="G203" s="13"/>
      <c r="H203" s="106"/>
    </row>
    <row r="204" spans="1:10" x14ac:dyDescent="0.15">
      <c r="A204" s="105" t="s">
        <v>144</v>
      </c>
      <c r="B204" s="44">
        <f>'Design Regulator'!E100</f>
        <v>1</v>
      </c>
      <c r="C204" s="13" t="s">
        <v>0</v>
      </c>
      <c r="D204" s="13" t="s">
        <v>186</v>
      </c>
      <c r="E204" s="13"/>
      <c r="F204" s="13"/>
      <c r="G204" s="13"/>
      <c r="H204" s="106"/>
    </row>
    <row r="205" spans="1:10" x14ac:dyDescent="0.15">
      <c r="A205" s="105" t="s">
        <v>145</v>
      </c>
      <c r="B205" s="135">
        <f>'Design Regulator'!E101/1000000000</f>
        <v>4.0000000000000001E-8</v>
      </c>
      <c r="C205" s="13" t="s">
        <v>269</v>
      </c>
      <c r="D205" s="13" t="s">
        <v>196</v>
      </c>
      <c r="E205" s="13"/>
      <c r="F205" s="13"/>
      <c r="G205" s="13"/>
      <c r="H205" s="106"/>
    </row>
    <row r="206" spans="1:10" x14ac:dyDescent="0.15">
      <c r="A206" s="105" t="s">
        <v>146</v>
      </c>
      <c r="B206" s="135">
        <v>4.0000000000000001E-8</v>
      </c>
      <c r="C206" s="13" t="s">
        <v>265</v>
      </c>
      <c r="D206" s="13" t="s">
        <v>187</v>
      </c>
      <c r="E206" s="13"/>
      <c r="F206" s="13"/>
      <c r="G206" s="13"/>
      <c r="H206" s="106"/>
    </row>
    <row r="207" spans="1:10" x14ac:dyDescent="0.15">
      <c r="A207" s="105" t="s">
        <v>160</v>
      </c>
      <c r="B207" s="44">
        <f>'Design Regulator'!E102</f>
        <v>25</v>
      </c>
      <c r="C207" s="204" t="s">
        <v>381</v>
      </c>
      <c r="D207" s="13" t="s">
        <v>184</v>
      </c>
      <c r="E207" s="13"/>
      <c r="F207" s="13"/>
      <c r="G207" s="13"/>
      <c r="H207" s="106"/>
    </row>
    <row r="208" spans="1:10" ht="14.25" x14ac:dyDescent="0.15">
      <c r="A208" s="543" t="s">
        <v>428</v>
      </c>
      <c r="B208" s="44"/>
      <c r="C208" s="13"/>
      <c r="D208" s="13"/>
      <c r="E208" s="13"/>
      <c r="F208" s="13"/>
      <c r="G208" s="13"/>
      <c r="H208" s="106"/>
    </row>
    <row r="209" spans="1:8" x14ac:dyDescent="0.15">
      <c r="A209" s="105" t="s">
        <v>365</v>
      </c>
      <c r="B209" s="44">
        <f>'Design Regulator'!E104</f>
        <v>0</v>
      </c>
      <c r="C209" s="13" t="s">
        <v>0</v>
      </c>
      <c r="D209" s="53" t="s">
        <v>368</v>
      </c>
      <c r="E209" s="13"/>
      <c r="F209" s="13"/>
      <c r="G209" s="13"/>
      <c r="H209" s="106"/>
    </row>
    <row r="210" spans="1:8" x14ac:dyDescent="0.15">
      <c r="A210" s="105" t="s">
        <v>366</v>
      </c>
      <c r="B210" s="44">
        <f>'Design Regulator'!E105/1000000000</f>
        <v>0</v>
      </c>
      <c r="C210" s="13" t="s">
        <v>269</v>
      </c>
      <c r="D210" s="53" t="s">
        <v>369</v>
      </c>
      <c r="E210" s="13"/>
      <c r="F210" s="13"/>
      <c r="G210" s="13"/>
      <c r="H210" s="106"/>
    </row>
    <row r="211" spans="1:8" x14ac:dyDescent="0.15">
      <c r="A211" s="105" t="s">
        <v>367</v>
      </c>
      <c r="B211" s="44">
        <v>0</v>
      </c>
      <c r="C211" s="13" t="s">
        <v>2</v>
      </c>
      <c r="D211" s="53" t="s">
        <v>370</v>
      </c>
      <c r="E211" s="13"/>
      <c r="F211" s="13"/>
      <c r="G211" s="13"/>
      <c r="H211" s="106"/>
    </row>
    <row r="212" spans="1:8" x14ac:dyDescent="0.15">
      <c r="A212" s="117" t="s">
        <v>209</v>
      </c>
      <c r="B212" s="13"/>
      <c r="C212" s="13"/>
      <c r="D212" s="13"/>
      <c r="E212" s="13"/>
      <c r="F212" s="13"/>
      <c r="G212" s="13"/>
      <c r="H212" s="106"/>
    </row>
    <row r="213" spans="1:8" x14ac:dyDescent="0.15">
      <c r="A213" s="105" t="s">
        <v>267</v>
      </c>
      <c r="B213" s="44">
        <v>30</v>
      </c>
      <c r="C213" s="13"/>
      <c r="D213" s="13"/>
      <c r="E213" s="13"/>
      <c r="F213" s="13"/>
      <c r="G213" s="13"/>
      <c r="H213" s="106"/>
    </row>
    <row r="214" spans="1:8" x14ac:dyDescent="0.15">
      <c r="A214" s="117" t="s">
        <v>149</v>
      </c>
      <c r="B214" s="13"/>
      <c r="C214" s="13"/>
      <c r="D214" s="13"/>
      <c r="E214" s="13"/>
      <c r="F214" s="13"/>
      <c r="G214" s="13"/>
      <c r="H214" s="106"/>
    </row>
    <row r="215" spans="1:8" x14ac:dyDescent="0.15">
      <c r="A215" s="105" t="s">
        <v>129</v>
      </c>
      <c r="B215" s="13"/>
      <c r="C215" s="13"/>
      <c r="D215" s="13"/>
      <c r="E215" s="13"/>
      <c r="F215" s="13"/>
      <c r="G215" s="13"/>
      <c r="H215" s="106"/>
    </row>
    <row r="216" spans="1:8" x14ac:dyDescent="0.15">
      <c r="A216" s="105" t="s">
        <v>166</v>
      </c>
      <c r="B216" s="124">
        <f>(QgdTop+QgsTop/2)*(RdsonDRT+RGateTop)/(Vdd-VspTop)</f>
        <v>5.7249070631970266E-9</v>
      </c>
      <c r="C216" s="13" t="s">
        <v>265</v>
      </c>
      <c r="D216" s="13"/>
      <c r="E216" s="13"/>
      <c r="F216" s="13"/>
      <c r="G216" s="13"/>
      <c r="H216" s="106"/>
    </row>
    <row r="217" spans="1:8" x14ac:dyDescent="0.15">
      <c r="A217" s="105" t="s">
        <v>167</v>
      </c>
      <c r="B217" s="124">
        <f>(QgdTop+QgsTop/2)*(RdsonDRT+RGateTop)/(VspTop)</f>
        <v>1.4528301886792455E-8</v>
      </c>
      <c r="C217" s="13" t="s">
        <v>265</v>
      </c>
      <c r="D217" s="13"/>
      <c r="E217" s="13"/>
      <c r="F217" s="13"/>
      <c r="G217" s="13"/>
      <c r="H217" s="106"/>
    </row>
    <row r="218" spans="1:8" x14ac:dyDescent="0.15">
      <c r="A218" s="105"/>
      <c r="B218" s="13"/>
      <c r="C218" s="13"/>
      <c r="D218" s="13"/>
      <c r="E218" s="13"/>
      <c r="F218" s="13"/>
      <c r="G218" s="13"/>
      <c r="H218" s="106"/>
    </row>
    <row r="219" spans="1:8" x14ac:dyDescent="0.15">
      <c r="A219" s="105"/>
      <c r="B219" s="13"/>
      <c r="C219" s="13"/>
      <c r="D219" s="13"/>
      <c r="E219" s="13"/>
      <c r="F219" s="13"/>
      <c r="G219" s="13"/>
      <c r="H219" s="106"/>
    </row>
    <row r="220" spans="1:8" x14ac:dyDescent="0.15">
      <c r="A220" s="166" t="s">
        <v>392</v>
      </c>
      <c r="B220" s="144" t="s">
        <v>8</v>
      </c>
      <c r="C220" s="62" t="s">
        <v>148</v>
      </c>
      <c r="D220" s="13"/>
      <c r="E220" s="13"/>
      <c r="F220" s="13"/>
      <c r="G220" s="13"/>
      <c r="H220" s="106"/>
    </row>
    <row r="221" spans="1:8" x14ac:dyDescent="0.15">
      <c r="A221" s="167" t="s">
        <v>207</v>
      </c>
      <c r="B221" s="467">
        <f>'Power Calculations'!AN9</f>
        <v>0.30600000000000005</v>
      </c>
      <c r="C221" s="145" t="s">
        <v>208</v>
      </c>
      <c r="D221" s="13"/>
      <c r="E221" s="13"/>
      <c r="F221" s="13"/>
      <c r="G221" s="13"/>
      <c r="H221" s="106"/>
    </row>
    <row r="222" spans="1:8" x14ac:dyDescent="0.15">
      <c r="A222" s="167" t="s">
        <v>211</v>
      </c>
      <c r="B222" s="468">
        <f>B221*ThetaJaCtrl</f>
        <v>9.1800000000000015</v>
      </c>
      <c r="C222" s="354" t="s">
        <v>442</v>
      </c>
      <c r="D222" s="13"/>
      <c r="E222" s="13"/>
      <c r="F222" s="13"/>
      <c r="G222" s="13"/>
      <c r="H222" s="106"/>
    </row>
    <row r="223" spans="1:8" x14ac:dyDescent="0.15">
      <c r="A223" s="167" t="s">
        <v>388</v>
      </c>
      <c r="B223" s="470">
        <f>(QgBot+QgTop)*Fsw+Iq</f>
        <v>2.5499999999999998E-2</v>
      </c>
      <c r="C223" s="53" t="s">
        <v>2</v>
      </c>
      <c r="D223" s="13"/>
      <c r="E223" s="13"/>
      <c r="F223" s="13"/>
      <c r="G223" s="13"/>
      <c r="H223" s="106"/>
    </row>
    <row r="224" spans="1:8" x14ac:dyDescent="0.15">
      <c r="A224" s="167" t="s">
        <v>389</v>
      </c>
      <c r="B224" s="469">
        <f>QrrBot*Fsw</f>
        <v>0.01</v>
      </c>
      <c r="C224" s="53" t="s">
        <v>2</v>
      </c>
      <c r="D224" s="13"/>
      <c r="E224" s="13"/>
      <c r="F224" s="13"/>
      <c r="G224" s="13"/>
      <c r="H224" s="106"/>
    </row>
    <row r="225" spans="1:8" x14ac:dyDescent="0.15">
      <c r="A225" s="167" t="s">
        <v>390</v>
      </c>
      <c r="B225" s="469">
        <f>C225/Vin</f>
        <v>3.6120833333333339E-4</v>
      </c>
      <c r="C225" s="53">
        <f>Deadtime*Fsw*(Ipp/2)*(VsdTop+VsdBot)</f>
        <v>4.3345000000000007E-3</v>
      </c>
      <c r="D225" s="13"/>
      <c r="E225" s="13"/>
      <c r="F225" s="13"/>
      <c r="G225" s="13"/>
      <c r="H225" s="106"/>
    </row>
    <row r="226" spans="1:8" x14ac:dyDescent="0.15">
      <c r="A226" s="167" t="s">
        <v>393</v>
      </c>
      <c r="B226" s="469">
        <f>SUM(B223:B225)</f>
        <v>3.5861208333333332E-2</v>
      </c>
      <c r="C226" s="53" t="s">
        <v>2</v>
      </c>
      <c r="D226" s="13"/>
      <c r="E226" s="13"/>
      <c r="F226" s="13"/>
      <c r="G226" s="13"/>
      <c r="H226" s="106"/>
    </row>
    <row r="227" spans="1:8" x14ac:dyDescent="0.15">
      <c r="A227" s="105"/>
      <c r="B227" s="13"/>
      <c r="C227" s="13"/>
      <c r="D227" s="13"/>
      <c r="E227" s="13"/>
      <c r="F227" s="13"/>
      <c r="G227" s="13"/>
      <c r="H227" s="106"/>
    </row>
    <row r="228" spans="1:8" x14ac:dyDescent="0.15">
      <c r="A228" s="105"/>
      <c r="B228" s="13"/>
      <c r="C228" s="13"/>
      <c r="D228" s="13"/>
      <c r="E228" s="13"/>
      <c r="F228" s="13"/>
      <c r="G228" s="13"/>
      <c r="H228" s="106"/>
    </row>
    <row r="229" spans="1:8" x14ac:dyDescent="0.15">
      <c r="A229" s="105"/>
      <c r="B229" s="13"/>
      <c r="C229" s="13"/>
      <c r="D229" s="13"/>
      <c r="E229" s="13"/>
      <c r="F229" s="13"/>
      <c r="G229" s="13"/>
      <c r="H229" s="106"/>
    </row>
    <row r="230" spans="1:8" x14ac:dyDescent="0.15">
      <c r="A230" s="105"/>
      <c r="B230" s="13"/>
      <c r="C230" s="13"/>
      <c r="D230" s="13"/>
      <c r="E230" s="13"/>
      <c r="F230" s="13"/>
      <c r="G230" s="13"/>
      <c r="H230" s="106"/>
    </row>
    <row r="231" spans="1:8" x14ac:dyDescent="0.15">
      <c r="A231" s="105"/>
      <c r="B231" s="13"/>
      <c r="C231" s="13"/>
      <c r="D231" s="13"/>
      <c r="E231" s="13"/>
      <c r="F231" s="13"/>
      <c r="G231" s="13"/>
      <c r="H231" s="106"/>
    </row>
    <row r="232" spans="1:8" x14ac:dyDescent="0.15">
      <c r="A232" s="117" t="s">
        <v>150</v>
      </c>
      <c r="B232" s="13"/>
      <c r="C232" s="13"/>
      <c r="D232" s="13"/>
      <c r="E232" s="13"/>
      <c r="F232" s="13"/>
      <c r="G232" s="13"/>
      <c r="H232" s="106"/>
    </row>
    <row r="233" spans="1:8" x14ac:dyDescent="0.15">
      <c r="A233" s="105" t="s">
        <v>206</v>
      </c>
      <c r="B233" s="13"/>
      <c r="C233" s="13"/>
      <c r="D233" s="13"/>
      <c r="E233" s="13"/>
      <c r="F233" s="13"/>
      <c r="G233" s="13"/>
      <c r="H233" s="106"/>
    </row>
    <row r="234" spans="1:8" ht="13.5" thickBot="1" x14ac:dyDescent="0.2">
      <c r="A234" s="109" t="s">
        <v>207</v>
      </c>
      <c r="B234" s="110"/>
      <c r="C234" s="110"/>
      <c r="D234" s="110"/>
      <c r="E234" s="110"/>
      <c r="F234" s="110"/>
      <c r="G234" s="110"/>
      <c r="H234" s="111"/>
    </row>
    <row r="235" spans="1:8" x14ac:dyDescent="0.15">
      <c r="A235" s="1"/>
      <c r="B235" s="1"/>
    </row>
    <row r="236" spans="1:8" ht="21.75" customHeight="1" thickBot="1" x14ac:dyDescent="0.2">
      <c r="A236" s="158" t="s">
        <v>382</v>
      </c>
      <c r="B236" s="13"/>
      <c r="C236" s="13"/>
      <c r="D236" s="13"/>
      <c r="E236" s="13"/>
      <c r="F236" s="13"/>
      <c r="G236" s="13"/>
      <c r="H236" s="13"/>
    </row>
    <row r="237" spans="1:8" x14ac:dyDescent="0.15">
      <c r="A237" s="160" t="str">
        <f>"RC1 = "&amp;'Design Regulator'!D73&amp;"kΩ"</f>
        <v>RC1 = 8.25kΩ</v>
      </c>
      <c r="B237" s="112" t="str">
        <f>'Design Regulator'!D73&amp;"kΩ"</f>
        <v>8.25kΩ</v>
      </c>
      <c r="C237" s="112"/>
      <c r="D237" s="168"/>
      <c r="E237" s="168"/>
      <c r="F237" s="168"/>
      <c r="G237" s="168"/>
      <c r="H237" s="113"/>
    </row>
    <row r="238" spans="1:8" x14ac:dyDescent="0.15">
      <c r="A238" s="105" t="str">
        <f>"LOUT = "&amp;'Design Regulator'!E17&amp;"uH"</f>
        <v>LOUT = 3.3uH</v>
      </c>
      <c r="B238" s="13" t="str">
        <f>'Design Regulator'!E17&amp;"µH"</f>
        <v>3.3µH</v>
      </c>
      <c r="C238" s="13"/>
      <c r="D238" s="13"/>
      <c r="E238" s="13"/>
      <c r="F238" s="13"/>
      <c r="G238" s="13"/>
      <c r="H238" s="106"/>
    </row>
    <row r="239" spans="1:8" x14ac:dyDescent="0.15">
      <c r="A239" s="105" t="str">
        <f>"Rdcr = "&amp;'Design Regulator'!E18&amp;"mΩ"</f>
        <v>Rdcr = 6.8mΩ</v>
      </c>
      <c r="B239" s="13" t="str">
        <f>'Design Regulator'!E18&amp;"mΩ"</f>
        <v>6.8mΩ</v>
      </c>
      <c r="C239" s="13"/>
      <c r="D239" s="13"/>
      <c r="E239" s="13"/>
      <c r="F239" s="13"/>
      <c r="G239" s="13"/>
      <c r="H239" s="106"/>
    </row>
    <row r="240" spans="1:8" x14ac:dyDescent="0.15">
      <c r="A240" s="444"/>
      <c r="B240" s="13"/>
      <c r="C240" s="13"/>
      <c r="D240" s="13"/>
      <c r="E240" s="13"/>
      <c r="F240" s="13"/>
      <c r="G240" s="13"/>
      <c r="H240" s="106"/>
    </row>
    <row r="241" spans="1:8" x14ac:dyDescent="0.15">
      <c r="A241" s="105" t="str">
        <f>"VOUT = "&amp;'Design Regulator'!E9&amp;"V"</f>
        <v>VOUT = 5V</v>
      </c>
      <c r="B241" s="13" t="str">
        <f>'Design Regulator'!E9&amp;"V"</f>
        <v>5V</v>
      </c>
      <c r="C241" s="13"/>
      <c r="D241" s="13"/>
      <c r="E241" s="13"/>
      <c r="F241" s="13"/>
      <c r="G241" s="13"/>
      <c r="H241" s="106"/>
    </row>
    <row r="242" spans="1:8" x14ac:dyDescent="0.15">
      <c r="A242" s="105"/>
      <c r="B242" s="13"/>
      <c r="C242" s="206" t="str">
        <f>M44</f>
        <v>47</v>
      </c>
      <c r="D242" s="206">
        <f>ROUNDUP('Design Regulator'!$E$32/C242,0)</f>
        <v>8</v>
      </c>
      <c r="E242" s="13"/>
      <c r="F242" s="13"/>
      <c r="G242" s="13"/>
      <c r="H242" s="106"/>
    </row>
    <row r="243" spans="1:8" x14ac:dyDescent="0.15">
      <c r="A243" s="105" t="str">
        <f>"COUT = "&amp;'Design Regulator'!$E$32&amp;"uF"</f>
        <v>COUT = 330uF</v>
      </c>
      <c r="B243" s="13" t="str">
        <f>'Design Regulator'!$E$32&amp;"µF"</f>
        <v>330µF</v>
      </c>
      <c r="C243" s="206" t="str">
        <f>C242</f>
        <v>47</v>
      </c>
      <c r="D243" s="206" t="str">
        <f>IF(D242=1, "",B245)</f>
        <v xml:space="preserve">8 x </v>
      </c>
      <c r="E243" s="13" t="str">
        <f>D243&amp;C243&amp;"µF"</f>
        <v>8 x 47µF</v>
      </c>
      <c r="F243" s="13" t="str">
        <f>C243&amp;"µF"</f>
        <v>47µF</v>
      </c>
      <c r="G243" s="13" t="str">
        <f>L66</f>
        <v>10V</v>
      </c>
      <c r="H243" s="106"/>
    </row>
    <row r="244" spans="1:8" x14ac:dyDescent="0.15">
      <c r="A244" s="353" t="s">
        <v>531</v>
      </c>
      <c r="B244" s="13" t="str">
        <f>C242&amp;"µF"</f>
        <v>47µF</v>
      </c>
      <c r="C244" s="13"/>
      <c r="D244" s="13"/>
      <c r="E244" s="13"/>
      <c r="F244" s="13"/>
      <c r="G244" s="13"/>
      <c r="H244" s="106"/>
    </row>
    <row r="245" spans="1:8" x14ac:dyDescent="0.15">
      <c r="A245" s="353" t="s">
        <v>532</v>
      </c>
      <c r="B245" s="206" t="str">
        <f>D242&amp;" x "</f>
        <v xml:space="preserve">8 x </v>
      </c>
      <c r="C245" s="13"/>
      <c r="D245" s="13"/>
      <c r="E245" s="13"/>
      <c r="F245" s="13"/>
      <c r="G245" s="13"/>
      <c r="H245" s="106"/>
    </row>
    <row r="246" spans="1:8" x14ac:dyDescent="0.15">
      <c r="A246" s="445"/>
      <c r="D246" s="13"/>
      <c r="E246" s="13"/>
      <c r="F246" s="13"/>
      <c r="G246" s="13"/>
      <c r="H246" s="106"/>
    </row>
    <row r="247" spans="1:8" x14ac:dyDescent="0.15">
      <c r="A247" s="444"/>
      <c r="B247" s="13"/>
      <c r="C247" s="13"/>
      <c r="D247" s="13"/>
      <c r="E247" s="13"/>
      <c r="F247" s="13"/>
      <c r="G247" s="13"/>
      <c r="H247" s="106"/>
    </row>
    <row r="248" spans="1:8" x14ac:dyDescent="0.15">
      <c r="A248" s="105" t="s">
        <v>410</v>
      </c>
      <c r="B248" s="13" t="str">
        <f>Cin*1000000&amp;"µF"</f>
        <v>24µF</v>
      </c>
      <c r="C248" s="13"/>
      <c r="D248" s="13"/>
      <c r="E248" s="13"/>
      <c r="F248" s="13"/>
      <c r="G248" s="13"/>
      <c r="H248" s="106"/>
    </row>
    <row r="249" spans="1:8" x14ac:dyDescent="0.15">
      <c r="A249" s="353" t="s">
        <v>530</v>
      </c>
      <c r="B249" s="13" t="str">
        <f>"4.7µF"</f>
        <v>4.7µF</v>
      </c>
      <c r="C249" s="13"/>
      <c r="D249" s="13"/>
      <c r="E249" s="13"/>
      <c r="F249" s="13"/>
      <c r="G249" s="13"/>
      <c r="H249" s="106"/>
    </row>
    <row r="250" spans="1:8" x14ac:dyDescent="0.15">
      <c r="A250" s="353" t="s">
        <v>529</v>
      </c>
      <c r="B250" s="206" t="str">
        <f>ROUNDUP(Cin*1000000/4.7,0)&amp;" x "</f>
        <v xml:space="preserve">6 x </v>
      </c>
      <c r="C250" s="13"/>
      <c r="D250" s="13"/>
      <c r="E250" s="13" t="str">
        <f>B250&amp;B249</f>
        <v>6 x 4.7µF</v>
      </c>
      <c r="F250" s="13"/>
      <c r="G250" s="13"/>
      <c r="H250" s="106"/>
    </row>
    <row r="251" spans="1:8" x14ac:dyDescent="0.15">
      <c r="A251" s="445"/>
      <c r="B251" s="206"/>
      <c r="C251" s="13"/>
      <c r="D251" s="13"/>
      <c r="E251" s="13"/>
      <c r="F251" s="13"/>
      <c r="G251" s="13"/>
      <c r="H251" s="106"/>
    </row>
    <row r="252" spans="1:8" x14ac:dyDescent="0.15">
      <c r="A252" s="353"/>
      <c r="B252" s="206"/>
      <c r="C252" s="13"/>
      <c r="D252" s="13"/>
      <c r="E252" s="13"/>
      <c r="F252" s="13"/>
      <c r="G252" s="13"/>
      <c r="H252" s="106"/>
    </row>
    <row r="253" spans="1:8" x14ac:dyDescent="0.15">
      <c r="A253" s="105" t="str">
        <f>"RC1 = "&amp;Rcea1_u/1000&amp;"kΩ"</f>
        <v>RC1 = 8.25kΩ</v>
      </c>
      <c r="B253" s="13" t="str">
        <f>ROUND(Rcea1_u/1000,2)&amp;"kΩ"</f>
        <v>8.25kΩ</v>
      </c>
      <c r="C253" s="13"/>
      <c r="D253" s="13"/>
      <c r="E253" s="13"/>
      <c r="F253" s="13"/>
      <c r="G253" s="13"/>
      <c r="H253" s="106"/>
    </row>
    <row r="254" spans="1:8" x14ac:dyDescent="0.15">
      <c r="A254" s="105" t="str">
        <f>"CC1 = "&amp;Cc1ea_u*10^9&amp;"nF"</f>
        <v>CC1 = 8.2nF</v>
      </c>
      <c r="B254" s="13" t="str">
        <f>ROUND(Cc1ea_u*10^9,1)&amp;"nF"</f>
        <v>8.2nF</v>
      </c>
      <c r="C254" s="13"/>
      <c r="D254" s="13"/>
      <c r="E254" s="13"/>
      <c r="F254" s="13"/>
      <c r="G254" s="13"/>
      <c r="H254" s="106"/>
    </row>
    <row r="255" spans="1:8" x14ac:dyDescent="0.15">
      <c r="A255" s="105" t="str">
        <f>"CC2 = "&amp;Cc2ea_u*10^12&amp;"pF"</f>
        <v>CC2 = 150pF</v>
      </c>
      <c r="B255" s="13" t="str">
        <f>ROUND(Cc2ea_u*10^12,0)&amp;"pF"</f>
        <v>150pF</v>
      </c>
      <c r="C255" s="13"/>
      <c r="D255" s="13"/>
      <c r="E255" s="13"/>
      <c r="F255" s="13"/>
      <c r="G255" s="13"/>
      <c r="H255" s="106"/>
    </row>
    <row r="256" spans="1:8" x14ac:dyDescent="0.15">
      <c r="A256" s="105" t="str">
        <f>"RC2 = "&amp;Rcea2_u&amp;"Ω"</f>
        <v>RC2 = 412Ω</v>
      </c>
      <c r="B256" s="13" t="str">
        <f>ROUND(Rcea2_u,2)&amp;"Ω"</f>
        <v>412Ω</v>
      </c>
      <c r="C256" s="13"/>
      <c r="D256" s="13"/>
      <c r="E256" s="13"/>
      <c r="F256" s="13"/>
      <c r="G256" s="13"/>
      <c r="H256" s="106"/>
    </row>
    <row r="257" spans="1:8" x14ac:dyDescent="0.15">
      <c r="A257" s="105" t="str">
        <f>"CC3 = "&amp;Cc3ea_u*10^12&amp;"pF"</f>
        <v>CC3 = 1500pF</v>
      </c>
      <c r="B257" s="13" t="str">
        <f>ROUND(Cc3ea_u*10^12,0)&amp;"pF"</f>
        <v>1500pF</v>
      </c>
      <c r="C257" s="13"/>
      <c r="D257" s="13"/>
      <c r="E257" s="13"/>
      <c r="F257" s="13"/>
      <c r="G257" s="13"/>
      <c r="H257" s="106"/>
    </row>
    <row r="258" spans="1:8" x14ac:dyDescent="0.15">
      <c r="A258" s="105" t="str">
        <f>"RFB1 = "&amp;'Design Regulator'!E62&amp;"kΩ"</f>
        <v>RFB1 = 20kΩ</v>
      </c>
      <c r="B258" s="13" t="str">
        <f>'Design Regulator'!E62&amp;"kΩ"</f>
        <v>20kΩ</v>
      </c>
      <c r="C258" s="13"/>
      <c r="D258" s="13"/>
      <c r="E258" s="13"/>
      <c r="F258" s="13"/>
      <c r="G258" s="13"/>
      <c r="H258" s="106"/>
    </row>
    <row r="259" spans="1:8" x14ac:dyDescent="0.15">
      <c r="A259" s="105" t="str">
        <f>"RFB2 = "&amp;IF(Vout=Vref,"OPEN",'Design Regulator'!E63&amp;"kΩ")</f>
        <v>RFB2 = 3.83kΩ</v>
      </c>
      <c r="B259" s="13" t="str">
        <f>IF(Vout=Vref,"OPEN",Rfb2_u/1000&amp;"kΩ")</f>
        <v>3.83kΩ</v>
      </c>
      <c r="C259" s="13"/>
      <c r="D259" s="13"/>
      <c r="E259" s="13"/>
      <c r="F259" s="13"/>
      <c r="G259" s="13"/>
      <c r="H259" s="106"/>
    </row>
    <row r="260" spans="1:8" x14ac:dyDescent="0.15">
      <c r="A260" s="105" t="str">
        <f>"Crossover Frequency = "&amp;ROUND('Bode Plots Calculations'!BK5,0)&amp;" kHz"</f>
        <v>Crossover Frequency = 28 kHz</v>
      </c>
      <c r="B260" s="13" t="str">
        <f>ROUND('Bode Plots Calculations'!BK5,0)&amp;" kHz"</f>
        <v>28 kHz</v>
      </c>
      <c r="C260" s="205">
        <f>'Bode Plots Calculations'!BK5</f>
        <v>27.5</v>
      </c>
      <c r="D260" s="13"/>
      <c r="E260" s="13"/>
      <c r="F260" s="13"/>
      <c r="G260" s="13"/>
      <c r="H260" s="106"/>
    </row>
    <row r="261" spans="1:8" x14ac:dyDescent="0.15">
      <c r="A261" s="105" t="str">
        <f>"Phase Margin = "&amp;ROUND('Bode Plots Calculations'!BK6,0)&amp;"°"</f>
        <v>Phase Margin = 65°</v>
      </c>
      <c r="B261" s="206" t="str">
        <f>ROUND('Bode Plots Calculations'!BK6,0)&amp;"°"</f>
        <v>65°</v>
      </c>
      <c r="C261" s="13"/>
      <c r="D261" s="358"/>
      <c r="E261" s="13"/>
      <c r="F261" s="13"/>
      <c r="G261" s="13"/>
      <c r="H261" s="106"/>
    </row>
    <row r="262" spans="1:8" x14ac:dyDescent="0.15">
      <c r="A262" s="444"/>
      <c r="B262" s="206"/>
      <c r="C262" s="13"/>
      <c r="D262" s="358"/>
      <c r="E262" s="13"/>
      <c r="F262" s="13"/>
      <c r="G262" s="13"/>
      <c r="H262" s="106"/>
    </row>
    <row r="263" spans="1:8" x14ac:dyDescent="0.15">
      <c r="A263" s="105"/>
      <c r="B263" s="13"/>
      <c r="C263" s="13"/>
      <c r="D263" s="13"/>
      <c r="E263" s="13"/>
      <c r="F263" s="13"/>
      <c r="G263" s="13"/>
      <c r="H263" s="106"/>
    </row>
    <row r="264" spans="1:8" x14ac:dyDescent="0.15">
      <c r="A264" s="105" t="str">
        <f>"Rilim(Rdson) = "&amp;Rilim_Rdson&amp;"Ω"</f>
        <v>Rilim(Rdson) = 324Ω</v>
      </c>
      <c r="B264" s="13" t="str">
        <f>IF(Rilim_Rdson&gt;999,Rilim_Rdson/1000&amp;"kΩ", Rilim_Rdson&amp;"Ω")</f>
        <v>324Ω</v>
      </c>
      <c r="C264" s="13">
        <f>IF(Rilim_Rdson&gt;999,Rilim_Rdson/1000, Rilim_Rdson)</f>
        <v>324</v>
      </c>
      <c r="D264" s="13"/>
      <c r="E264" s="13"/>
      <c r="F264" s="13"/>
      <c r="G264" s="13"/>
      <c r="H264" s="106"/>
    </row>
    <row r="265" spans="1:8" x14ac:dyDescent="0.15">
      <c r="A265" s="105" t="str">
        <f>"Rilim(shunt) = "&amp;Rilim_shunt&amp;"Ω"</f>
        <v>Rilim(shunt) = 976Ω</v>
      </c>
      <c r="B265" s="13" t="str">
        <f>IF('Standard Value Calculator'!S22&gt;999, 'Standard Value Calculator'!S22/1000&amp;"kΩ", 'Standard Value Calculator'!S22&amp;"Ω")</f>
        <v>976Ω</v>
      </c>
      <c r="C265" s="13">
        <f>IF('Standard Value Calculator'!S22&gt;999, 'Standard Value Calculator'!S22/1000, 'Standard Value Calculator'!S22)</f>
        <v>976</v>
      </c>
      <c r="D265" s="13"/>
      <c r="E265" s="13"/>
      <c r="F265" s="13"/>
      <c r="G265" s="13"/>
      <c r="H265" s="106"/>
    </row>
    <row r="266" spans="1:8" x14ac:dyDescent="0.15">
      <c r="A266" s="105" t="s">
        <v>701</v>
      </c>
      <c r="B266" s="13" t="str">
        <f>Cilim_ideal&amp;"pF"</f>
        <v>18pF</v>
      </c>
      <c r="C266" s="527">
        <f>Cilim_ideal</f>
        <v>18</v>
      </c>
      <c r="D266" s="13"/>
      <c r="E266" s="13"/>
      <c r="F266" s="13"/>
      <c r="G266" s="13"/>
      <c r="H266" s="106"/>
    </row>
    <row r="267" spans="1:8" x14ac:dyDescent="0.15">
      <c r="A267" s="444"/>
      <c r="B267" s="13"/>
      <c r="C267" s="13"/>
      <c r="D267" s="13"/>
      <c r="E267" s="13"/>
      <c r="F267" s="13"/>
      <c r="G267" s="13"/>
      <c r="H267" s="106"/>
    </row>
    <row r="268" spans="1:8" x14ac:dyDescent="0.15">
      <c r="A268" s="445" t="s">
        <v>602</v>
      </c>
      <c r="B268" s="13" t="str">
        <f>IF(RDSON_sense=1, 'Variable Management'!B264,'Variable Management'!B265)</f>
        <v>324Ω</v>
      </c>
      <c r="C268" s="13">
        <f>IF(RDSON_sense=1, 'Variable Management'!C264,'Variable Management'!C265)</f>
        <v>324</v>
      </c>
      <c r="D268" s="13"/>
      <c r="E268" s="13"/>
      <c r="F268" s="13"/>
      <c r="G268" s="13"/>
      <c r="H268" s="106"/>
    </row>
    <row r="269" spans="1:8" x14ac:dyDescent="0.15">
      <c r="A269" s="445" t="str">
        <f>IF(RDSON_sense=1, "", "Rs")</f>
        <v/>
      </c>
      <c r="B269" s="13" t="str">
        <f>IF(RDSON_sense=1, "", Rshunt*1000&amp;"mΩ")</f>
        <v/>
      </c>
      <c r="C269" s="13"/>
      <c r="D269" s="13" t="s">
        <v>703</v>
      </c>
      <c r="E269" s="13"/>
      <c r="F269" s="13"/>
      <c r="G269" s="13"/>
      <c r="H269" s="106"/>
    </row>
    <row r="270" spans="1:8" x14ac:dyDescent="0.15">
      <c r="A270" s="445" t="str">
        <f>IF(RDSON_sense=1, "Cs", "")</f>
        <v>Cs</v>
      </c>
      <c r="B270" s="13" t="str">
        <f>IF(RDSON_sense=1, IF(Cilim_ideal&lt;3.3, "N/A", Cilim_ideal&amp;"pF"), "")</f>
        <v>18pF</v>
      </c>
      <c r="C270" s="537" t="str">
        <f>IF(RDSON_sense=1, IF(Cilim_ideal&lt;3.3, "N/A", Cilim_ideal&amp;""), "")</f>
        <v>18</v>
      </c>
      <c r="D270" s="13" t="s">
        <v>704</v>
      </c>
      <c r="E270" s="13"/>
      <c r="F270" s="13"/>
      <c r="G270" s="13"/>
      <c r="H270" s="106"/>
    </row>
    <row r="271" spans="1:8" x14ac:dyDescent="0.15">
      <c r="A271" s="444"/>
      <c r="B271" s="13"/>
      <c r="C271" s="13"/>
      <c r="D271" s="13"/>
      <c r="E271" s="13"/>
      <c r="F271" s="13"/>
      <c r="G271" s="13"/>
      <c r="H271" s="106"/>
    </row>
    <row r="272" spans="1:8" x14ac:dyDescent="0.15">
      <c r="A272" s="444"/>
      <c r="B272" s="13"/>
      <c r="C272" s="13"/>
      <c r="D272" s="13"/>
      <c r="E272" s="13"/>
      <c r="F272" s="13"/>
      <c r="G272" s="13"/>
      <c r="H272" s="106"/>
    </row>
    <row r="273" spans="1:8" x14ac:dyDescent="0.15">
      <c r="A273" s="105" t="s">
        <v>429</v>
      </c>
      <c r="B273" s="13" t="str">
        <f>'Standard Value Calculator'!S24/1000&amp;"kΩ"</f>
        <v>0kΩ</v>
      </c>
      <c r="C273" s="13">
        <f>'Standard Value Calculator'!S24/1000</f>
        <v>0</v>
      </c>
      <c r="D273" s="13"/>
      <c r="E273" s="13"/>
      <c r="G273" s="13"/>
      <c r="H273" s="106"/>
    </row>
    <row r="274" spans="1:8" x14ac:dyDescent="0.15">
      <c r="A274" s="353" t="s">
        <v>524</v>
      </c>
      <c r="B274" s="204" t="s">
        <v>525</v>
      </c>
      <c r="C274" s="13"/>
      <c r="D274" s="13"/>
      <c r="E274" s="13"/>
      <c r="F274" s="13"/>
      <c r="G274" s="13"/>
      <c r="H274" s="106"/>
    </row>
    <row r="275" spans="1:8" x14ac:dyDescent="0.15">
      <c r="A275" s="105" t="s">
        <v>296</v>
      </c>
      <c r="B275" s="13" t="str">
        <f>'Standard Value Calculator'!S4/1000&amp;"kΩ"</f>
        <v>40.2kΩ</v>
      </c>
      <c r="C275" s="13"/>
      <c r="D275" s="13"/>
      <c r="E275" s="13"/>
      <c r="F275" s="13"/>
      <c r="G275" s="13"/>
      <c r="H275" s="106"/>
    </row>
    <row r="276" spans="1:8" x14ac:dyDescent="0.15">
      <c r="A276" s="105" t="s">
        <v>295</v>
      </c>
      <c r="B276" s="13" t="str">
        <f>'Standard Value Calculator'!B4*1000000000 &amp;"nF"</f>
        <v>56nF</v>
      </c>
      <c r="C276" s="13"/>
      <c r="D276" s="13"/>
      <c r="E276" s="13"/>
      <c r="F276" s="13"/>
      <c r="G276" s="13"/>
      <c r="H276" s="106"/>
    </row>
    <row r="277" spans="1:8" x14ac:dyDescent="0.15">
      <c r="A277" s="353" t="s">
        <v>526</v>
      </c>
      <c r="B277" s="204" t="s">
        <v>564</v>
      </c>
      <c r="C277" s="13"/>
      <c r="D277" s="13"/>
      <c r="E277" s="13"/>
      <c r="F277" s="13"/>
      <c r="G277" s="13"/>
      <c r="H277" s="106"/>
    </row>
    <row r="278" spans="1:8" x14ac:dyDescent="0.15">
      <c r="A278" s="105" t="s">
        <v>358</v>
      </c>
      <c r="B278" s="13" t="str">
        <f>IF(B47="y","","|")</f>
        <v>|</v>
      </c>
      <c r="C278" s="13"/>
      <c r="D278" s="13"/>
      <c r="E278" s="13"/>
      <c r="F278" s="13"/>
      <c r="G278" s="13"/>
      <c r="H278" s="106"/>
    </row>
    <row r="279" spans="1:8" x14ac:dyDescent="0.15">
      <c r="A279" s="105" t="s">
        <v>385</v>
      </c>
      <c r="B279" s="13" t="str">
        <f>'Design Regulator'!$E$10&amp;"A"</f>
        <v>12A</v>
      </c>
      <c r="C279" s="13"/>
      <c r="D279" s="13"/>
      <c r="E279" s="13"/>
      <c r="F279" s="13"/>
      <c r="G279" s="13"/>
      <c r="H279" s="106"/>
    </row>
    <row r="280" spans="1:8" x14ac:dyDescent="0.15">
      <c r="A280" s="105" t="s">
        <v>281</v>
      </c>
      <c r="B280" s="13" t="str">
        <f>Vin&amp;"V"</f>
        <v>12V</v>
      </c>
      <c r="C280" s="13"/>
      <c r="D280" s="13"/>
      <c r="E280" s="13"/>
      <c r="F280" s="13"/>
      <c r="G280" s="13"/>
      <c r="H280" s="106"/>
    </row>
    <row r="281" spans="1:8" x14ac:dyDescent="0.15">
      <c r="A281" s="445" t="s">
        <v>709</v>
      </c>
      <c r="B281" s="13" t="str">
        <f>Vinmin&amp;"V to "&amp;Vinmax&amp;"V"</f>
        <v>6V to 40V</v>
      </c>
      <c r="C281" s="13"/>
      <c r="D281" s="13"/>
      <c r="E281" s="13"/>
      <c r="F281" s="13"/>
      <c r="G281" s="13"/>
      <c r="H281" s="106"/>
    </row>
    <row r="282" spans="1:8" x14ac:dyDescent="0.15">
      <c r="A282" s="445"/>
      <c r="B282" s="13"/>
      <c r="C282" s="13"/>
      <c r="D282" s="13"/>
      <c r="E282" s="13"/>
      <c r="F282" s="13"/>
      <c r="G282" s="13"/>
      <c r="H282" s="106"/>
    </row>
    <row r="283" spans="1:8" x14ac:dyDescent="0.15">
      <c r="A283" s="105"/>
      <c r="B283" s="13"/>
      <c r="C283" s="13"/>
      <c r="D283" s="13"/>
      <c r="E283" s="13"/>
      <c r="F283" s="13"/>
      <c r="G283" s="13"/>
      <c r="H283" s="106"/>
    </row>
    <row r="284" spans="1:8" x14ac:dyDescent="0.15">
      <c r="A284" s="105" t="s">
        <v>394</v>
      </c>
      <c r="B284" s="13">
        <v>12</v>
      </c>
      <c r="C284" s="13"/>
      <c r="D284" s="13"/>
      <c r="E284" s="13"/>
      <c r="F284" s="13"/>
      <c r="G284" s="13"/>
      <c r="H284" s="106"/>
    </row>
    <row r="285" spans="1:8" x14ac:dyDescent="0.15">
      <c r="A285" s="105" t="s">
        <v>395</v>
      </c>
      <c r="B285" s="13">
        <v>18</v>
      </c>
      <c r="C285" s="13"/>
      <c r="D285" s="13"/>
      <c r="E285" s="13"/>
      <c r="F285" s="13"/>
      <c r="G285" s="13"/>
      <c r="H285" s="106"/>
    </row>
    <row r="286" spans="1:8" x14ac:dyDescent="0.15">
      <c r="A286" s="105" t="s">
        <v>396</v>
      </c>
      <c r="B286" s="13">
        <v>14</v>
      </c>
      <c r="C286" s="13"/>
      <c r="D286" s="13"/>
      <c r="E286" s="13"/>
      <c r="F286" s="13"/>
      <c r="G286" s="13"/>
      <c r="H286" s="106"/>
    </row>
    <row r="287" spans="1:8" x14ac:dyDescent="0.15">
      <c r="A287" s="105" t="s">
        <v>397</v>
      </c>
      <c r="B287" s="13">
        <v>6</v>
      </c>
      <c r="C287" s="13"/>
      <c r="D287" s="13"/>
      <c r="E287" s="13"/>
      <c r="F287" s="13"/>
      <c r="G287" s="13"/>
      <c r="H287" s="106"/>
    </row>
    <row r="288" spans="1:8" x14ac:dyDescent="0.15">
      <c r="A288" s="105" t="s">
        <v>398</v>
      </c>
      <c r="B288" s="13">
        <v>7</v>
      </c>
      <c r="C288" s="13"/>
      <c r="D288" s="13"/>
      <c r="E288" s="13"/>
      <c r="F288" s="13"/>
      <c r="G288" s="13"/>
      <c r="H288" s="106"/>
    </row>
    <row r="289" spans="1:8" x14ac:dyDescent="0.15">
      <c r="A289" s="105" t="s">
        <v>399</v>
      </c>
      <c r="B289" s="13">
        <v>11</v>
      </c>
      <c r="C289" s="13"/>
      <c r="D289" s="13"/>
      <c r="E289" s="13"/>
      <c r="F289" s="13"/>
      <c r="G289" s="13"/>
      <c r="H289" s="106"/>
    </row>
    <row r="290" spans="1:8" x14ac:dyDescent="0.15">
      <c r="A290" s="105" t="s">
        <v>400</v>
      </c>
      <c r="B290" s="13">
        <v>1</v>
      </c>
      <c r="C290" s="13"/>
      <c r="D290" s="13"/>
      <c r="E290" s="13"/>
      <c r="F290" s="13"/>
      <c r="G290" s="13"/>
      <c r="H290" s="106"/>
    </row>
    <row r="291" spans="1:8" x14ac:dyDescent="0.15">
      <c r="A291" s="105" t="s">
        <v>401</v>
      </c>
      <c r="B291" s="13">
        <v>5</v>
      </c>
      <c r="C291" s="13"/>
      <c r="D291" s="13"/>
      <c r="E291" s="13"/>
      <c r="F291" s="13"/>
      <c r="G291" s="13"/>
      <c r="H291" s="106"/>
    </row>
    <row r="292" spans="1:8" x14ac:dyDescent="0.15">
      <c r="A292" s="105" t="s">
        <v>402</v>
      </c>
      <c r="B292" s="13">
        <v>13</v>
      </c>
      <c r="C292" s="13"/>
      <c r="D292" s="13"/>
      <c r="E292" s="13"/>
      <c r="F292" s="13"/>
      <c r="G292" s="13"/>
      <c r="H292" s="106"/>
    </row>
    <row r="293" spans="1:8" x14ac:dyDescent="0.15">
      <c r="A293" s="105" t="s">
        <v>403</v>
      </c>
      <c r="B293" s="13">
        <v>4</v>
      </c>
      <c r="C293" s="13"/>
      <c r="D293" s="13"/>
      <c r="E293" s="13"/>
      <c r="F293" s="13"/>
      <c r="G293" s="13"/>
      <c r="H293" s="106"/>
    </row>
    <row r="294" spans="1:8" x14ac:dyDescent="0.15">
      <c r="A294" s="105" t="s">
        <v>404</v>
      </c>
      <c r="B294" s="13">
        <v>3</v>
      </c>
      <c r="C294" s="13"/>
      <c r="D294" s="13"/>
      <c r="E294" s="13"/>
      <c r="F294" s="13"/>
      <c r="G294" s="13"/>
      <c r="H294" s="106"/>
    </row>
    <row r="295" spans="1:8" x14ac:dyDescent="0.15">
      <c r="A295" s="105" t="s">
        <v>405</v>
      </c>
      <c r="B295" s="13">
        <v>24</v>
      </c>
      <c r="C295" s="13"/>
      <c r="D295" s="13"/>
      <c r="E295" s="13"/>
      <c r="F295" s="13"/>
      <c r="G295" s="13"/>
      <c r="H295" s="106"/>
    </row>
    <row r="296" spans="1:8" x14ac:dyDescent="0.15">
      <c r="A296" s="105" t="s">
        <v>406</v>
      </c>
      <c r="B296" s="13">
        <v>23</v>
      </c>
      <c r="C296" s="13"/>
      <c r="D296" s="13"/>
      <c r="E296" s="13"/>
      <c r="F296" s="13"/>
      <c r="G296" s="13"/>
      <c r="H296" s="106"/>
    </row>
    <row r="297" spans="1:8" x14ac:dyDescent="0.15">
      <c r="A297" s="105" t="s">
        <v>407</v>
      </c>
      <c r="B297" s="13">
        <v>15</v>
      </c>
      <c r="C297" s="13"/>
      <c r="D297" s="13"/>
      <c r="E297" s="13"/>
      <c r="F297" s="13"/>
      <c r="G297" s="13"/>
      <c r="H297" s="106"/>
    </row>
    <row r="298" spans="1:8" x14ac:dyDescent="0.15">
      <c r="A298" s="105" t="s">
        <v>408</v>
      </c>
      <c r="B298" s="13">
        <v>16</v>
      </c>
      <c r="C298" s="13"/>
      <c r="D298" s="13"/>
      <c r="E298" s="13"/>
      <c r="F298" s="13"/>
      <c r="G298" s="13"/>
      <c r="H298" s="106"/>
    </row>
    <row r="299" spans="1:8" x14ac:dyDescent="0.15">
      <c r="A299" s="105" t="s">
        <v>409</v>
      </c>
      <c r="B299" s="13">
        <v>17</v>
      </c>
      <c r="C299" s="13"/>
      <c r="D299" s="13"/>
      <c r="E299" s="13"/>
      <c r="F299" s="13"/>
      <c r="G299" s="13"/>
      <c r="H299" s="106"/>
    </row>
    <row r="300" spans="1:8" x14ac:dyDescent="0.15">
      <c r="A300" t="s">
        <v>427</v>
      </c>
      <c r="B300">
        <v>2</v>
      </c>
      <c r="H300" s="106"/>
    </row>
    <row r="301" spans="1:8" x14ac:dyDescent="0.15">
      <c r="A301" s="202" t="s">
        <v>424</v>
      </c>
      <c r="B301">
        <v>8</v>
      </c>
      <c r="H301" s="106"/>
    </row>
    <row r="302" spans="1:8" x14ac:dyDescent="0.15">
      <c r="A302" s="202" t="s">
        <v>425</v>
      </c>
      <c r="B302">
        <v>9</v>
      </c>
      <c r="H302" s="106"/>
    </row>
    <row r="303" spans="1:8" ht="13.5" thickBot="1" x14ac:dyDescent="0.2">
      <c r="A303" s="208" t="s">
        <v>426</v>
      </c>
      <c r="B303" s="110">
        <v>10</v>
      </c>
      <c r="C303" s="110"/>
      <c r="D303" s="110"/>
      <c r="E303" s="110"/>
      <c r="F303" s="110"/>
      <c r="G303" s="110"/>
      <c r="H303" s="111"/>
    </row>
    <row r="307" spans="1:2" x14ac:dyDescent="0.15">
      <c r="A307" s="198"/>
    </row>
    <row r="308" spans="1:2" x14ac:dyDescent="0.15">
      <c r="A308" s="524" t="s">
        <v>696</v>
      </c>
      <c r="B308" s="525" t="str">
        <f>ROUND('Power Calculations'!AU209*1,1)&amp;"%"</f>
        <v>95%</v>
      </c>
    </row>
    <row r="309" spans="1:2" x14ac:dyDescent="0.15">
      <c r="A309" s="524" t="s">
        <v>697</v>
      </c>
      <c r="B309" s="64" t="str">
        <f>ROUND('Power Calculations'!AU109*1,1)&amp;"%"</f>
        <v>95%</v>
      </c>
    </row>
    <row r="346" spans="1:1" x14ac:dyDescent="0.15">
      <c r="A346" t="s">
        <v>316</v>
      </c>
    </row>
    <row r="347" spans="1:1" x14ac:dyDescent="0.15">
      <c r="A347" t="s">
        <v>317</v>
      </c>
    </row>
    <row r="348" spans="1:1" x14ac:dyDescent="0.15">
      <c r="A348" t="s">
        <v>318</v>
      </c>
    </row>
    <row r="349" spans="1:1" x14ac:dyDescent="0.15">
      <c r="A349" t="s">
        <v>319</v>
      </c>
    </row>
  </sheetData>
  <sheetProtection selectLockedCells="1"/>
  <mergeCells count="2">
    <mergeCell ref="D5:G5"/>
    <mergeCell ref="A1:H1"/>
  </mergeCells>
  <phoneticPr fontId="5" type="noConversion"/>
  <pageMargins left="0.75" right="0.75" top="1" bottom="1" header="0.5" footer="0.5"/>
  <pageSetup orientation="portrait" r:id="rId1"/>
  <headerFooter alignWithMargins="0"/>
  <ignoredErrors>
    <ignoredError sqref="L69:L73" numberStoredAsText="1"/>
  </ignoredErrors>
  <drawing r:id="rId2"/>
  <legacyDrawing r:id="rId3"/>
  <oleObjects>
    <mc:AlternateContent xmlns:mc="http://schemas.openxmlformats.org/markup-compatibility/2006">
      <mc:Choice Requires="x14">
        <oleObject progId="Visio.Drawing.11" shapeId="3073" r:id="rId4">
          <objectPr defaultSize="0" autoPict="0" r:id="rId5">
            <anchor moveWithCells="1">
              <from>
                <xdr:col>9</xdr:col>
                <xdr:colOff>219075</xdr:colOff>
                <xdr:row>10</xdr:row>
                <xdr:rowOff>114300</xdr:rowOff>
              </from>
              <to>
                <xdr:col>16</xdr:col>
                <xdr:colOff>28575</xdr:colOff>
                <xdr:row>31</xdr:row>
                <xdr:rowOff>123825</xdr:rowOff>
              </to>
            </anchor>
          </objectPr>
        </oleObject>
      </mc:Choice>
      <mc:Fallback>
        <oleObject progId="Visio.Drawing.11" shapeId="3073"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2:T159"/>
  <sheetViews>
    <sheetView workbookViewId="0">
      <selection activeCell="S4" sqref="S4"/>
    </sheetView>
  </sheetViews>
  <sheetFormatPr defaultRowHeight="12.75" x14ac:dyDescent="0.15"/>
  <cols>
    <col min="1" max="1" width="17.2578125" customWidth="1"/>
    <col min="2" max="2" width="12" bestFit="1" customWidth="1"/>
    <col min="3" max="5" width="12.40625" bestFit="1" customWidth="1"/>
    <col min="8" max="8" width="12.40625" bestFit="1" customWidth="1"/>
    <col min="14" max="14" width="11.8671875" customWidth="1"/>
    <col min="17" max="17" width="12.13671875" customWidth="1"/>
    <col min="18" max="18" width="12.40625" bestFit="1" customWidth="1"/>
    <col min="19" max="19" width="15.37109375" customWidth="1"/>
  </cols>
  <sheetData>
    <row r="2" spans="1:20" x14ac:dyDescent="0.15">
      <c r="A2" t="s">
        <v>307</v>
      </c>
      <c r="B2" t="s">
        <v>295</v>
      </c>
      <c r="C2" t="s">
        <v>54</v>
      </c>
      <c r="D2" t="s">
        <v>55</v>
      </c>
      <c r="E2" t="s">
        <v>57</v>
      </c>
      <c r="F2" t="s">
        <v>36</v>
      </c>
      <c r="G2" t="s">
        <v>127</v>
      </c>
      <c r="H2" t="s">
        <v>701</v>
      </c>
      <c r="I2" t="s">
        <v>321</v>
      </c>
      <c r="J2" t="s">
        <v>305</v>
      </c>
      <c r="K2" t="s">
        <v>325</v>
      </c>
      <c r="L2" t="s">
        <v>304</v>
      </c>
      <c r="M2" t="s">
        <v>315</v>
      </c>
      <c r="N2" t="s">
        <v>359</v>
      </c>
    </row>
    <row r="3" spans="1:20" x14ac:dyDescent="0.15">
      <c r="A3" t="s">
        <v>310</v>
      </c>
      <c r="B3">
        <f>Css</f>
        <v>5.2500000000000014E-8</v>
      </c>
      <c r="C3">
        <f>Cc1ea</f>
        <v>8.041379474764067E-9</v>
      </c>
      <c r="D3">
        <f>Cc2ea</f>
        <v>1.5741689020745319E-10</v>
      </c>
      <c r="E3">
        <f>Cc3ea</f>
        <v>1.624706712586263E-9</v>
      </c>
      <c r="F3">
        <f>Cout</f>
        <v>3.3E-4</v>
      </c>
      <c r="G3">
        <f>Cin</f>
        <v>2.4000000000000001E-5</v>
      </c>
      <c r="H3">
        <f>Cilim</f>
        <v>1.6533957705134094E-11</v>
      </c>
      <c r="I3">
        <f>Cdd</f>
        <v>0</v>
      </c>
      <c r="J3">
        <f>Csb</f>
        <v>0</v>
      </c>
      <c r="K3">
        <f>Csby</f>
        <v>100</v>
      </c>
      <c r="L3">
        <f>Cby</f>
        <v>0</v>
      </c>
      <c r="M3">
        <f>Cb</f>
        <v>0</v>
      </c>
      <c r="N3" t="e">
        <f>'Variable Management'!#REF!</f>
        <v>#REF!</v>
      </c>
      <c r="Q3" t="s">
        <v>312</v>
      </c>
      <c r="R3" t="s">
        <v>314</v>
      </c>
      <c r="S3" s="2" t="s">
        <v>309</v>
      </c>
    </row>
    <row r="4" spans="1:20" ht="14.25" x14ac:dyDescent="0.2">
      <c r="A4" s="7" t="s">
        <v>309</v>
      </c>
      <c r="B4" s="7">
        <f>SUM(B6:B158)/1000000000000</f>
        <v>5.5999999999999999E-8</v>
      </c>
      <c r="C4" s="7">
        <f t="shared" ref="C4:H4" si="0">SUM(C6:C158)/1000000000000</f>
        <v>8.2000000000000006E-9</v>
      </c>
      <c r="D4" s="7">
        <f t="shared" si="0"/>
        <v>1.5E-10</v>
      </c>
      <c r="E4" s="7">
        <f t="shared" si="0"/>
        <v>1.5E-9</v>
      </c>
      <c r="F4" s="7">
        <f t="shared" si="0"/>
        <v>3.3E-4</v>
      </c>
      <c r="G4" s="7">
        <f t="shared" si="0"/>
        <v>2.1999999999999999E-5</v>
      </c>
      <c r="H4" s="7">
        <f t="shared" si="0"/>
        <v>1.7999999999999999E-11</v>
      </c>
      <c r="I4" s="7">
        <f t="shared" ref="I4:N4" si="1">IF(I3="OPEN","OPEN",SUM(I6:I158)/1000000000000)</f>
        <v>0</v>
      </c>
      <c r="J4" s="7">
        <f t="shared" si="1"/>
        <v>0</v>
      </c>
      <c r="K4" s="7">
        <f t="shared" si="1"/>
        <v>0</v>
      </c>
      <c r="L4" s="7">
        <f t="shared" si="1"/>
        <v>0</v>
      </c>
      <c r="M4" s="7">
        <f t="shared" si="1"/>
        <v>0</v>
      </c>
      <c r="N4" s="7" t="e">
        <f t="shared" si="1"/>
        <v>#REF!</v>
      </c>
      <c r="Q4" t="s">
        <v>313</v>
      </c>
      <c r="R4">
        <f>Rfadj</f>
        <v>40000</v>
      </c>
      <c r="S4" s="2">
        <f t="shared" ref="S4:S6" si="2">IF(R4&gt;(INT(0.5+100*POWER(10,IF(96*(LOG(R4)-INT(LOG(R4)))-ROUND(96*(LOG(R4)-INT(LOG(R4))),0)&lt;0,ROUND(96*(LOG(R4)-INT(LOG(R4))),0)-1,ROUND(96*(LOG(R4)-INT(LOG(R4))),0))/96))*POWER(10,INT(LOG(R4))-2)+INT(0.5+100*POWER(10,(IF(96*(LOG(R4)-INT(LOG(R4)))-ROUND(96*(LOG(R4)-INT(LOG(R4))),0)&lt;0,ROUND(96*(LOG(R4)-INT(LOG(R4))),0)-1,ROUND(96*(LOG(R4)-INT(LOG(R4))),0))+1)/96))*POWER(10,INT(LOG(R4))-2))/2,INT(0.5+100*POWER(10,(IF(96*(LOG(R4)-INT(LOG(R4)))-ROUND(96*(LOG(R4)-INT(LOG(R4))),0)&lt;0,ROUND(96*(LOG(R4)-INT(LOG(R4))),0)-1,ROUND(96*(LOG(R4)-INT(LOG(R4))),0))+1)/96))*POWER(10,INT(LOG(R4))-2),INT(0.5+100*POWER(10,IF(96*(LOG(R4)-INT(LOG(R4)))-ROUND(96*(LOG(R4)-INT(LOG(R4))),0)&lt;0,ROUND(96*(LOG(R4)-INT(LOG(R4))),0)-1,ROUND(96*(LOG(R4)-INT(LOG(R4))),0))/96))*POWER(10,INT(LOG(R4))-2))</f>
        <v>40200</v>
      </c>
      <c r="T4" s="65" t="s">
        <v>539</v>
      </c>
    </row>
    <row r="5" spans="1:20" ht="14.25" x14ac:dyDescent="0.2">
      <c r="A5" t="s">
        <v>308</v>
      </c>
      <c r="Q5" s="203" t="s">
        <v>595</v>
      </c>
      <c r="R5">
        <f>Rilim_Rdson_ideal</f>
        <v>323.73010101010101</v>
      </c>
      <c r="S5" s="2">
        <f t="shared" si="2"/>
        <v>324</v>
      </c>
      <c r="T5" s="65" t="s">
        <v>539</v>
      </c>
    </row>
    <row r="6" spans="1:20" ht="14.25" x14ac:dyDescent="0.2">
      <c r="A6">
        <v>0.47</v>
      </c>
      <c r="B6">
        <f>IF(IF((B$3*10^12-$A7)*(B$3*10^12-$A6)*-1&lt;0,0,1)*IF(ABS(B$3*10^12-$A7)&gt;(B$3*10^12-$A6),$A6,$A7)=B7,0,IF((B$3*10^12-$A7)*(B$3*10^12-$A6)*-1&lt;0,0,1)*IF(ABS(B$3*10^12-$A7)&gt;(B$3*10^12-$A6),$A6,$A7))</f>
        <v>0</v>
      </c>
      <c r="C6">
        <f>IF(IF((C$3*10^12-$A7)*(C$3*10^12-$A6)*-1&lt;0,0,1)*IF(ABS(C$3*10^12-$A7)&gt;(C$3*10^12-$A6),$A6,$A7)=C7,0,IF((C$3*10^12-$A7)*(C$3*10^12-$A6)*-1&lt;0,0,1)*IF(ABS(C$3*10^12-$A7)&gt;(C$3*10^12-$A6),$A6,$A7))</f>
        <v>0</v>
      </c>
      <c r="D6">
        <f t="shared" ref="D6:D69" si="3">IF(IF((D$3*10^12-$A7)*(D$3*10^12-$A6)*-1&lt;0,0,1)*IF(ABS(D$3*10^12-$A7)&gt;(D$3*10^12-$A6),$A6,$A7)=D7,0,IF((D$3*10^12-$A7)*(D$3*10^12-$A6)*-1&lt;0,0,1)*IF(ABS(D$3*10^12-$A7)&gt;(D$3*10^12-$A6),$A6,$A7))</f>
        <v>0</v>
      </c>
      <c r="E6">
        <f t="shared" ref="E6:E69" si="4">IF(IF((E$3*10^12-$A7)*(E$3*10^12-$A6)*-1&lt;0,0,1)*IF(ABS(E$3*10^12-$A7)&gt;(E$3*10^12-$A6),$A6,$A7)=E7,0,IF((E$3*10^12-$A7)*(E$3*10^12-$A6)*-1&lt;0,0,1)*IF(ABS(E$3*10^12-$A7)&gt;(E$3*10^12-$A6),$A6,$A7))</f>
        <v>0</v>
      </c>
      <c r="F6">
        <f t="shared" ref="F6:F69" si="5">IF(IF((F$3*10^12-$A7)*(F$3*10^12-$A6)*-1&lt;0,0,1)*IF(ABS(F$3*10^12-$A7)&gt;(F$3*10^12-$A6),$A6,$A7)=F7,0,IF((F$3*10^12-$A7)*(F$3*10^12-$A6)*-1&lt;0,0,1)*IF(ABS(F$3*10^12-$A7)&gt;(F$3*10^12-$A6),$A6,$A7))</f>
        <v>0</v>
      </c>
      <c r="G6">
        <f t="shared" ref="G6:G69" si="6">IF(IF((G$3*10^12-$A7)*(G$3*10^12-$A6)*-1&lt;0,0,1)*IF(ABS(G$3*10^12-$A7)&gt;(G$3*10^12-$A6),$A6,$A7)=G7,0,IF((G$3*10^12-$A7)*(G$3*10^12-$A6)*-1&lt;0,0,1)*IF(ABS(G$3*10^12-$A7)&gt;(G$3*10^12-$A6),$A6,$A7))</f>
        <v>0</v>
      </c>
      <c r="H6">
        <f t="shared" ref="H6:K69" si="7">IF(IF((H$3*10^12-$A7)*(H$3*10^12-$A6)*-1&lt;0,0,1)*IF(ABS(H$3*10^12-$A7)&gt;(H$3*10^12-$A6),$A6,$A7)=H7,0,IF((H$3*10^12-$A7)*(H$3*10^12-$A6)*-1&lt;0,0,1)*IF(ABS(H$3*10^12-$A7)&gt;(H$3*10^12-$A6),$A6,$A7))</f>
        <v>0</v>
      </c>
      <c r="I6">
        <f t="shared" si="7"/>
        <v>0</v>
      </c>
      <c r="J6">
        <f t="shared" si="7"/>
        <v>0</v>
      </c>
      <c r="K6">
        <f t="shared" si="7"/>
        <v>0</v>
      </c>
      <c r="L6">
        <f t="shared" ref="L6:L69" si="8">IF(IF((L$3*10^12-$A7)*(L$3*10^12-$A6)*-1&lt;0,0,1)*IF(ABS(L$3*10^12-$A7)&gt;(L$3*10^12-$A6),$A6,$A7)=L7,0,IF((L$3*10^12-$A7)*(L$3*10^12-$A6)*-1&lt;0,0,1)*IF(ABS(L$3*10^12-$A7)&gt;(L$3*10^12-$A6),$A6,$A7))</f>
        <v>0</v>
      </c>
      <c r="M6">
        <f t="shared" ref="M6:M37" si="9">IF(IF((M$3*10^12-$A7)*(M$3*10^12-$A6)*-1&lt;0,0,1)*IF(ABS(M$3*10^12-$A7)&gt;(M$3*10^12-$A6),$A6,$A7)=M7,0,IF((M$3*10^12-$A7)*(M$3*10^12-$A6)*-1&lt;0,0,1)*IF(ABS(M$3*10^12-$A7)&gt;(M$3*10^12-$A6),$A6,$A7))</f>
        <v>0</v>
      </c>
      <c r="N6" t="e">
        <f t="shared" ref="N6:N37" si="10">IF(IF((N$3*10^12-$A7)*(N$3*10^12-$A6)*-1&lt;0,0,1)*IF(ABS(N$3*10^12-$A7)&gt;(N$3*10^12-$A6),$A6,$A7)=N7,0,IF((N$3*10^12-$A7)*(N$3*10^12-$A6)*-1&lt;0,0,1)*IF(ABS(N$3*10^12-$A7)&gt;(N$3*10^12-$A6),$A6,$A7))</f>
        <v>#REF!</v>
      </c>
      <c r="Q6" s="203" t="s">
        <v>595</v>
      </c>
      <c r="R6">
        <f>Rilim_Rdson_ideal</f>
        <v>323.73010101010101</v>
      </c>
      <c r="S6" s="2">
        <f t="shared" si="2"/>
        <v>324</v>
      </c>
      <c r="T6" s="65" t="s">
        <v>539</v>
      </c>
    </row>
    <row r="7" spans="1:20" x14ac:dyDescent="0.15">
      <c r="A7">
        <v>0.56000000000000005</v>
      </c>
      <c r="B7">
        <f t="shared" ref="B7:B70" si="11">IF(IF((B$3*10^12-$A8)*(B$3*10^12-$A7)*-1&lt;0,0,1)*IF(ABS(B$3*10^12-$A8)&gt;(B$3*10^12-$A7),$A7,$A8)=B8,0,IF((B$3*10^12-$A8)*(B$3*10^12-$A7)*-1&lt;0,0,1)*IF(ABS(B$3*10^12-$A8)&gt;(B$3*10^12-$A7),$A7,$A8))</f>
        <v>0</v>
      </c>
      <c r="C7">
        <f t="shared" ref="C7:C38" si="12">IF(IF((C$3*10^12-$A8)*(C$3*10^12-$A7)*-1&lt;0,0,1)*IF(ABS(C$3*10^12-$A8)&gt;(C$3*10^12-$A7),$A7,$A8)=C8,0,IF((C$3*10^12-$A8)*(C$3*10^12-$A7)*-1&lt;0,0,1)*IF(ABS(C$3*10^12-$A8)&gt;(C$3*10^12-$A7),$A7,$A8))</f>
        <v>0</v>
      </c>
      <c r="D7">
        <f t="shared" si="3"/>
        <v>0</v>
      </c>
      <c r="E7">
        <f t="shared" si="4"/>
        <v>0</v>
      </c>
      <c r="F7">
        <f t="shared" si="5"/>
        <v>0</v>
      </c>
      <c r="G7">
        <f t="shared" si="6"/>
        <v>0</v>
      </c>
      <c r="H7">
        <f t="shared" si="7"/>
        <v>0</v>
      </c>
      <c r="I7">
        <f t="shared" si="7"/>
        <v>0</v>
      </c>
      <c r="J7">
        <f t="shared" si="7"/>
        <v>0</v>
      </c>
      <c r="K7">
        <f t="shared" si="7"/>
        <v>0</v>
      </c>
      <c r="L7">
        <f t="shared" si="8"/>
        <v>0</v>
      </c>
      <c r="M7">
        <f t="shared" si="9"/>
        <v>0</v>
      </c>
      <c r="N7" t="e">
        <f t="shared" si="10"/>
        <v>#REF!</v>
      </c>
    </row>
    <row r="8" spans="1:20" ht="14.25" x14ac:dyDescent="0.2">
      <c r="A8">
        <v>0.68</v>
      </c>
      <c r="B8">
        <f t="shared" si="11"/>
        <v>0</v>
      </c>
      <c r="C8">
        <f t="shared" si="12"/>
        <v>0</v>
      </c>
      <c r="D8">
        <f t="shared" si="3"/>
        <v>0</v>
      </c>
      <c r="E8">
        <f t="shared" si="4"/>
        <v>0</v>
      </c>
      <c r="F8">
        <f t="shared" si="5"/>
        <v>0</v>
      </c>
      <c r="G8">
        <f t="shared" si="6"/>
        <v>0</v>
      </c>
      <c r="H8">
        <f t="shared" si="7"/>
        <v>0</v>
      </c>
      <c r="I8">
        <f t="shared" si="7"/>
        <v>0</v>
      </c>
      <c r="J8">
        <f t="shared" si="7"/>
        <v>0</v>
      </c>
      <c r="K8">
        <f t="shared" si="7"/>
        <v>0</v>
      </c>
      <c r="L8">
        <f t="shared" si="8"/>
        <v>0</v>
      </c>
      <c r="M8">
        <f t="shared" si="9"/>
        <v>0</v>
      </c>
      <c r="N8" t="e">
        <f t="shared" si="10"/>
        <v>#REF!</v>
      </c>
      <c r="Q8" t="s">
        <v>345</v>
      </c>
      <c r="R8">
        <f>Rcea1</f>
        <v>8246.6646308025593</v>
      </c>
      <c r="S8" s="2">
        <f>IF(R8&gt;(INT(0.5+100*POWER(10,IF(96*(LOG(R8)-INT(LOG(R8)))-ROUND(96*(LOG(R8)-INT(LOG(R8))),0)&lt;0,ROUND(96*(LOG(R8)-INT(LOG(R8))),0)-1,ROUND(96*(LOG(R8)-INT(LOG(R8))),0))/96))*POWER(10,INT(LOG(R8))-2)+INT(0.5+100*POWER(10,(IF(96*(LOG(R8)-INT(LOG(R8)))-ROUND(96*(LOG(R8)-INT(LOG(R8))),0)&lt;0,ROUND(96*(LOG(R8)-INT(LOG(R8))),0)-1,ROUND(96*(LOG(R8)-INT(LOG(R8))),0))+1)/96))*POWER(10,INT(LOG(R8))-2))/2,INT(0.5+100*POWER(10,(IF(96*(LOG(R8)-INT(LOG(R8)))-ROUND(96*(LOG(R8)-INT(LOG(R8))),0)&lt;0,ROUND(96*(LOG(R8)-INT(LOG(R8))),0)-1,ROUND(96*(LOG(R8)-INT(LOG(R8))),0))+1)/96))*POWER(10,INT(LOG(R8))-2),INT(0.5+100*POWER(10,IF(96*(LOG(R8)-INT(LOG(R8)))-ROUND(96*(LOG(R8)-INT(LOG(R8))),0)&lt;0,ROUND(96*(LOG(R8)-INT(LOG(R8))),0)-1,ROUND(96*(LOG(R8)-INT(LOG(R8))),0))/96))*POWER(10,INT(LOG(R8))-2))</f>
        <v>8250</v>
      </c>
      <c r="T8" s="65" t="s">
        <v>539</v>
      </c>
    </row>
    <row r="9" spans="1:20" ht="14.25" x14ac:dyDescent="0.2">
      <c r="A9">
        <v>0.82</v>
      </c>
      <c r="B9">
        <f t="shared" si="11"/>
        <v>0</v>
      </c>
      <c r="C9">
        <f t="shared" si="12"/>
        <v>0</v>
      </c>
      <c r="D9">
        <f t="shared" si="3"/>
        <v>0</v>
      </c>
      <c r="E9">
        <f t="shared" si="4"/>
        <v>0</v>
      </c>
      <c r="F9">
        <f t="shared" si="5"/>
        <v>0</v>
      </c>
      <c r="G9">
        <f t="shared" si="6"/>
        <v>0</v>
      </c>
      <c r="H9">
        <f t="shared" si="7"/>
        <v>0</v>
      </c>
      <c r="I9">
        <f t="shared" si="7"/>
        <v>0</v>
      </c>
      <c r="J9">
        <f t="shared" si="7"/>
        <v>0</v>
      </c>
      <c r="K9">
        <f t="shared" si="7"/>
        <v>0</v>
      </c>
      <c r="L9">
        <f t="shared" si="8"/>
        <v>0</v>
      </c>
      <c r="M9">
        <f t="shared" si="9"/>
        <v>0</v>
      </c>
      <c r="N9" t="e">
        <f t="shared" si="10"/>
        <v>#REF!</v>
      </c>
      <c r="Q9" t="s">
        <v>346</v>
      </c>
      <c r="R9">
        <f>Rcea2</f>
        <v>408.16326530612247</v>
      </c>
      <c r="S9" s="2">
        <f>IF(R9&gt;(INT(0.5+100*POWER(10,IF(96*(LOG(R9)-INT(LOG(R9)))-ROUND(96*(LOG(R9)-INT(LOG(R9))),0)&lt;0,ROUND(96*(LOG(R9)-INT(LOG(R9))),0)-1,ROUND(96*(LOG(R9)-INT(LOG(R9))),0))/96))*POWER(10,INT(LOG(R9))-2)+INT(0.5+100*POWER(10,(IF(96*(LOG(R9)-INT(LOG(R9)))-ROUND(96*(LOG(R9)-INT(LOG(R9))),0)&lt;0,ROUND(96*(LOG(R9)-INT(LOG(R9))),0)-1,ROUND(96*(LOG(R9)-INT(LOG(R9))),0))+1)/96))*POWER(10,INT(LOG(R9))-2))/2,INT(0.5+100*POWER(10,(IF(96*(LOG(R9)-INT(LOG(R9)))-ROUND(96*(LOG(R9)-INT(LOG(R9))),0)&lt;0,ROUND(96*(LOG(R9)-INT(LOG(R9))),0)-1,ROUND(96*(LOG(R9)-INT(LOG(R9))),0))+1)/96))*POWER(10,INT(LOG(R9))-2),INT(0.5+100*POWER(10,IF(96*(LOG(R9)-INT(LOG(R9)))-ROUND(96*(LOG(R9)-INT(LOG(R9))),0)&lt;0,ROUND(96*(LOG(R9)-INT(LOG(R9))),0)-1,ROUND(96*(LOG(R9)-INT(LOG(R9))),0))/96))*POWER(10,INT(LOG(R9))-2))</f>
        <v>412</v>
      </c>
      <c r="T9" s="65" t="s">
        <v>539</v>
      </c>
    </row>
    <row r="10" spans="1:20" ht="14.25" x14ac:dyDescent="0.2">
      <c r="A10">
        <v>1</v>
      </c>
      <c r="B10">
        <f t="shared" si="11"/>
        <v>0</v>
      </c>
      <c r="C10">
        <f t="shared" si="12"/>
        <v>0</v>
      </c>
      <c r="D10">
        <f t="shared" si="3"/>
        <v>0</v>
      </c>
      <c r="E10">
        <f t="shared" si="4"/>
        <v>0</v>
      </c>
      <c r="F10">
        <f t="shared" si="5"/>
        <v>0</v>
      </c>
      <c r="G10">
        <f t="shared" si="6"/>
        <v>0</v>
      </c>
      <c r="H10">
        <f t="shared" si="7"/>
        <v>0</v>
      </c>
      <c r="I10">
        <f t="shared" si="7"/>
        <v>0</v>
      </c>
      <c r="J10">
        <f t="shared" si="7"/>
        <v>0</v>
      </c>
      <c r="K10">
        <f t="shared" si="7"/>
        <v>0</v>
      </c>
      <c r="L10">
        <f t="shared" si="8"/>
        <v>0</v>
      </c>
      <c r="M10">
        <f t="shared" si="9"/>
        <v>0</v>
      </c>
      <c r="N10" t="e">
        <f t="shared" si="10"/>
        <v>#REF!</v>
      </c>
      <c r="Q10" t="s">
        <v>52</v>
      </c>
      <c r="R10">
        <f>_Rfb1</f>
        <v>20000</v>
      </c>
      <c r="S10" s="2">
        <f>IF(R10&gt;(INT(0.5+100*POWER(10,IF(96*(LOG(R10)-INT(LOG(R10)))-ROUND(96*(LOG(R10)-INT(LOG(R10))),0)&lt;0,ROUND(96*(LOG(R10)-INT(LOG(R10))),0)-1,ROUND(96*(LOG(R10)-INT(LOG(R10))),0))/96))*POWER(10,INT(LOG(R10))-2)+INT(0.5+100*POWER(10,(IF(96*(LOG(R10)-INT(LOG(R10)))-ROUND(96*(LOG(R10)-INT(LOG(R10))),0)&lt;0,ROUND(96*(LOG(R10)-INT(LOG(R10))),0)-1,ROUND(96*(LOG(R10)-INT(LOG(R10))),0))+1)/96))*POWER(10,INT(LOG(R10))-2))/2,INT(0.5+100*POWER(10,(IF(96*(LOG(R10)-INT(LOG(R10)))-ROUND(96*(LOG(R10)-INT(LOG(R10))),0)&lt;0,ROUND(96*(LOG(R10)-INT(LOG(R10))),0)-1,ROUND(96*(LOG(R10)-INT(LOG(R10))),0))+1)/96))*POWER(10,INT(LOG(R10))-2),INT(0.5+100*POWER(10,IF(96*(LOG(R10)-INT(LOG(R10)))-ROUND(96*(LOG(R10)-INT(LOG(R10))),0)&lt;0,ROUND(96*(LOG(R10)-INT(LOG(R10))),0)-1,ROUND(96*(LOG(R10)-INT(LOG(R10))),0))/96))*POWER(10,INT(LOG(R10))-2))</f>
        <v>20000</v>
      </c>
      <c r="T10" s="65" t="s">
        <v>539</v>
      </c>
    </row>
    <row r="11" spans="1:20" ht="14.25" x14ac:dyDescent="0.2">
      <c r="A11">
        <v>1.2</v>
      </c>
      <c r="B11">
        <f t="shared" si="11"/>
        <v>0</v>
      </c>
      <c r="C11">
        <f t="shared" si="12"/>
        <v>0</v>
      </c>
      <c r="D11">
        <f t="shared" si="3"/>
        <v>0</v>
      </c>
      <c r="E11">
        <f t="shared" si="4"/>
        <v>0</v>
      </c>
      <c r="F11">
        <f t="shared" si="5"/>
        <v>0</v>
      </c>
      <c r="G11">
        <f t="shared" si="6"/>
        <v>0</v>
      </c>
      <c r="H11">
        <f t="shared" si="7"/>
        <v>0</v>
      </c>
      <c r="I11">
        <f t="shared" si="7"/>
        <v>0</v>
      </c>
      <c r="J11">
        <f t="shared" si="7"/>
        <v>0</v>
      </c>
      <c r="K11">
        <f t="shared" si="7"/>
        <v>0</v>
      </c>
      <c r="L11">
        <f t="shared" si="8"/>
        <v>0</v>
      </c>
      <c r="M11">
        <f t="shared" si="9"/>
        <v>0</v>
      </c>
      <c r="N11" t="e">
        <f t="shared" si="10"/>
        <v>#REF!</v>
      </c>
      <c r="Q11" t="s">
        <v>77</v>
      </c>
      <c r="R11">
        <f>_Rfb2</f>
        <v>3809.5238095238096</v>
      </c>
      <c r="S11" s="2">
        <f>IF(R11="OPEN","OPEN",IF(R11&gt;(INT(0.5+100*POWER(10,IF(96*(LOG(R11)-INT(LOG(R11)))-ROUND(96*(LOG(R11)-INT(LOG(R11))),0)&lt;0,ROUND(96*(LOG(R11)-INT(LOG(R11))),0)-1,ROUND(96*(LOG(R11)-INT(LOG(R11))),0))/96))*POWER(10,INT(LOG(R11))-2)+INT(0.5+100*POWER(10,(IF(96*(LOG(R11)-INT(LOG(R11)))-ROUND(96*(LOG(R11)-INT(LOG(R11))),0)&lt;0,ROUND(96*(LOG(R11)-INT(LOG(R11))),0)-1,ROUND(96*(LOG(R11)-INT(LOG(R11))),0))+1)/96))*POWER(10,INT(LOG(R11))-2))/2,INT(0.5+100*POWER(10,(IF(96*(LOG(R11)-INT(LOG(R11)))-ROUND(96*(LOG(R11)-INT(LOG(R11))),0)&lt;0,ROUND(96*(LOG(R11)-INT(LOG(R11))),0)-1,ROUND(96*(LOG(R11)-INT(LOG(R11))),0))+1)/96))*POWER(10,INT(LOG(R11))-2),INT(0.5+100*POWER(10,IF(96*(LOG(R11)-INT(LOG(R11)))-ROUND(96*(LOG(R11)-INT(LOG(R11))),0)&lt;0,ROUND(96*(LOG(R11)-INT(LOG(R11))),0)-1,ROUND(96*(LOG(R11)-INT(LOG(R11))),0))/96))*POWER(10,INT(LOG(R11))-2)))</f>
        <v>3830</v>
      </c>
      <c r="T11" s="65" t="s">
        <v>539</v>
      </c>
    </row>
    <row r="12" spans="1:20" x14ac:dyDescent="0.15">
      <c r="A12">
        <v>1.5</v>
      </c>
      <c r="B12">
        <f t="shared" si="11"/>
        <v>0</v>
      </c>
      <c r="C12">
        <f t="shared" si="12"/>
        <v>0</v>
      </c>
      <c r="D12">
        <f t="shared" si="3"/>
        <v>0</v>
      </c>
      <c r="E12">
        <f t="shared" si="4"/>
        <v>0</v>
      </c>
      <c r="F12">
        <f t="shared" si="5"/>
        <v>0</v>
      </c>
      <c r="G12">
        <f t="shared" si="6"/>
        <v>0</v>
      </c>
      <c r="H12">
        <f t="shared" si="7"/>
        <v>0</v>
      </c>
      <c r="I12">
        <f t="shared" si="7"/>
        <v>0</v>
      </c>
      <c r="J12">
        <f t="shared" si="7"/>
        <v>0</v>
      </c>
      <c r="K12">
        <f t="shared" si="7"/>
        <v>0</v>
      </c>
      <c r="L12">
        <f t="shared" si="8"/>
        <v>0</v>
      </c>
      <c r="M12">
        <f t="shared" si="9"/>
        <v>0</v>
      </c>
      <c r="N12" t="e">
        <f t="shared" si="10"/>
        <v>#REF!</v>
      </c>
      <c r="Q12" t="s">
        <v>316</v>
      </c>
      <c r="R12">
        <f>_Rs1</f>
        <v>18</v>
      </c>
      <c r="S12" s="2"/>
    </row>
    <row r="13" spans="1:20" x14ac:dyDescent="0.15">
      <c r="A13">
        <v>1.8</v>
      </c>
      <c r="B13">
        <f t="shared" si="11"/>
        <v>0</v>
      </c>
      <c r="C13">
        <f t="shared" si="12"/>
        <v>0</v>
      </c>
      <c r="D13">
        <f t="shared" si="3"/>
        <v>0</v>
      </c>
      <c r="E13">
        <f t="shared" si="4"/>
        <v>0</v>
      </c>
      <c r="F13">
        <f t="shared" si="5"/>
        <v>0</v>
      </c>
      <c r="G13">
        <f t="shared" si="6"/>
        <v>0</v>
      </c>
      <c r="H13">
        <f t="shared" si="7"/>
        <v>0</v>
      </c>
      <c r="I13">
        <f t="shared" si="7"/>
        <v>0</v>
      </c>
      <c r="J13">
        <f t="shared" si="7"/>
        <v>0</v>
      </c>
      <c r="K13">
        <f t="shared" si="7"/>
        <v>0</v>
      </c>
      <c r="L13">
        <f t="shared" si="8"/>
        <v>0</v>
      </c>
      <c r="M13">
        <f t="shared" si="9"/>
        <v>0</v>
      </c>
      <c r="N13" t="e">
        <f t="shared" si="10"/>
        <v>#REF!</v>
      </c>
      <c r="Q13" t="s">
        <v>317</v>
      </c>
      <c r="R13">
        <f>_Rs2</f>
        <v>1.6533957705134094E-11</v>
      </c>
      <c r="S13" s="2"/>
    </row>
    <row r="14" spans="1:20" x14ac:dyDescent="0.15">
      <c r="A14">
        <v>2.2000000000000002</v>
      </c>
      <c r="B14">
        <f t="shared" si="11"/>
        <v>0</v>
      </c>
      <c r="C14">
        <f t="shared" si="12"/>
        <v>0</v>
      </c>
      <c r="D14">
        <f t="shared" si="3"/>
        <v>0</v>
      </c>
      <c r="E14">
        <f t="shared" si="4"/>
        <v>0</v>
      </c>
      <c r="F14">
        <f t="shared" si="5"/>
        <v>0</v>
      </c>
      <c r="G14">
        <f t="shared" si="6"/>
        <v>0</v>
      </c>
      <c r="H14">
        <f t="shared" si="7"/>
        <v>0</v>
      </c>
      <c r="I14">
        <f t="shared" si="7"/>
        <v>0</v>
      </c>
      <c r="J14">
        <f t="shared" si="7"/>
        <v>0</v>
      </c>
      <c r="K14">
        <f t="shared" si="7"/>
        <v>0</v>
      </c>
      <c r="L14">
        <f t="shared" si="8"/>
        <v>0</v>
      </c>
      <c r="M14">
        <f t="shared" si="9"/>
        <v>0</v>
      </c>
      <c r="N14" t="e">
        <f t="shared" si="10"/>
        <v>#REF!</v>
      </c>
      <c r="Q14" t="s">
        <v>318</v>
      </c>
      <c r="R14">
        <f>_Rs3</f>
        <v>0.66</v>
      </c>
      <c r="S14" s="2"/>
    </row>
    <row r="15" spans="1:20" x14ac:dyDescent="0.15">
      <c r="A15">
        <v>2.7</v>
      </c>
      <c r="B15">
        <f t="shared" si="11"/>
        <v>0</v>
      </c>
      <c r="C15">
        <f t="shared" si="12"/>
        <v>0</v>
      </c>
      <c r="D15">
        <f t="shared" si="3"/>
        <v>0</v>
      </c>
      <c r="E15">
        <f t="shared" si="4"/>
        <v>0</v>
      </c>
      <c r="F15">
        <f t="shared" si="5"/>
        <v>0</v>
      </c>
      <c r="G15">
        <f t="shared" si="6"/>
        <v>0</v>
      </c>
      <c r="H15">
        <f t="shared" si="7"/>
        <v>0</v>
      </c>
      <c r="I15">
        <f t="shared" si="7"/>
        <v>0</v>
      </c>
      <c r="J15">
        <f t="shared" si="7"/>
        <v>0</v>
      </c>
      <c r="K15">
        <f t="shared" si="7"/>
        <v>0</v>
      </c>
      <c r="L15">
        <f t="shared" si="8"/>
        <v>0</v>
      </c>
      <c r="M15">
        <f t="shared" si="9"/>
        <v>0</v>
      </c>
      <c r="N15" t="e">
        <f t="shared" si="10"/>
        <v>#REF!</v>
      </c>
      <c r="S15" s="2"/>
    </row>
    <row r="16" spans="1:20" ht="14.25" x14ac:dyDescent="0.2">
      <c r="A16">
        <v>3.3</v>
      </c>
      <c r="B16">
        <f t="shared" si="11"/>
        <v>0</v>
      </c>
      <c r="C16">
        <f t="shared" si="12"/>
        <v>0</v>
      </c>
      <c r="D16">
        <f t="shared" si="3"/>
        <v>0</v>
      </c>
      <c r="E16">
        <f t="shared" si="4"/>
        <v>0</v>
      </c>
      <c r="F16">
        <f t="shared" si="5"/>
        <v>0</v>
      </c>
      <c r="G16">
        <f t="shared" si="6"/>
        <v>0</v>
      </c>
      <c r="H16">
        <f t="shared" si="7"/>
        <v>0</v>
      </c>
      <c r="I16">
        <f t="shared" si="7"/>
        <v>0</v>
      </c>
      <c r="J16">
        <f t="shared" si="7"/>
        <v>0</v>
      </c>
      <c r="K16">
        <f t="shared" si="7"/>
        <v>0</v>
      </c>
      <c r="L16">
        <f t="shared" si="8"/>
        <v>0</v>
      </c>
      <c r="M16">
        <f t="shared" si="9"/>
        <v>0</v>
      </c>
      <c r="N16" t="e">
        <f t="shared" si="10"/>
        <v>#REF!</v>
      </c>
      <c r="Q16" s="203" t="s">
        <v>527</v>
      </c>
      <c r="R16">
        <f>Ruvlo1</f>
        <v>50</v>
      </c>
      <c r="S16" s="2">
        <f t="shared" ref="S16:S17" si="13">IF(R16="OPEN","OPEN",IF(R16&gt;(INT(0.5+100*POWER(10,IF(96*(LOG(R16)-INT(LOG(R16)))-ROUND(96*(LOG(R16)-INT(LOG(R16))),0)&lt;0,ROUND(96*(LOG(R16)-INT(LOG(R16))),0)-1,ROUND(96*(LOG(R16)-INT(LOG(R16))),0))/96))*POWER(10,INT(LOG(R16))-2)+INT(0.5+100*POWER(10,(IF(96*(LOG(R16)-INT(LOG(R16)))-ROUND(96*(LOG(R16)-INT(LOG(R16))),0)&lt;0,ROUND(96*(LOG(R16)-INT(LOG(R16))),0)-1,ROUND(96*(LOG(R16)-INT(LOG(R16))),0))+1)/96))*POWER(10,INT(LOG(R16))-2))/2,INT(0.5+100*POWER(10,(IF(96*(LOG(R16)-INT(LOG(R16)))-ROUND(96*(LOG(R16)-INT(LOG(R16))),0)&lt;0,ROUND(96*(LOG(R16)-INT(LOG(R16))),0)-1,ROUND(96*(LOG(R16)-INT(LOG(R16))),0))+1)/96))*POWER(10,INT(LOG(R16))-2),INT(0.5+100*POWER(10,IF(96*(LOG(R16)-INT(LOG(R16)))-ROUND(96*(LOG(R16)-INT(LOG(R16))),0)&lt;0,ROUND(96*(LOG(R16)-INT(LOG(R16))),0)-1,ROUND(96*(LOG(R16)-INT(LOG(R16))),0))/96))*POWER(10,INT(LOG(R16))-2)))</f>
        <v>49.900000000000006</v>
      </c>
      <c r="T16" s="65" t="s">
        <v>493</v>
      </c>
    </row>
    <row r="17" spans="1:20" ht="14.25" x14ac:dyDescent="0.2">
      <c r="A17">
        <v>3.9</v>
      </c>
      <c r="B17">
        <f t="shared" si="11"/>
        <v>0</v>
      </c>
      <c r="C17">
        <f t="shared" si="12"/>
        <v>0</v>
      </c>
      <c r="D17">
        <f t="shared" si="3"/>
        <v>0</v>
      </c>
      <c r="E17">
        <f t="shared" si="4"/>
        <v>0</v>
      </c>
      <c r="F17">
        <f t="shared" si="5"/>
        <v>0</v>
      </c>
      <c r="G17">
        <f t="shared" si="6"/>
        <v>0</v>
      </c>
      <c r="H17">
        <f t="shared" si="7"/>
        <v>0</v>
      </c>
      <c r="I17">
        <f t="shared" si="7"/>
        <v>0</v>
      </c>
      <c r="J17">
        <f t="shared" si="7"/>
        <v>0</v>
      </c>
      <c r="K17">
        <f t="shared" si="7"/>
        <v>0</v>
      </c>
      <c r="L17">
        <f t="shared" si="8"/>
        <v>0</v>
      </c>
      <c r="M17">
        <f t="shared" si="9"/>
        <v>0</v>
      </c>
      <c r="N17" t="e">
        <f t="shared" si="10"/>
        <v>#REF!</v>
      </c>
      <c r="Q17" s="203" t="s">
        <v>528</v>
      </c>
      <c r="R17">
        <f>Ruvlo2</f>
        <v>11.298113207547171</v>
      </c>
      <c r="S17" s="2">
        <f t="shared" si="13"/>
        <v>11.3</v>
      </c>
      <c r="T17" s="65" t="s">
        <v>493</v>
      </c>
    </row>
    <row r="18" spans="1:20" x14ac:dyDescent="0.15">
      <c r="A18">
        <v>4.7</v>
      </c>
      <c r="B18">
        <f t="shared" si="11"/>
        <v>0</v>
      </c>
      <c r="C18">
        <f t="shared" si="12"/>
        <v>0</v>
      </c>
      <c r="D18">
        <f t="shared" si="3"/>
        <v>0</v>
      </c>
      <c r="E18">
        <f t="shared" si="4"/>
        <v>0</v>
      </c>
      <c r="F18">
        <f t="shared" si="5"/>
        <v>0</v>
      </c>
      <c r="G18">
        <f t="shared" si="6"/>
        <v>0</v>
      </c>
      <c r="H18">
        <f t="shared" si="7"/>
        <v>0</v>
      </c>
      <c r="I18">
        <f t="shared" si="7"/>
        <v>0</v>
      </c>
      <c r="J18">
        <f t="shared" si="7"/>
        <v>0</v>
      </c>
      <c r="K18">
        <f t="shared" si="7"/>
        <v>0</v>
      </c>
      <c r="L18">
        <f t="shared" si="8"/>
        <v>0</v>
      </c>
      <c r="M18">
        <f t="shared" si="9"/>
        <v>0</v>
      </c>
      <c r="N18" t="e">
        <f t="shared" si="10"/>
        <v>#REF!</v>
      </c>
      <c r="S18" s="2"/>
    </row>
    <row r="19" spans="1:20" x14ac:dyDescent="0.15">
      <c r="A19">
        <v>5.6</v>
      </c>
      <c r="B19">
        <f t="shared" si="11"/>
        <v>0</v>
      </c>
      <c r="C19">
        <f t="shared" si="12"/>
        <v>0</v>
      </c>
      <c r="D19">
        <f t="shared" si="3"/>
        <v>0</v>
      </c>
      <c r="E19">
        <f t="shared" si="4"/>
        <v>0</v>
      </c>
      <c r="F19">
        <f t="shared" si="5"/>
        <v>0</v>
      </c>
      <c r="G19">
        <f t="shared" si="6"/>
        <v>0</v>
      </c>
      <c r="H19">
        <f t="shared" si="7"/>
        <v>0</v>
      </c>
      <c r="I19">
        <f t="shared" si="7"/>
        <v>0</v>
      </c>
      <c r="J19">
        <f t="shared" si="7"/>
        <v>0</v>
      </c>
      <c r="K19">
        <f t="shared" si="7"/>
        <v>0</v>
      </c>
      <c r="L19">
        <f t="shared" si="8"/>
        <v>0</v>
      </c>
      <c r="M19">
        <f t="shared" si="9"/>
        <v>0</v>
      </c>
      <c r="N19" t="e">
        <f t="shared" si="10"/>
        <v>#REF!</v>
      </c>
      <c r="S19" s="2"/>
    </row>
    <row r="20" spans="1:20" x14ac:dyDescent="0.15">
      <c r="A20">
        <v>6.8</v>
      </c>
      <c r="B20">
        <f t="shared" si="11"/>
        <v>0</v>
      </c>
      <c r="C20">
        <f t="shared" si="12"/>
        <v>0</v>
      </c>
      <c r="D20">
        <f t="shared" si="3"/>
        <v>0</v>
      </c>
      <c r="E20">
        <f t="shared" si="4"/>
        <v>0</v>
      </c>
      <c r="F20">
        <f t="shared" si="5"/>
        <v>0</v>
      </c>
      <c r="G20">
        <f t="shared" si="6"/>
        <v>0</v>
      </c>
      <c r="H20">
        <f t="shared" si="7"/>
        <v>0</v>
      </c>
      <c r="I20">
        <f t="shared" si="7"/>
        <v>0</v>
      </c>
      <c r="J20">
        <f t="shared" si="7"/>
        <v>0</v>
      </c>
      <c r="K20">
        <f t="shared" si="7"/>
        <v>0</v>
      </c>
      <c r="L20">
        <f t="shared" si="8"/>
        <v>0</v>
      </c>
      <c r="M20">
        <f t="shared" si="9"/>
        <v>0</v>
      </c>
      <c r="N20" t="e">
        <f t="shared" si="10"/>
        <v>#REF!</v>
      </c>
      <c r="S20" s="2"/>
    </row>
    <row r="21" spans="1:20" ht="14.25" x14ac:dyDescent="0.2">
      <c r="A21">
        <v>8.1999999999999993</v>
      </c>
      <c r="B21">
        <f t="shared" si="11"/>
        <v>0</v>
      </c>
      <c r="C21">
        <f t="shared" si="12"/>
        <v>0</v>
      </c>
      <c r="D21">
        <f t="shared" si="3"/>
        <v>0</v>
      </c>
      <c r="E21">
        <f t="shared" si="4"/>
        <v>0</v>
      </c>
      <c r="F21">
        <f t="shared" si="5"/>
        <v>0</v>
      </c>
      <c r="G21">
        <f t="shared" si="6"/>
        <v>0</v>
      </c>
      <c r="H21">
        <f t="shared" si="7"/>
        <v>0</v>
      </c>
      <c r="I21">
        <f t="shared" si="7"/>
        <v>0</v>
      </c>
      <c r="J21">
        <f t="shared" si="7"/>
        <v>0</v>
      </c>
      <c r="K21">
        <f t="shared" si="7"/>
        <v>0</v>
      </c>
      <c r="L21">
        <f t="shared" si="8"/>
        <v>0</v>
      </c>
      <c r="M21">
        <f t="shared" si="9"/>
        <v>0</v>
      </c>
      <c r="N21" t="e">
        <f t="shared" si="10"/>
        <v>#REF!</v>
      </c>
      <c r="Q21" s="203"/>
      <c r="S21" s="2"/>
      <c r="T21" s="65"/>
    </row>
    <row r="22" spans="1:20" ht="14.25" x14ac:dyDescent="0.2">
      <c r="A22">
        <v>10</v>
      </c>
      <c r="B22">
        <f t="shared" si="11"/>
        <v>0</v>
      </c>
      <c r="C22">
        <f t="shared" si="12"/>
        <v>0</v>
      </c>
      <c r="D22">
        <f t="shared" si="3"/>
        <v>0</v>
      </c>
      <c r="E22">
        <f t="shared" si="4"/>
        <v>0</v>
      </c>
      <c r="F22">
        <f t="shared" si="5"/>
        <v>0</v>
      </c>
      <c r="G22">
        <f t="shared" si="6"/>
        <v>0</v>
      </c>
      <c r="H22">
        <f t="shared" si="7"/>
        <v>0</v>
      </c>
      <c r="I22">
        <f t="shared" si="7"/>
        <v>0</v>
      </c>
      <c r="J22">
        <f t="shared" si="7"/>
        <v>0</v>
      </c>
      <c r="K22">
        <f t="shared" si="7"/>
        <v>0</v>
      </c>
      <c r="L22">
        <f t="shared" si="8"/>
        <v>0</v>
      </c>
      <c r="M22">
        <f t="shared" si="9"/>
        <v>0</v>
      </c>
      <c r="N22" t="e">
        <f t="shared" si="10"/>
        <v>#REF!</v>
      </c>
      <c r="Q22" s="203" t="s">
        <v>596</v>
      </c>
      <c r="R22" s="464">
        <f>Rilim_shunt_ideal</f>
        <v>971.19030303030297</v>
      </c>
      <c r="S22" s="2">
        <f>IF(R22=0,0,IF(R22&gt;(INT(0.5+100*POWER(10,IF(96*(LOG(R22)-INT(LOG(R22)))-ROUND(96*(LOG(R22)-INT(LOG(R22))),0)&lt;0,ROUND(96*(LOG(R22)-INT(LOG(R22))),0)-1,ROUND(96*(LOG(R22)-INT(LOG(R22))),0))/96))*POWER(10,INT(LOG(R22))-2)+INT(0.5+100*POWER(10,(IF(96*(LOG(R22)-INT(LOG(R22)))-ROUND(96*(LOG(R22)-INT(LOG(R22))),0)&lt;0,ROUND(96*(LOG(R22)-INT(LOG(R22))),0)-1,ROUND(96*(LOG(R22)-INT(LOG(R22))),0))+1)/96))*POWER(10,INT(LOG(R22))-2))/2,INT(0.5+100*POWER(10,(IF(96*(LOG(R22)-INT(LOG(R22)))-ROUND(96*(LOG(R22)-INT(LOG(R22))),0)&lt;0,ROUND(96*(LOG(R22)-INT(LOG(R22))),0)-1,ROUND(96*(LOG(R22)-INT(LOG(R22))),0))+1)/96))*POWER(10,INT(LOG(R22))-2),INT(0.5+100*POWER(10,IF(96*(LOG(R22)-INT(LOG(R22)))-ROUND(96*(LOG(R22)-INT(LOG(R22))),0)&lt;0,ROUND(96*(LOG(R22)-INT(LOG(R22))),0)-1,ROUND(96*(LOG(R22)-INT(LOG(R22))),0))/96))*POWER(10,INT(LOG(R22))-2)))</f>
        <v>976</v>
      </c>
      <c r="T22" s="65" t="s">
        <v>539</v>
      </c>
    </row>
    <row r="23" spans="1:20" x14ac:dyDescent="0.15">
      <c r="A23">
        <v>12</v>
      </c>
      <c r="B23">
        <f t="shared" si="11"/>
        <v>0</v>
      </c>
      <c r="C23">
        <f t="shared" si="12"/>
        <v>0</v>
      </c>
      <c r="D23">
        <f t="shared" si="3"/>
        <v>0</v>
      </c>
      <c r="E23">
        <f t="shared" si="4"/>
        <v>0</v>
      </c>
      <c r="F23">
        <f t="shared" si="5"/>
        <v>0</v>
      </c>
      <c r="G23">
        <f t="shared" si="6"/>
        <v>0</v>
      </c>
      <c r="H23">
        <f t="shared" si="7"/>
        <v>0</v>
      </c>
      <c r="I23">
        <f t="shared" si="7"/>
        <v>0</v>
      </c>
      <c r="J23">
        <f t="shared" si="7"/>
        <v>0</v>
      </c>
      <c r="K23">
        <f t="shared" si="7"/>
        <v>0</v>
      </c>
      <c r="L23">
        <f t="shared" si="8"/>
        <v>0</v>
      </c>
      <c r="M23">
        <f t="shared" si="9"/>
        <v>0</v>
      </c>
      <c r="N23" t="e">
        <f t="shared" si="10"/>
        <v>#REF!</v>
      </c>
      <c r="Q23" t="s">
        <v>701</v>
      </c>
      <c r="R23" s="45">
        <f>Cilim</f>
        <v>1.6533957705134094E-11</v>
      </c>
      <c r="S23" s="2">
        <f>H4*1000000000000</f>
        <v>18</v>
      </c>
      <c r="T23" t="s">
        <v>53</v>
      </c>
    </row>
    <row r="24" spans="1:20" ht="14.25" x14ac:dyDescent="0.2">
      <c r="A24">
        <v>15</v>
      </c>
      <c r="B24">
        <f t="shared" si="11"/>
        <v>0</v>
      </c>
      <c r="C24">
        <f t="shared" si="12"/>
        <v>0</v>
      </c>
      <c r="D24">
        <f t="shared" si="3"/>
        <v>0</v>
      </c>
      <c r="E24">
        <f t="shared" si="4"/>
        <v>0</v>
      </c>
      <c r="F24">
        <f t="shared" si="5"/>
        <v>0</v>
      </c>
      <c r="G24">
        <f t="shared" si="6"/>
        <v>0</v>
      </c>
      <c r="H24">
        <f t="shared" si="7"/>
        <v>18</v>
      </c>
      <c r="I24">
        <f t="shared" si="7"/>
        <v>0</v>
      </c>
      <c r="J24">
        <f t="shared" si="7"/>
        <v>0</v>
      </c>
      <c r="K24">
        <f t="shared" si="7"/>
        <v>0</v>
      </c>
      <c r="L24">
        <f t="shared" si="8"/>
        <v>0</v>
      </c>
      <c r="M24">
        <f t="shared" si="9"/>
        <v>0</v>
      </c>
      <c r="N24" t="e">
        <f t="shared" si="10"/>
        <v>#REF!</v>
      </c>
      <c r="Q24" s="203"/>
      <c r="S24" s="2"/>
      <c r="T24" s="65"/>
    </row>
    <row r="25" spans="1:20" x14ac:dyDescent="0.15">
      <c r="A25">
        <v>18</v>
      </c>
      <c r="B25">
        <f t="shared" si="11"/>
        <v>0</v>
      </c>
      <c r="C25">
        <f t="shared" si="12"/>
        <v>0</v>
      </c>
      <c r="D25">
        <f t="shared" si="3"/>
        <v>0</v>
      </c>
      <c r="E25">
        <f t="shared" si="4"/>
        <v>0</v>
      </c>
      <c r="F25">
        <f t="shared" si="5"/>
        <v>0</v>
      </c>
      <c r="G25">
        <f t="shared" si="6"/>
        <v>0</v>
      </c>
      <c r="H25">
        <f t="shared" si="7"/>
        <v>0</v>
      </c>
      <c r="I25">
        <f t="shared" si="7"/>
        <v>0</v>
      </c>
      <c r="J25">
        <f t="shared" si="7"/>
        <v>0</v>
      </c>
      <c r="K25">
        <f t="shared" si="7"/>
        <v>0</v>
      </c>
      <c r="L25">
        <f t="shared" si="8"/>
        <v>0</v>
      </c>
      <c r="M25">
        <f t="shared" si="9"/>
        <v>0</v>
      </c>
      <c r="N25" t="e">
        <f t="shared" si="10"/>
        <v>#REF!</v>
      </c>
    </row>
    <row r="26" spans="1:20" x14ac:dyDescent="0.15">
      <c r="A26">
        <v>22</v>
      </c>
      <c r="B26">
        <f t="shared" si="11"/>
        <v>0</v>
      </c>
      <c r="C26">
        <f t="shared" si="12"/>
        <v>0</v>
      </c>
      <c r="D26">
        <f t="shared" si="3"/>
        <v>0</v>
      </c>
      <c r="E26">
        <f t="shared" si="4"/>
        <v>0</v>
      </c>
      <c r="F26">
        <f t="shared" si="5"/>
        <v>0</v>
      </c>
      <c r="G26">
        <f t="shared" si="6"/>
        <v>0</v>
      </c>
      <c r="H26">
        <f t="shared" si="7"/>
        <v>0</v>
      </c>
      <c r="I26">
        <f t="shared" si="7"/>
        <v>0</v>
      </c>
      <c r="J26">
        <f t="shared" si="7"/>
        <v>0</v>
      </c>
      <c r="K26">
        <f t="shared" si="7"/>
        <v>0</v>
      </c>
      <c r="L26">
        <f t="shared" si="8"/>
        <v>0</v>
      </c>
      <c r="M26">
        <f t="shared" si="9"/>
        <v>0</v>
      </c>
      <c r="N26" t="e">
        <f t="shared" si="10"/>
        <v>#REF!</v>
      </c>
    </row>
    <row r="27" spans="1:20" ht="14.25" x14ac:dyDescent="0.2">
      <c r="A27">
        <v>27</v>
      </c>
      <c r="B27">
        <f t="shared" si="11"/>
        <v>0</v>
      </c>
      <c r="C27">
        <f t="shared" si="12"/>
        <v>0</v>
      </c>
      <c r="D27">
        <f t="shared" si="3"/>
        <v>0</v>
      </c>
      <c r="E27">
        <f t="shared" si="4"/>
        <v>0</v>
      </c>
      <c r="F27">
        <f t="shared" si="5"/>
        <v>0</v>
      </c>
      <c r="G27">
        <f t="shared" si="6"/>
        <v>0</v>
      </c>
      <c r="H27">
        <f t="shared" si="7"/>
        <v>0</v>
      </c>
      <c r="I27">
        <f t="shared" si="7"/>
        <v>0</v>
      </c>
      <c r="J27">
        <f t="shared" si="7"/>
        <v>0</v>
      </c>
      <c r="K27">
        <f t="shared" si="7"/>
        <v>0</v>
      </c>
      <c r="L27">
        <f t="shared" si="8"/>
        <v>0</v>
      </c>
      <c r="M27">
        <f t="shared" si="9"/>
        <v>0</v>
      </c>
      <c r="N27" t="e">
        <f t="shared" si="10"/>
        <v>#REF!</v>
      </c>
      <c r="Q27" s="3" t="s">
        <v>326</v>
      </c>
      <c r="R27" t="str">
        <f>S8/1000&amp;" kΩ"</f>
        <v>8.25 kΩ</v>
      </c>
      <c r="S27">
        <f>S8/1000</f>
        <v>8.25</v>
      </c>
      <c r="T27" s="65" t="s">
        <v>493</v>
      </c>
    </row>
    <row r="28" spans="1:20" x14ac:dyDescent="0.15">
      <c r="A28">
        <v>33</v>
      </c>
      <c r="B28">
        <f t="shared" si="11"/>
        <v>0</v>
      </c>
      <c r="C28">
        <f t="shared" si="12"/>
        <v>0</v>
      </c>
      <c r="D28">
        <f t="shared" si="3"/>
        <v>0</v>
      </c>
      <c r="E28">
        <f t="shared" si="4"/>
        <v>0</v>
      </c>
      <c r="F28">
        <f t="shared" si="5"/>
        <v>0</v>
      </c>
      <c r="G28">
        <f t="shared" si="6"/>
        <v>0</v>
      </c>
      <c r="H28">
        <f t="shared" si="7"/>
        <v>0</v>
      </c>
      <c r="I28">
        <f t="shared" si="7"/>
        <v>0</v>
      </c>
      <c r="J28">
        <f t="shared" si="7"/>
        <v>0</v>
      </c>
      <c r="K28">
        <f t="shared" si="7"/>
        <v>0</v>
      </c>
      <c r="L28">
        <f t="shared" si="8"/>
        <v>0</v>
      </c>
      <c r="M28">
        <f t="shared" si="9"/>
        <v>0</v>
      </c>
      <c r="N28" t="e">
        <f t="shared" si="10"/>
        <v>#REF!</v>
      </c>
      <c r="Q28" s="3" t="s">
        <v>322</v>
      </c>
      <c r="R28" t="str">
        <f>C4*1000000000000&amp;" pF"</f>
        <v>8200 pF</v>
      </c>
      <c r="S28">
        <f>C4*1000000000000</f>
        <v>8200</v>
      </c>
      <c r="T28" s="203" t="s">
        <v>53</v>
      </c>
    </row>
    <row r="29" spans="1:20" x14ac:dyDescent="0.15">
      <c r="A29">
        <v>39</v>
      </c>
      <c r="B29">
        <f t="shared" si="11"/>
        <v>0</v>
      </c>
      <c r="C29">
        <f t="shared" si="12"/>
        <v>0</v>
      </c>
      <c r="D29">
        <f t="shared" si="3"/>
        <v>0</v>
      </c>
      <c r="E29">
        <f t="shared" si="4"/>
        <v>0</v>
      </c>
      <c r="F29">
        <f t="shared" si="5"/>
        <v>0</v>
      </c>
      <c r="G29">
        <f t="shared" si="6"/>
        <v>0</v>
      </c>
      <c r="H29">
        <f t="shared" si="7"/>
        <v>0</v>
      </c>
      <c r="I29">
        <f t="shared" si="7"/>
        <v>0</v>
      </c>
      <c r="J29">
        <f t="shared" si="7"/>
        <v>0</v>
      </c>
      <c r="K29">
        <f t="shared" si="7"/>
        <v>0</v>
      </c>
      <c r="L29">
        <f t="shared" si="8"/>
        <v>0</v>
      </c>
      <c r="M29">
        <f t="shared" si="9"/>
        <v>0</v>
      </c>
      <c r="N29" t="e">
        <f t="shared" si="10"/>
        <v>#REF!</v>
      </c>
      <c r="Q29" s="3" t="s">
        <v>323</v>
      </c>
      <c r="R29" t="str">
        <f>D4*1000000000000&amp;" pF"</f>
        <v>150 pF</v>
      </c>
      <c r="S29">
        <f>D4*1000000000000</f>
        <v>150</v>
      </c>
      <c r="T29" s="203" t="s">
        <v>53</v>
      </c>
    </row>
    <row r="30" spans="1:20" ht="14.25" x14ac:dyDescent="0.2">
      <c r="A30">
        <v>47</v>
      </c>
      <c r="B30">
        <f t="shared" si="11"/>
        <v>0</v>
      </c>
      <c r="C30">
        <f t="shared" si="12"/>
        <v>0</v>
      </c>
      <c r="D30">
        <f t="shared" si="3"/>
        <v>0</v>
      </c>
      <c r="E30">
        <f t="shared" si="4"/>
        <v>0</v>
      </c>
      <c r="F30">
        <f t="shared" si="5"/>
        <v>0</v>
      </c>
      <c r="G30">
        <f t="shared" si="6"/>
        <v>0</v>
      </c>
      <c r="H30">
        <f t="shared" si="7"/>
        <v>0</v>
      </c>
      <c r="I30">
        <f t="shared" si="7"/>
        <v>0</v>
      </c>
      <c r="J30">
        <f t="shared" si="7"/>
        <v>0</v>
      </c>
      <c r="K30">
        <f t="shared" si="7"/>
        <v>0</v>
      </c>
      <c r="L30">
        <f t="shared" si="8"/>
        <v>0</v>
      </c>
      <c r="M30">
        <f t="shared" si="9"/>
        <v>0</v>
      </c>
      <c r="N30" t="e">
        <f t="shared" si="10"/>
        <v>#REF!</v>
      </c>
      <c r="Q30" s="3" t="s">
        <v>327</v>
      </c>
      <c r="R30" t="str">
        <f>S9&amp;" Ω"</f>
        <v>412 Ω</v>
      </c>
      <c r="S30">
        <f>S9</f>
        <v>412</v>
      </c>
      <c r="T30" s="65" t="s">
        <v>539</v>
      </c>
    </row>
    <row r="31" spans="1:20" x14ac:dyDescent="0.15">
      <c r="A31">
        <v>56</v>
      </c>
      <c r="B31">
        <f t="shared" si="11"/>
        <v>0</v>
      </c>
      <c r="C31">
        <f t="shared" si="12"/>
        <v>0</v>
      </c>
      <c r="D31">
        <f t="shared" si="3"/>
        <v>0</v>
      </c>
      <c r="E31">
        <f t="shared" si="4"/>
        <v>0</v>
      </c>
      <c r="F31">
        <f t="shared" si="5"/>
        <v>0</v>
      </c>
      <c r="G31">
        <f t="shared" si="6"/>
        <v>0</v>
      </c>
      <c r="H31">
        <f t="shared" si="7"/>
        <v>0</v>
      </c>
      <c r="I31">
        <f t="shared" si="7"/>
        <v>0</v>
      </c>
      <c r="J31">
        <f t="shared" si="7"/>
        <v>0</v>
      </c>
      <c r="K31">
        <f t="shared" si="7"/>
        <v>0</v>
      </c>
      <c r="L31">
        <f t="shared" si="8"/>
        <v>0</v>
      </c>
      <c r="M31">
        <f t="shared" si="9"/>
        <v>0</v>
      </c>
      <c r="N31" t="e">
        <f t="shared" si="10"/>
        <v>#REF!</v>
      </c>
      <c r="Q31" s="3" t="s">
        <v>324</v>
      </c>
      <c r="R31" t="str">
        <f>E4*1000000000000&amp;" pF"</f>
        <v>1500 pF</v>
      </c>
      <c r="S31">
        <f>E4*1000000000000</f>
        <v>1500</v>
      </c>
      <c r="T31" s="203" t="s">
        <v>53</v>
      </c>
    </row>
    <row r="32" spans="1:20" x14ac:dyDescent="0.15">
      <c r="A32">
        <v>68</v>
      </c>
      <c r="B32">
        <f t="shared" si="11"/>
        <v>0</v>
      </c>
      <c r="C32">
        <f t="shared" si="12"/>
        <v>0</v>
      </c>
      <c r="D32">
        <f t="shared" si="3"/>
        <v>0</v>
      </c>
      <c r="E32">
        <f t="shared" si="4"/>
        <v>0</v>
      </c>
      <c r="F32">
        <f t="shared" si="5"/>
        <v>0</v>
      </c>
      <c r="G32">
        <f t="shared" si="6"/>
        <v>0</v>
      </c>
      <c r="H32">
        <f t="shared" si="7"/>
        <v>0</v>
      </c>
      <c r="I32">
        <f t="shared" si="7"/>
        <v>0</v>
      </c>
      <c r="J32">
        <f t="shared" si="7"/>
        <v>0</v>
      </c>
      <c r="K32">
        <f t="shared" si="7"/>
        <v>0</v>
      </c>
      <c r="L32">
        <f t="shared" si="8"/>
        <v>0</v>
      </c>
      <c r="M32">
        <f t="shared" si="9"/>
        <v>0</v>
      </c>
      <c r="N32" t="e">
        <f t="shared" si="10"/>
        <v>#REF!</v>
      </c>
    </row>
    <row r="33" spans="1:17" x14ac:dyDescent="0.15">
      <c r="A33">
        <v>82</v>
      </c>
      <c r="B33">
        <f t="shared" si="11"/>
        <v>0</v>
      </c>
      <c r="C33">
        <f t="shared" si="12"/>
        <v>0</v>
      </c>
      <c r="D33">
        <f t="shared" si="3"/>
        <v>0</v>
      </c>
      <c r="E33">
        <f t="shared" si="4"/>
        <v>0</v>
      </c>
      <c r="F33">
        <f t="shared" si="5"/>
        <v>0</v>
      </c>
      <c r="G33">
        <f t="shared" si="6"/>
        <v>0</v>
      </c>
      <c r="H33">
        <f t="shared" si="7"/>
        <v>0</v>
      </c>
      <c r="I33">
        <f t="shared" si="7"/>
        <v>0</v>
      </c>
      <c r="J33">
        <f t="shared" si="7"/>
        <v>0</v>
      </c>
      <c r="K33">
        <f t="shared" si="7"/>
        <v>0</v>
      </c>
      <c r="L33">
        <f t="shared" si="8"/>
        <v>0</v>
      </c>
      <c r="M33">
        <f t="shared" si="9"/>
        <v>0</v>
      </c>
      <c r="N33" t="e">
        <f t="shared" si="10"/>
        <v>#REF!</v>
      </c>
    </row>
    <row r="34" spans="1:17" x14ac:dyDescent="0.15">
      <c r="A34">
        <f>A22*10</f>
        <v>100</v>
      </c>
      <c r="B34">
        <f t="shared" si="11"/>
        <v>0</v>
      </c>
      <c r="C34">
        <f t="shared" si="12"/>
        <v>0</v>
      </c>
      <c r="D34">
        <f t="shared" si="3"/>
        <v>0</v>
      </c>
      <c r="E34">
        <f t="shared" si="4"/>
        <v>0</v>
      </c>
      <c r="F34">
        <f t="shared" si="5"/>
        <v>0</v>
      </c>
      <c r="G34">
        <f t="shared" si="6"/>
        <v>0</v>
      </c>
      <c r="H34">
        <f t="shared" si="7"/>
        <v>0</v>
      </c>
      <c r="I34">
        <f t="shared" si="7"/>
        <v>0</v>
      </c>
      <c r="J34">
        <f t="shared" si="7"/>
        <v>0</v>
      </c>
      <c r="K34">
        <f t="shared" si="7"/>
        <v>0</v>
      </c>
      <c r="L34">
        <f t="shared" si="8"/>
        <v>0</v>
      </c>
      <c r="M34">
        <f t="shared" si="9"/>
        <v>0</v>
      </c>
      <c r="N34" t="e">
        <f t="shared" si="10"/>
        <v>#REF!</v>
      </c>
      <c r="Q34" s="203"/>
    </row>
    <row r="35" spans="1:17" x14ac:dyDescent="0.15">
      <c r="A35">
        <f t="shared" ref="A35:A98" si="14">A23*10</f>
        <v>120</v>
      </c>
      <c r="B35">
        <f t="shared" si="11"/>
        <v>0</v>
      </c>
      <c r="C35">
        <f t="shared" si="12"/>
        <v>0</v>
      </c>
      <c r="D35">
        <f t="shared" si="3"/>
        <v>0</v>
      </c>
      <c r="E35">
        <f t="shared" si="4"/>
        <v>0</v>
      </c>
      <c r="F35">
        <f t="shared" si="5"/>
        <v>0</v>
      </c>
      <c r="G35">
        <f t="shared" si="6"/>
        <v>0</v>
      </c>
      <c r="H35">
        <f t="shared" si="7"/>
        <v>0</v>
      </c>
      <c r="I35">
        <f t="shared" si="7"/>
        <v>0</v>
      </c>
      <c r="J35">
        <f t="shared" si="7"/>
        <v>0</v>
      </c>
      <c r="K35">
        <f t="shared" si="7"/>
        <v>0</v>
      </c>
      <c r="L35">
        <f t="shared" si="8"/>
        <v>0</v>
      </c>
      <c r="M35">
        <f t="shared" si="9"/>
        <v>0</v>
      </c>
      <c r="N35" t="e">
        <f t="shared" si="10"/>
        <v>#REF!</v>
      </c>
      <c r="Q35" s="203"/>
    </row>
    <row r="36" spans="1:17" x14ac:dyDescent="0.15">
      <c r="A36">
        <f t="shared" si="14"/>
        <v>150</v>
      </c>
      <c r="B36">
        <f t="shared" si="11"/>
        <v>0</v>
      </c>
      <c r="C36">
        <f t="shared" si="12"/>
        <v>0</v>
      </c>
      <c r="D36">
        <f t="shared" si="3"/>
        <v>150</v>
      </c>
      <c r="E36">
        <f t="shared" si="4"/>
        <v>0</v>
      </c>
      <c r="F36">
        <f t="shared" si="5"/>
        <v>0</v>
      </c>
      <c r="G36">
        <f t="shared" si="6"/>
        <v>0</v>
      </c>
      <c r="H36">
        <f t="shared" si="7"/>
        <v>0</v>
      </c>
      <c r="I36">
        <f t="shared" si="7"/>
        <v>0</v>
      </c>
      <c r="J36">
        <f t="shared" si="7"/>
        <v>0</v>
      </c>
      <c r="K36">
        <f t="shared" si="7"/>
        <v>0</v>
      </c>
      <c r="L36">
        <f t="shared" si="8"/>
        <v>0</v>
      </c>
      <c r="M36">
        <f t="shared" si="9"/>
        <v>0</v>
      </c>
      <c r="N36" t="e">
        <f t="shared" si="10"/>
        <v>#REF!</v>
      </c>
    </row>
    <row r="37" spans="1:17" x14ac:dyDescent="0.15">
      <c r="A37">
        <f t="shared" si="14"/>
        <v>180</v>
      </c>
      <c r="B37">
        <f t="shared" si="11"/>
        <v>0</v>
      </c>
      <c r="C37">
        <f t="shared" si="12"/>
        <v>0</v>
      </c>
      <c r="D37">
        <f t="shared" si="3"/>
        <v>0</v>
      </c>
      <c r="E37">
        <f t="shared" si="4"/>
        <v>0</v>
      </c>
      <c r="F37">
        <f t="shared" si="5"/>
        <v>0</v>
      </c>
      <c r="G37">
        <f t="shared" si="6"/>
        <v>0</v>
      </c>
      <c r="H37">
        <f t="shared" si="7"/>
        <v>0</v>
      </c>
      <c r="I37">
        <f t="shared" si="7"/>
        <v>0</v>
      </c>
      <c r="J37">
        <f t="shared" si="7"/>
        <v>0</v>
      </c>
      <c r="K37">
        <f t="shared" si="7"/>
        <v>0</v>
      </c>
      <c r="L37">
        <f t="shared" si="8"/>
        <v>0</v>
      </c>
      <c r="M37">
        <f t="shared" si="9"/>
        <v>0</v>
      </c>
      <c r="N37" t="e">
        <f t="shared" si="10"/>
        <v>#REF!</v>
      </c>
    </row>
    <row r="38" spans="1:17" x14ac:dyDescent="0.15">
      <c r="A38">
        <f t="shared" si="14"/>
        <v>220</v>
      </c>
      <c r="B38">
        <f t="shared" si="11"/>
        <v>0</v>
      </c>
      <c r="C38">
        <f t="shared" si="12"/>
        <v>0</v>
      </c>
      <c r="D38">
        <f t="shared" si="3"/>
        <v>0</v>
      </c>
      <c r="E38">
        <f t="shared" si="4"/>
        <v>0</v>
      </c>
      <c r="F38">
        <f t="shared" si="5"/>
        <v>0</v>
      </c>
      <c r="G38">
        <f t="shared" si="6"/>
        <v>0</v>
      </c>
      <c r="H38">
        <f t="shared" si="7"/>
        <v>0</v>
      </c>
      <c r="I38">
        <f t="shared" si="7"/>
        <v>0</v>
      </c>
      <c r="J38">
        <f t="shared" si="7"/>
        <v>0</v>
      </c>
      <c r="K38">
        <f t="shared" si="7"/>
        <v>0</v>
      </c>
      <c r="L38">
        <f t="shared" si="8"/>
        <v>0</v>
      </c>
      <c r="M38">
        <f t="shared" ref="M38:M69" si="15">IF(IF((M$3*10^12-$A39)*(M$3*10^12-$A38)*-1&lt;0,0,1)*IF(ABS(M$3*10^12-$A39)&gt;(M$3*10^12-$A38),$A38,$A39)=M39,0,IF((M$3*10^12-$A39)*(M$3*10^12-$A38)*-1&lt;0,0,1)*IF(ABS(M$3*10^12-$A39)&gt;(M$3*10^12-$A38),$A38,$A39))</f>
        <v>0</v>
      </c>
      <c r="N38" t="e">
        <f t="shared" ref="N38:N69" si="16">IF(IF((N$3*10^12-$A39)*(N$3*10^12-$A38)*-1&lt;0,0,1)*IF(ABS(N$3*10^12-$A39)&gt;(N$3*10^12-$A38),$A38,$A39)=N39,0,IF((N$3*10^12-$A39)*(N$3*10^12-$A38)*-1&lt;0,0,1)*IF(ABS(N$3*10^12-$A39)&gt;(N$3*10^12-$A38),$A38,$A39))</f>
        <v>#REF!</v>
      </c>
    </row>
    <row r="39" spans="1:17" x14ac:dyDescent="0.15">
      <c r="A39">
        <f t="shared" si="14"/>
        <v>270</v>
      </c>
      <c r="B39">
        <f t="shared" si="11"/>
        <v>0</v>
      </c>
      <c r="C39">
        <f t="shared" ref="C39:C70" si="17">IF(IF((C$3*10^12-$A40)*(C$3*10^12-$A39)*-1&lt;0,0,1)*IF(ABS(C$3*10^12-$A40)&gt;(C$3*10^12-$A39),$A39,$A40)=C40,0,IF((C$3*10^12-$A40)*(C$3*10^12-$A39)*-1&lt;0,0,1)*IF(ABS(C$3*10^12-$A40)&gt;(C$3*10^12-$A39),$A39,$A40))</f>
        <v>0</v>
      </c>
      <c r="D39">
        <f t="shared" si="3"/>
        <v>0</v>
      </c>
      <c r="E39">
        <f t="shared" si="4"/>
        <v>0</v>
      </c>
      <c r="F39">
        <f t="shared" si="5"/>
        <v>0</v>
      </c>
      <c r="G39">
        <f t="shared" si="6"/>
        <v>0</v>
      </c>
      <c r="H39">
        <f t="shared" si="7"/>
        <v>0</v>
      </c>
      <c r="I39">
        <f t="shared" si="7"/>
        <v>0</v>
      </c>
      <c r="J39">
        <f t="shared" si="7"/>
        <v>0</v>
      </c>
      <c r="K39">
        <f t="shared" si="7"/>
        <v>0</v>
      </c>
      <c r="L39">
        <f t="shared" si="8"/>
        <v>0</v>
      </c>
      <c r="M39">
        <f t="shared" si="15"/>
        <v>0</v>
      </c>
      <c r="N39" t="e">
        <f t="shared" si="16"/>
        <v>#REF!</v>
      </c>
    </row>
    <row r="40" spans="1:17" x14ac:dyDescent="0.15">
      <c r="A40">
        <f t="shared" si="14"/>
        <v>330</v>
      </c>
      <c r="B40">
        <f t="shared" si="11"/>
        <v>0</v>
      </c>
      <c r="C40">
        <f t="shared" si="17"/>
        <v>0</v>
      </c>
      <c r="D40">
        <f t="shared" si="3"/>
        <v>0</v>
      </c>
      <c r="E40">
        <f t="shared" si="4"/>
        <v>0</v>
      </c>
      <c r="F40">
        <f t="shared" si="5"/>
        <v>0</v>
      </c>
      <c r="G40">
        <f t="shared" si="6"/>
        <v>0</v>
      </c>
      <c r="H40">
        <f t="shared" si="7"/>
        <v>0</v>
      </c>
      <c r="I40">
        <f t="shared" si="7"/>
        <v>0</v>
      </c>
      <c r="J40">
        <f t="shared" si="7"/>
        <v>0</v>
      </c>
      <c r="K40">
        <f t="shared" si="7"/>
        <v>0</v>
      </c>
      <c r="L40">
        <f t="shared" si="8"/>
        <v>0</v>
      </c>
      <c r="M40">
        <f t="shared" si="15"/>
        <v>0</v>
      </c>
      <c r="N40" t="e">
        <f t="shared" si="16"/>
        <v>#REF!</v>
      </c>
    </row>
    <row r="41" spans="1:17" x14ac:dyDescent="0.15">
      <c r="A41">
        <f t="shared" si="14"/>
        <v>390</v>
      </c>
      <c r="B41">
        <f t="shared" si="11"/>
        <v>0</v>
      </c>
      <c r="C41">
        <f t="shared" si="17"/>
        <v>0</v>
      </c>
      <c r="D41">
        <f t="shared" si="3"/>
        <v>0</v>
      </c>
      <c r="E41">
        <f t="shared" si="4"/>
        <v>0</v>
      </c>
      <c r="F41">
        <f t="shared" si="5"/>
        <v>0</v>
      </c>
      <c r="G41">
        <f t="shared" si="6"/>
        <v>0</v>
      </c>
      <c r="H41">
        <f t="shared" si="7"/>
        <v>0</v>
      </c>
      <c r="I41">
        <f t="shared" si="7"/>
        <v>0</v>
      </c>
      <c r="J41">
        <f t="shared" si="7"/>
        <v>0</v>
      </c>
      <c r="K41">
        <f t="shared" si="7"/>
        <v>0</v>
      </c>
      <c r="L41">
        <f t="shared" si="8"/>
        <v>0</v>
      </c>
      <c r="M41">
        <f t="shared" si="15"/>
        <v>0</v>
      </c>
      <c r="N41" t="e">
        <f t="shared" si="16"/>
        <v>#REF!</v>
      </c>
    </row>
    <row r="42" spans="1:17" x14ac:dyDescent="0.15">
      <c r="A42">
        <f t="shared" si="14"/>
        <v>470</v>
      </c>
      <c r="B42">
        <f t="shared" si="11"/>
        <v>0</v>
      </c>
      <c r="C42">
        <f t="shared" si="17"/>
        <v>0</v>
      </c>
      <c r="D42">
        <f t="shared" si="3"/>
        <v>0</v>
      </c>
      <c r="E42">
        <f t="shared" si="4"/>
        <v>0</v>
      </c>
      <c r="F42">
        <f t="shared" si="5"/>
        <v>0</v>
      </c>
      <c r="G42">
        <f t="shared" si="6"/>
        <v>0</v>
      </c>
      <c r="H42">
        <f t="shared" si="7"/>
        <v>0</v>
      </c>
      <c r="I42">
        <f t="shared" si="7"/>
        <v>0</v>
      </c>
      <c r="J42">
        <f t="shared" si="7"/>
        <v>0</v>
      </c>
      <c r="K42">
        <f t="shared" si="7"/>
        <v>0</v>
      </c>
      <c r="L42">
        <f t="shared" si="8"/>
        <v>0</v>
      </c>
      <c r="M42">
        <f t="shared" si="15"/>
        <v>0</v>
      </c>
      <c r="N42" t="e">
        <f t="shared" si="16"/>
        <v>#REF!</v>
      </c>
    </row>
    <row r="43" spans="1:17" x14ac:dyDescent="0.15">
      <c r="A43">
        <f t="shared" si="14"/>
        <v>560</v>
      </c>
      <c r="B43">
        <f t="shared" si="11"/>
        <v>0</v>
      </c>
      <c r="C43">
        <f t="shared" si="17"/>
        <v>0</v>
      </c>
      <c r="D43">
        <f t="shared" si="3"/>
        <v>0</v>
      </c>
      <c r="E43">
        <f t="shared" si="4"/>
        <v>0</v>
      </c>
      <c r="F43">
        <f t="shared" si="5"/>
        <v>0</v>
      </c>
      <c r="G43">
        <f t="shared" si="6"/>
        <v>0</v>
      </c>
      <c r="H43">
        <f t="shared" si="7"/>
        <v>0</v>
      </c>
      <c r="I43">
        <f t="shared" si="7"/>
        <v>0</v>
      </c>
      <c r="J43">
        <f t="shared" si="7"/>
        <v>0</v>
      </c>
      <c r="K43">
        <f t="shared" si="7"/>
        <v>0</v>
      </c>
      <c r="L43">
        <f t="shared" si="8"/>
        <v>0</v>
      </c>
      <c r="M43">
        <f t="shared" si="15"/>
        <v>0</v>
      </c>
      <c r="N43" t="e">
        <f t="shared" si="16"/>
        <v>#REF!</v>
      </c>
    </row>
    <row r="44" spans="1:17" x14ac:dyDescent="0.15">
      <c r="A44">
        <f t="shared" si="14"/>
        <v>680</v>
      </c>
      <c r="B44">
        <f t="shared" si="11"/>
        <v>0</v>
      </c>
      <c r="C44">
        <f t="shared" si="17"/>
        <v>0</v>
      </c>
      <c r="D44">
        <f t="shared" si="3"/>
        <v>0</v>
      </c>
      <c r="E44">
        <f t="shared" si="4"/>
        <v>0</v>
      </c>
      <c r="F44">
        <f t="shared" si="5"/>
        <v>0</v>
      </c>
      <c r="G44">
        <f t="shared" si="6"/>
        <v>0</v>
      </c>
      <c r="H44">
        <f t="shared" si="7"/>
        <v>0</v>
      </c>
      <c r="I44">
        <f t="shared" si="7"/>
        <v>0</v>
      </c>
      <c r="J44">
        <f t="shared" si="7"/>
        <v>0</v>
      </c>
      <c r="K44">
        <f t="shared" si="7"/>
        <v>0</v>
      </c>
      <c r="L44">
        <f t="shared" si="8"/>
        <v>0</v>
      </c>
      <c r="M44">
        <f t="shared" si="15"/>
        <v>0</v>
      </c>
      <c r="N44" t="e">
        <f t="shared" si="16"/>
        <v>#REF!</v>
      </c>
    </row>
    <row r="45" spans="1:17" x14ac:dyDescent="0.15">
      <c r="A45">
        <f>A33*10</f>
        <v>820</v>
      </c>
      <c r="B45">
        <f t="shared" si="11"/>
        <v>0</v>
      </c>
      <c r="C45">
        <f t="shared" si="17"/>
        <v>0</v>
      </c>
      <c r="D45">
        <f t="shared" si="3"/>
        <v>0</v>
      </c>
      <c r="E45">
        <f t="shared" si="4"/>
        <v>0</v>
      </c>
      <c r="F45">
        <f t="shared" si="5"/>
        <v>0</v>
      </c>
      <c r="G45">
        <f t="shared" si="6"/>
        <v>0</v>
      </c>
      <c r="H45">
        <f t="shared" si="7"/>
        <v>0</v>
      </c>
      <c r="I45">
        <f t="shared" si="7"/>
        <v>0</v>
      </c>
      <c r="J45">
        <f t="shared" si="7"/>
        <v>0</v>
      </c>
      <c r="K45">
        <f t="shared" si="7"/>
        <v>0</v>
      </c>
      <c r="L45">
        <f t="shared" si="8"/>
        <v>0</v>
      </c>
      <c r="M45">
        <f t="shared" si="15"/>
        <v>0</v>
      </c>
      <c r="N45" t="e">
        <f t="shared" si="16"/>
        <v>#REF!</v>
      </c>
    </row>
    <row r="46" spans="1:17" x14ac:dyDescent="0.15">
      <c r="A46">
        <f t="shared" si="14"/>
        <v>1000</v>
      </c>
      <c r="B46">
        <f t="shared" si="11"/>
        <v>0</v>
      </c>
      <c r="C46">
        <f t="shared" si="17"/>
        <v>0</v>
      </c>
      <c r="D46">
        <f t="shared" si="3"/>
        <v>0</v>
      </c>
      <c r="E46">
        <f t="shared" si="4"/>
        <v>0</v>
      </c>
      <c r="F46">
        <f t="shared" si="5"/>
        <v>0</v>
      </c>
      <c r="G46">
        <f t="shared" si="6"/>
        <v>0</v>
      </c>
      <c r="H46">
        <f t="shared" si="7"/>
        <v>0</v>
      </c>
      <c r="I46">
        <f t="shared" si="7"/>
        <v>0</v>
      </c>
      <c r="J46">
        <f t="shared" si="7"/>
        <v>0</v>
      </c>
      <c r="K46">
        <f t="shared" si="7"/>
        <v>0</v>
      </c>
      <c r="L46">
        <f t="shared" si="8"/>
        <v>0</v>
      </c>
      <c r="M46">
        <f t="shared" si="15"/>
        <v>0</v>
      </c>
      <c r="N46" t="e">
        <f t="shared" si="16"/>
        <v>#REF!</v>
      </c>
    </row>
    <row r="47" spans="1:17" x14ac:dyDescent="0.15">
      <c r="A47">
        <f t="shared" si="14"/>
        <v>1200</v>
      </c>
      <c r="B47">
        <f t="shared" si="11"/>
        <v>0</v>
      </c>
      <c r="C47">
        <f t="shared" si="17"/>
        <v>0</v>
      </c>
      <c r="D47">
        <f t="shared" si="3"/>
        <v>0</v>
      </c>
      <c r="E47">
        <f t="shared" si="4"/>
        <v>0</v>
      </c>
      <c r="F47">
        <f t="shared" si="5"/>
        <v>0</v>
      </c>
      <c r="G47">
        <f t="shared" si="6"/>
        <v>0</v>
      </c>
      <c r="H47">
        <f t="shared" si="7"/>
        <v>0</v>
      </c>
      <c r="I47">
        <f t="shared" si="7"/>
        <v>0</v>
      </c>
      <c r="J47">
        <f t="shared" si="7"/>
        <v>0</v>
      </c>
      <c r="K47">
        <f t="shared" si="7"/>
        <v>0</v>
      </c>
      <c r="L47">
        <f t="shared" si="8"/>
        <v>0</v>
      </c>
      <c r="M47">
        <f t="shared" si="15"/>
        <v>0</v>
      </c>
      <c r="N47" t="e">
        <f t="shared" si="16"/>
        <v>#REF!</v>
      </c>
    </row>
    <row r="48" spans="1:17" x14ac:dyDescent="0.15">
      <c r="A48">
        <f t="shared" si="14"/>
        <v>1500</v>
      </c>
      <c r="B48">
        <f t="shared" si="11"/>
        <v>0</v>
      </c>
      <c r="C48">
        <f t="shared" si="17"/>
        <v>0</v>
      </c>
      <c r="D48">
        <f t="shared" si="3"/>
        <v>0</v>
      </c>
      <c r="E48">
        <f t="shared" si="4"/>
        <v>1500</v>
      </c>
      <c r="F48">
        <f t="shared" si="5"/>
        <v>0</v>
      </c>
      <c r="G48">
        <f t="shared" si="6"/>
        <v>0</v>
      </c>
      <c r="H48">
        <f t="shared" si="7"/>
        <v>0</v>
      </c>
      <c r="I48">
        <f t="shared" si="7"/>
        <v>0</v>
      </c>
      <c r="J48">
        <f t="shared" si="7"/>
        <v>0</v>
      </c>
      <c r="K48">
        <f t="shared" si="7"/>
        <v>0</v>
      </c>
      <c r="L48">
        <f t="shared" si="8"/>
        <v>0</v>
      </c>
      <c r="M48">
        <f t="shared" si="15"/>
        <v>0</v>
      </c>
      <c r="N48" t="e">
        <f t="shared" si="16"/>
        <v>#REF!</v>
      </c>
    </row>
    <row r="49" spans="1:14" x14ac:dyDescent="0.15">
      <c r="A49">
        <f t="shared" si="14"/>
        <v>1800</v>
      </c>
      <c r="B49">
        <f t="shared" si="11"/>
        <v>0</v>
      </c>
      <c r="C49">
        <f t="shared" si="17"/>
        <v>0</v>
      </c>
      <c r="D49">
        <f t="shared" si="3"/>
        <v>0</v>
      </c>
      <c r="E49">
        <f t="shared" si="4"/>
        <v>0</v>
      </c>
      <c r="F49">
        <f t="shared" si="5"/>
        <v>0</v>
      </c>
      <c r="G49">
        <f t="shared" si="6"/>
        <v>0</v>
      </c>
      <c r="H49">
        <f t="shared" si="7"/>
        <v>0</v>
      </c>
      <c r="I49">
        <f t="shared" si="7"/>
        <v>0</v>
      </c>
      <c r="J49">
        <f t="shared" si="7"/>
        <v>0</v>
      </c>
      <c r="K49">
        <f t="shared" si="7"/>
        <v>0</v>
      </c>
      <c r="L49">
        <f t="shared" si="8"/>
        <v>0</v>
      </c>
      <c r="M49">
        <f t="shared" si="15"/>
        <v>0</v>
      </c>
      <c r="N49" t="e">
        <f t="shared" si="16"/>
        <v>#REF!</v>
      </c>
    </row>
    <row r="50" spans="1:14" x14ac:dyDescent="0.15">
      <c r="A50">
        <f t="shared" si="14"/>
        <v>2200</v>
      </c>
      <c r="B50">
        <f t="shared" si="11"/>
        <v>0</v>
      </c>
      <c r="C50">
        <f t="shared" si="17"/>
        <v>0</v>
      </c>
      <c r="D50">
        <f t="shared" si="3"/>
        <v>0</v>
      </c>
      <c r="E50">
        <f t="shared" si="4"/>
        <v>0</v>
      </c>
      <c r="F50">
        <f t="shared" si="5"/>
        <v>0</v>
      </c>
      <c r="G50">
        <f t="shared" si="6"/>
        <v>0</v>
      </c>
      <c r="H50">
        <f t="shared" si="7"/>
        <v>0</v>
      </c>
      <c r="I50">
        <f t="shared" si="7"/>
        <v>0</v>
      </c>
      <c r="J50">
        <f t="shared" si="7"/>
        <v>0</v>
      </c>
      <c r="K50">
        <f t="shared" si="7"/>
        <v>0</v>
      </c>
      <c r="L50">
        <f t="shared" si="8"/>
        <v>0</v>
      </c>
      <c r="M50">
        <f t="shared" si="15"/>
        <v>0</v>
      </c>
      <c r="N50" t="e">
        <f t="shared" si="16"/>
        <v>#REF!</v>
      </c>
    </row>
    <row r="51" spans="1:14" x14ac:dyDescent="0.15">
      <c r="A51">
        <f t="shared" si="14"/>
        <v>2700</v>
      </c>
      <c r="B51">
        <f t="shared" si="11"/>
        <v>0</v>
      </c>
      <c r="C51">
        <f t="shared" si="17"/>
        <v>0</v>
      </c>
      <c r="D51">
        <f t="shared" si="3"/>
        <v>0</v>
      </c>
      <c r="E51">
        <f t="shared" si="4"/>
        <v>0</v>
      </c>
      <c r="F51">
        <f t="shared" si="5"/>
        <v>0</v>
      </c>
      <c r="G51">
        <f t="shared" si="6"/>
        <v>0</v>
      </c>
      <c r="H51">
        <f t="shared" si="7"/>
        <v>0</v>
      </c>
      <c r="I51">
        <f t="shared" si="7"/>
        <v>0</v>
      </c>
      <c r="J51">
        <f t="shared" si="7"/>
        <v>0</v>
      </c>
      <c r="K51">
        <f t="shared" si="7"/>
        <v>0</v>
      </c>
      <c r="L51">
        <f t="shared" si="8"/>
        <v>0</v>
      </c>
      <c r="M51">
        <f t="shared" si="15"/>
        <v>0</v>
      </c>
      <c r="N51" t="e">
        <f t="shared" si="16"/>
        <v>#REF!</v>
      </c>
    </row>
    <row r="52" spans="1:14" x14ac:dyDescent="0.15">
      <c r="A52">
        <f t="shared" si="14"/>
        <v>3300</v>
      </c>
      <c r="B52">
        <f t="shared" si="11"/>
        <v>0</v>
      </c>
      <c r="C52">
        <f t="shared" si="17"/>
        <v>0</v>
      </c>
      <c r="D52">
        <f t="shared" si="3"/>
        <v>0</v>
      </c>
      <c r="E52">
        <f t="shared" si="4"/>
        <v>0</v>
      </c>
      <c r="F52">
        <f t="shared" si="5"/>
        <v>0</v>
      </c>
      <c r="G52">
        <f t="shared" si="6"/>
        <v>0</v>
      </c>
      <c r="H52">
        <f t="shared" si="7"/>
        <v>0</v>
      </c>
      <c r="I52">
        <f t="shared" si="7"/>
        <v>0</v>
      </c>
      <c r="J52">
        <f t="shared" si="7"/>
        <v>0</v>
      </c>
      <c r="K52">
        <f t="shared" si="7"/>
        <v>0</v>
      </c>
      <c r="L52">
        <f t="shared" si="8"/>
        <v>0</v>
      </c>
      <c r="M52">
        <f t="shared" si="15"/>
        <v>0</v>
      </c>
      <c r="N52" t="e">
        <f t="shared" si="16"/>
        <v>#REF!</v>
      </c>
    </row>
    <row r="53" spans="1:14" x14ac:dyDescent="0.15">
      <c r="A53">
        <f t="shared" si="14"/>
        <v>3900</v>
      </c>
      <c r="B53">
        <f t="shared" si="11"/>
        <v>0</v>
      </c>
      <c r="C53">
        <f t="shared" si="17"/>
        <v>0</v>
      </c>
      <c r="D53">
        <f t="shared" si="3"/>
        <v>0</v>
      </c>
      <c r="E53">
        <f t="shared" si="4"/>
        <v>0</v>
      </c>
      <c r="F53">
        <f t="shared" si="5"/>
        <v>0</v>
      </c>
      <c r="G53">
        <f t="shared" si="6"/>
        <v>0</v>
      </c>
      <c r="H53">
        <f t="shared" si="7"/>
        <v>0</v>
      </c>
      <c r="I53">
        <f t="shared" si="7"/>
        <v>0</v>
      </c>
      <c r="J53">
        <f t="shared" si="7"/>
        <v>0</v>
      </c>
      <c r="K53">
        <f t="shared" si="7"/>
        <v>0</v>
      </c>
      <c r="L53">
        <f t="shared" si="8"/>
        <v>0</v>
      </c>
      <c r="M53">
        <f t="shared" si="15"/>
        <v>0</v>
      </c>
      <c r="N53" t="e">
        <f t="shared" si="16"/>
        <v>#REF!</v>
      </c>
    </row>
    <row r="54" spans="1:14" x14ac:dyDescent="0.15">
      <c r="A54">
        <f t="shared" si="14"/>
        <v>4700</v>
      </c>
      <c r="B54">
        <f t="shared" si="11"/>
        <v>0</v>
      </c>
      <c r="C54">
        <f t="shared" si="17"/>
        <v>0</v>
      </c>
      <c r="D54">
        <f t="shared" si="3"/>
        <v>0</v>
      </c>
      <c r="E54">
        <f t="shared" si="4"/>
        <v>0</v>
      </c>
      <c r="F54">
        <f t="shared" si="5"/>
        <v>0</v>
      </c>
      <c r="G54">
        <f t="shared" si="6"/>
        <v>0</v>
      </c>
      <c r="H54">
        <f t="shared" si="7"/>
        <v>0</v>
      </c>
      <c r="I54">
        <f t="shared" si="7"/>
        <v>0</v>
      </c>
      <c r="J54">
        <f t="shared" si="7"/>
        <v>0</v>
      </c>
      <c r="K54">
        <f t="shared" si="7"/>
        <v>0</v>
      </c>
      <c r="L54">
        <f t="shared" si="8"/>
        <v>0</v>
      </c>
      <c r="M54">
        <f t="shared" si="15"/>
        <v>0</v>
      </c>
      <c r="N54" t="e">
        <f t="shared" si="16"/>
        <v>#REF!</v>
      </c>
    </row>
    <row r="55" spans="1:14" x14ac:dyDescent="0.15">
      <c r="A55">
        <f t="shared" si="14"/>
        <v>5600</v>
      </c>
      <c r="B55">
        <f t="shared" si="11"/>
        <v>0</v>
      </c>
      <c r="C55">
        <f t="shared" si="17"/>
        <v>0</v>
      </c>
      <c r="D55">
        <f t="shared" si="3"/>
        <v>0</v>
      </c>
      <c r="E55">
        <f t="shared" si="4"/>
        <v>0</v>
      </c>
      <c r="F55">
        <f t="shared" si="5"/>
        <v>0</v>
      </c>
      <c r="G55">
        <f t="shared" si="6"/>
        <v>0</v>
      </c>
      <c r="H55">
        <f t="shared" si="7"/>
        <v>0</v>
      </c>
      <c r="I55">
        <f t="shared" si="7"/>
        <v>0</v>
      </c>
      <c r="J55">
        <f t="shared" si="7"/>
        <v>0</v>
      </c>
      <c r="K55">
        <f t="shared" si="7"/>
        <v>0</v>
      </c>
      <c r="L55">
        <f t="shared" si="8"/>
        <v>0</v>
      </c>
      <c r="M55">
        <f t="shared" si="15"/>
        <v>0</v>
      </c>
      <c r="N55" t="e">
        <f t="shared" si="16"/>
        <v>#REF!</v>
      </c>
    </row>
    <row r="56" spans="1:14" x14ac:dyDescent="0.15">
      <c r="A56">
        <f t="shared" si="14"/>
        <v>6800</v>
      </c>
      <c r="B56">
        <f t="shared" si="11"/>
        <v>0</v>
      </c>
      <c r="C56">
        <f t="shared" si="17"/>
        <v>8200</v>
      </c>
      <c r="D56">
        <f t="shared" si="3"/>
        <v>0</v>
      </c>
      <c r="E56">
        <f t="shared" si="4"/>
        <v>0</v>
      </c>
      <c r="F56">
        <f t="shared" si="5"/>
        <v>0</v>
      </c>
      <c r="G56">
        <f t="shared" si="6"/>
        <v>0</v>
      </c>
      <c r="H56">
        <f t="shared" si="7"/>
        <v>0</v>
      </c>
      <c r="I56">
        <f t="shared" si="7"/>
        <v>0</v>
      </c>
      <c r="J56">
        <f t="shared" si="7"/>
        <v>0</v>
      </c>
      <c r="K56">
        <f t="shared" si="7"/>
        <v>0</v>
      </c>
      <c r="L56">
        <f t="shared" si="8"/>
        <v>0</v>
      </c>
      <c r="M56">
        <f t="shared" si="15"/>
        <v>0</v>
      </c>
      <c r="N56" t="e">
        <f t="shared" si="16"/>
        <v>#REF!</v>
      </c>
    </row>
    <row r="57" spans="1:14" x14ac:dyDescent="0.15">
      <c r="A57">
        <f t="shared" si="14"/>
        <v>8200</v>
      </c>
      <c r="B57">
        <f t="shared" si="11"/>
        <v>0</v>
      </c>
      <c r="C57">
        <f t="shared" si="17"/>
        <v>0</v>
      </c>
      <c r="D57">
        <f t="shared" si="3"/>
        <v>0</v>
      </c>
      <c r="E57">
        <f t="shared" si="4"/>
        <v>0</v>
      </c>
      <c r="F57">
        <f t="shared" si="5"/>
        <v>0</v>
      </c>
      <c r="G57">
        <f t="shared" si="6"/>
        <v>0</v>
      </c>
      <c r="H57">
        <f t="shared" si="7"/>
        <v>0</v>
      </c>
      <c r="I57">
        <f t="shared" si="7"/>
        <v>0</v>
      </c>
      <c r="J57">
        <f t="shared" si="7"/>
        <v>0</v>
      </c>
      <c r="K57">
        <f t="shared" si="7"/>
        <v>0</v>
      </c>
      <c r="L57">
        <f t="shared" si="8"/>
        <v>0</v>
      </c>
      <c r="M57">
        <f t="shared" si="15"/>
        <v>0</v>
      </c>
      <c r="N57" t="e">
        <f t="shared" si="16"/>
        <v>#REF!</v>
      </c>
    </row>
    <row r="58" spans="1:14" x14ac:dyDescent="0.15">
      <c r="A58">
        <f t="shared" si="14"/>
        <v>10000</v>
      </c>
      <c r="B58">
        <f t="shared" si="11"/>
        <v>0</v>
      </c>
      <c r="C58">
        <f t="shared" si="17"/>
        <v>0</v>
      </c>
      <c r="D58">
        <f t="shared" si="3"/>
        <v>0</v>
      </c>
      <c r="E58">
        <f t="shared" si="4"/>
        <v>0</v>
      </c>
      <c r="F58">
        <f t="shared" si="5"/>
        <v>0</v>
      </c>
      <c r="G58">
        <f t="shared" si="6"/>
        <v>0</v>
      </c>
      <c r="H58">
        <f t="shared" si="7"/>
        <v>0</v>
      </c>
      <c r="I58">
        <f t="shared" si="7"/>
        <v>0</v>
      </c>
      <c r="J58">
        <f t="shared" si="7"/>
        <v>0</v>
      </c>
      <c r="K58">
        <f t="shared" si="7"/>
        <v>0</v>
      </c>
      <c r="L58">
        <f t="shared" si="8"/>
        <v>0</v>
      </c>
      <c r="M58">
        <f t="shared" si="15"/>
        <v>0</v>
      </c>
      <c r="N58" t="e">
        <f t="shared" si="16"/>
        <v>#REF!</v>
      </c>
    </row>
    <row r="59" spans="1:14" x14ac:dyDescent="0.15">
      <c r="A59">
        <f t="shared" si="14"/>
        <v>12000</v>
      </c>
      <c r="B59">
        <f t="shared" si="11"/>
        <v>0</v>
      </c>
      <c r="C59">
        <f t="shared" si="17"/>
        <v>0</v>
      </c>
      <c r="D59">
        <f t="shared" si="3"/>
        <v>0</v>
      </c>
      <c r="E59">
        <f t="shared" si="4"/>
        <v>0</v>
      </c>
      <c r="F59">
        <f t="shared" si="5"/>
        <v>0</v>
      </c>
      <c r="G59">
        <f t="shared" si="6"/>
        <v>0</v>
      </c>
      <c r="H59">
        <f t="shared" si="7"/>
        <v>0</v>
      </c>
      <c r="I59">
        <f t="shared" si="7"/>
        <v>0</v>
      </c>
      <c r="J59">
        <f t="shared" si="7"/>
        <v>0</v>
      </c>
      <c r="K59">
        <f t="shared" si="7"/>
        <v>0</v>
      </c>
      <c r="L59">
        <f t="shared" si="8"/>
        <v>0</v>
      </c>
      <c r="M59">
        <f t="shared" si="15"/>
        <v>0</v>
      </c>
      <c r="N59" t="e">
        <f t="shared" si="16"/>
        <v>#REF!</v>
      </c>
    </row>
    <row r="60" spans="1:14" x14ac:dyDescent="0.15">
      <c r="A60">
        <f t="shared" si="14"/>
        <v>15000</v>
      </c>
      <c r="B60">
        <f t="shared" si="11"/>
        <v>0</v>
      </c>
      <c r="C60">
        <f t="shared" si="17"/>
        <v>0</v>
      </c>
      <c r="D60">
        <f t="shared" si="3"/>
        <v>0</v>
      </c>
      <c r="E60">
        <f t="shared" si="4"/>
        <v>0</v>
      </c>
      <c r="F60">
        <f t="shared" si="5"/>
        <v>0</v>
      </c>
      <c r="G60">
        <f t="shared" si="6"/>
        <v>0</v>
      </c>
      <c r="H60">
        <f t="shared" si="7"/>
        <v>0</v>
      </c>
      <c r="I60">
        <f t="shared" si="7"/>
        <v>0</v>
      </c>
      <c r="J60">
        <f t="shared" si="7"/>
        <v>0</v>
      </c>
      <c r="K60">
        <f t="shared" si="7"/>
        <v>0</v>
      </c>
      <c r="L60">
        <f t="shared" si="8"/>
        <v>0</v>
      </c>
      <c r="M60">
        <f t="shared" si="15"/>
        <v>0</v>
      </c>
      <c r="N60" t="e">
        <f t="shared" si="16"/>
        <v>#REF!</v>
      </c>
    </row>
    <row r="61" spans="1:14" x14ac:dyDescent="0.15">
      <c r="A61">
        <f t="shared" si="14"/>
        <v>18000</v>
      </c>
      <c r="B61">
        <f t="shared" si="11"/>
        <v>0</v>
      </c>
      <c r="C61">
        <f t="shared" si="17"/>
        <v>0</v>
      </c>
      <c r="D61">
        <f t="shared" si="3"/>
        <v>0</v>
      </c>
      <c r="E61">
        <f t="shared" si="4"/>
        <v>0</v>
      </c>
      <c r="F61">
        <f t="shared" si="5"/>
        <v>0</v>
      </c>
      <c r="G61">
        <f t="shared" si="6"/>
        <v>0</v>
      </c>
      <c r="H61">
        <f t="shared" si="7"/>
        <v>0</v>
      </c>
      <c r="I61">
        <f t="shared" si="7"/>
        <v>0</v>
      </c>
      <c r="J61">
        <f t="shared" si="7"/>
        <v>0</v>
      </c>
      <c r="K61">
        <f t="shared" si="7"/>
        <v>0</v>
      </c>
      <c r="L61">
        <f t="shared" si="8"/>
        <v>0</v>
      </c>
      <c r="M61">
        <f t="shared" si="15"/>
        <v>0</v>
      </c>
      <c r="N61" t="e">
        <f t="shared" si="16"/>
        <v>#REF!</v>
      </c>
    </row>
    <row r="62" spans="1:14" x14ac:dyDescent="0.15">
      <c r="A62">
        <f t="shared" si="14"/>
        <v>22000</v>
      </c>
      <c r="B62">
        <f t="shared" si="11"/>
        <v>0</v>
      </c>
      <c r="C62">
        <f t="shared" si="17"/>
        <v>0</v>
      </c>
      <c r="D62">
        <f t="shared" si="3"/>
        <v>0</v>
      </c>
      <c r="E62">
        <f t="shared" si="4"/>
        <v>0</v>
      </c>
      <c r="F62">
        <f t="shared" si="5"/>
        <v>0</v>
      </c>
      <c r="G62">
        <f t="shared" si="6"/>
        <v>0</v>
      </c>
      <c r="H62">
        <f t="shared" si="7"/>
        <v>0</v>
      </c>
      <c r="I62">
        <f t="shared" si="7"/>
        <v>0</v>
      </c>
      <c r="J62">
        <f t="shared" si="7"/>
        <v>0</v>
      </c>
      <c r="K62">
        <f t="shared" si="7"/>
        <v>0</v>
      </c>
      <c r="L62">
        <f t="shared" si="8"/>
        <v>0</v>
      </c>
      <c r="M62">
        <f t="shared" si="15"/>
        <v>0</v>
      </c>
      <c r="N62" t="e">
        <f t="shared" si="16"/>
        <v>#REF!</v>
      </c>
    </row>
    <row r="63" spans="1:14" x14ac:dyDescent="0.15">
      <c r="A63">
        <f t="shared" si="14"/>
        <v>27000</v>
      </c>
      <c r="B63">
        <f t="shared" si="11"/>
        <v>0</v>
      </c>
      <c r="C63">
        <f t="shared" si="17"/>
        <v>0</v>
      </c>
      <c r="D63">
        <f t="shared" si="3"/>
        <v>0</v>
      </c>
      <c r="E63">
        <f t="shared" si="4"/>
        <v>0</v>
      </c>
      <c r="F63">
        <f t="shared" si="5"/>
        <v>0</v>
      </c>
      <c r="G63">
        <f t="shared" si="6"/>
        <v>0</v>
      </c>
      <c r="H63">
        <f t="shared" si="7"/>
        <v>0</v>
      </c>
      <c r="I63">
        <f t="shared" si="7"/>
        <v>0</v>
      </c>
      <c r="J63">
        <f t="shared" si="7"/>
        <v>0</v>
      </c>
      <c r="K63">
        <f t="shared" si="7"/>
        <v>0</v>
      </c>
      <c r="L63">
        <f t="shared" si="8"/>
        <v>0</v>
      </c>
      <c r="M63">
        <f t="shared" si="15"/>
        <v>0</v>
      </c>
      <c r="N63" t="e">
        <f t="shared" si="16"/>
        <v>#REF!</v>
      </c>
    </row>
    <row r="64" spans="1:14" x14ac:dyDescent="0.15">
      <c r="A64">
        <f t="shared" si="14"/>
        <v>33000</v>
      </c>
      <c r="B64">
        <f t="shared" si="11"/>
        <v>0</v>
      </c>
      <c r="C64">
        <f t="shared" si="17"/>
        <v>0</v>
      </c>
      <c r="D64">
        <f t="shared" si="3"/>
        <v>0</v>
      </c>
      <c r="E64">
        <f t="shared" si="4"/>
        <v>0</v>
      </c>
      <c r="F64">
        <f t="shared" si="5"/>
        <v>0</v>
      </c>
      <c r="G64">
        <f t="shared" si="6"/>
        <v>0</v>
      </c>
      <c r="H64">
        <f t="shared" si="7"/>
        <v>0</v>
      </c>
      <c r="I64">
        <f t="shared" si="7"/>
        <v>0</v>
      </c>
      <c r="J64">
        <f t="shared" si="7"/>
        <v>0</v>
      </c>
      <c r="K64">
        <f t="shared" si="7"/>
        <v>0</v>
      </c>
      <c r="L64">
        <f t="shared" si="8"/>
        <v>0</v>
      </c>
      <c r="M64">
        <f t="shared" si="15"/>
        <v>0</v>
      </c>
      <c r="N64" t="e">
        <f t="shared" si="16"/>
        <v>#REF!</v>
      </c>
    </row>
    <row r="65" spans="1:14" x14ac:dyDescent="0.15">
      <c r="A65">
        <f t="shared" si="14"/>
        <v>39000</v>
      </c>
      <c r="B65">
        <f t="shared" si="11"/>
        <v>0</v>
      </c>
      <c r="C65">
        <f t="shared" si="17"/>
        <v>0</v>
      </c>
      <c r="D65">
        <f t="shared" si="3"/>
        <v>0</v>
      </c>
      <c r="E65">
        <f t="shared" si="4"/>
        <v>0</v>
      </c>
      <c r="F65">
        <f t="shared" si="5"/>
        <v>0</v>
      </c>
      <c r="G65">
        <f t="shared" si="6"/>
        <v>0</v>
      </c>
      <c r="H65">
        <f t="shared" si="7"/>
        <v>0</v>
      </c>
      <c r="I65">
        <f t="shared" si="7"/>
        <v>0</v>
      </c>
      <c r="J65">
        <f t="shared" si="7"/>
        <v>0</v>
      </c>
      <c r="K65">
        <f t="shared" si="7"/>
        <v>0</v>
      </c>
      <c r="L65">
        <f t="shared" si="8"/>
        <v>0</v>
      </c>
      <c r="M65">
        <f t="shared" si="15"/>
        <v>0</v>
      </c>
      <c r="N65" t="e">
        <f t="shared" si="16"/>
        <v>#REF!</v>
      </c>
    </row>
    <row r="66" spans="1:14" x14ac:dyDescent="0.15">
      <c r="A66">
        <f t="shared" si="14"/>
        <v>47000</v>
      </c>
      <c r="B66">
        <f t="shared" si="11"/>
        <v>56000</v>
      </c>
      <c r="C66">
        <f t="shared" si="17"/>
        <v>0</v>
      </c>
      <c r="D66">
        <f t="shared" si="3"/>
        <v>0</v>
      </c>
      <c r="E66">
        <f t="shared" si="4"/>
        <v>0</v>
      </c>
      <c r="F66">
        <f t="shared" si="5"/>
        <v>0</v>
      </c>
      <c r="G66">
        <f t="shared" si="6"/>
        <v>0</v>
      </c>
      <c r="H66">
        <f t="shared" si="7"/>
        <v>0</v>
      </c>
      <c r="I66">
        <f t="shared" si="7"/>
        <v>0</v>
      </c>
      <c r="J66">
        <f t="shared" si="7"/>
        <v>0</v>
      </c>
      <c r="K66">
        <f t="shared" si="7"/>
        <v>0</v>
      </c>
      <c r="L66">
        <f t="shared" si="8"/>
        <v>0</v>
      </c>
      <c r="M66">
        <f t="shared" si="15"/>
        <v>0</v>
      </c>
      <c r="N66" t="e">
        <f t="shared" si="16"/>
        <v>#REF!</v>
      </c>
    </row>
    <row r="67" spans="1:14" x14ac:dyDescent="0.15">
      <c r="A67">
        <f t="shared" si="14"/>
        <v>56000</v>
      </c>
      <c r="B67">
        <f t="shared" si="11"/>
        <v>0</v>
      </c>
      <c r="C67">
        <f t="shared" si="17"/>
        <v>0</v>
      </c>
      <c r="D67">
        <f t="shared" si="3"/>
        <v>0</v>
      </c>
      <c r="E67">
        <f t="shared" si="4"/>
        <v>0</v>
      </c>
      <c r="F67">
        <f t="shared" si="5"/>
        <v>0</v>
      </c>
      <c r="G67">
        <f t="shared" si="6"/>
        <v>0</v>
      </c>
      <c r="H67">
        <f t="shared" si="7"/>
        <v>0</v>
      </c>
      <c r="I67">
        <f t="shared" si="7"/>
        <v>0</v>
      </c>
      <c r="J67">
        <f t="shared" si="7"/>
        <v>0</v>
      </c>
      <c r="K67">
        <f t="shared" si="7"/>
        <v>0</v>
      </c>
      <c r="L67">
        <f t="shared" si="8"/>
        <v>0</v>
      </c>
      <c r="M67">
        <f t="shared" si="15"/>
        <v>0</v>
      </c>
      <c r="N67" t="e">
        <f t="shared" si="16"/>
        <v>#REF!</v>
      </c>
    </row>
    <row r="68" spans="1:14" x14ac:dyDescent="0.15">
      <c r="A68">
        <f t="shared" si="14"/>
        <v>68000</v>
      </c>
      <c r="B68">
        <f t="shared" si="11"/>
        <v>0</v>
      </c>
      <c r="C68">
        <f t="shared" si="17"/>
        <v>0</v>
      </c>
      <c r="D68">
        <f t="shared" si="3"/>
        <v>0</v>
      </c>
      <c r="E68">
        <f t="shared" si="4"/>
        <v>0</v>
      </c>
      <c r="F68">
        <f t="shared" si="5"/>
        <v>0</v>
      </c>
      <c r="G68">
        <f t="shared" si="6"/>
        <v>0</v>
      </c>
      <c r="H68">
        <f t="shared" si="7"/>
        <v>0</v>
      </c>
      <c r="I68">
        <f t="shared" si="7"/>
        <v>0</v>
      </c>
      <c r="J68">
        <f t="shared" si="7"/>
        <v>0</v>
      </c>
      <c r="K68">
        <f t="shared" si="7"/>
        <v>0</v>
      </c>
      <c r="L68">
        <f t="shared" si="8"/>
        <v>0</v>
      </c>
      <c r="M68">
        <f t="shared" si="15"/>
        <v>0</v>
      </c>
      <c r="N68" t="e">
        <f t="shared" si="16"/>
        <v>#REF!</v>
      </c>
    </row>
    <row r="69" spans="1:14" x14ac:dyDescent="0.15">
      <c r="A69">
        <f t="shared" si="14"/>
        <v>82000</v>
      </c>
      <c r="B69">
        <f t="shared" si="11"/>
        <v>0</v>
      </c>
      <c r="C69">
        <f t="shared" si="17"/>
        <v>0</v>
      </c>
      <c r="D69">
        <f t="shared" si="3"/>
        <v>0</v>
      </c>
      <c r="E69">
        <f t="shared" si="4"/>
        <v>0</v>
      </c>
      <c r="F69">
        <f t="shared" si="5"/>
        <v>0</v>
      </c>
      <c r="G69">
        <f t="shared" si="6"/>
        <v>0</v>
      </c>
      <c r="H69">
        <f t="shared" si="7"/>
        <v>0</v>
      </c>
      <c r="I69">
        <f t="shared" si="7"/>
        <v>0</v>
      </c>
      <c r="J69">
        <f t="shared" si="7"/>
        <v>0</v>
      </c>
      <c r="K69">
        <f t="shared" ref="K69:L132" si="18">IF(IF((K$3*10^12-$A70)*(K$3*10^12-$A69)*-1&lt;0,0,1)*IF(ABS(K$3*10^12-$A70)&gt;(K$3*10^12-$A69),$A69,$A70)=K70,0,IF((K$3*10^12-$A70)*(K$3*10^12-$A69)*-1&lt;0,0,1)*IF(ABS(K$3*10^12-$A70)&gt;(K$3*10^12-$A69),$A69,$A70))</f>
        <v>0</v>
      </c>
      <c r="L69">
        <f t="shared" si="8"/>
        <v>0</v>
      </c>
      <c r="M69">
        <f t="shared" si="15"/>
        <v>0</v>
      </c>
      <c r="N69" t="e">
        <f t="shared" si="16"/>
        <v>#REF!</v>
      </c>
    </row>
    <row r="70" spans="1:14" x14ac:dyDescent="0.15">
      <c r="A70">
        <f t="shared" si="14"/>
        <v>100000</v>
      </c>
      <c r="B70">
        <f t="shared" si="11"/>
        <v>0</v>
      </c>
      <c r="C70">
        <f t="shared" si="17"/>
        <v>0</v>
      </c>
      <c r="D70">
        <f t="shared" ref="D70:J70" si="19">IF(IF((D$3*10^12-$A71)*(D$3*10^12-$A70)*-1&lt;0,0,1)*IF(ABS(D$3*10^12-$A71)&gt;(D$3*10^12-$A70),$A70,$A71)=D71,0,IF((D$3*10^12-$A71)*(D$3*10^12-$A70)*-1&lt;0,0,1)*IF(ABS(D$3*10^12-$A71)&gt;(D$3*10^12-$A70),$A70,$A71))</f>
        <v>0</v>
      </c>
      <c r="E70">
        <f t="shared" si="19"/>
        <v>0</v>
      </c>
      <c r="F70">
        <f t="shared" si="19"/>
        <v>0</v>
      </c>
      <c r="G70">
        <f t="shared" si="19"/>
        <v>0</v>
      </c>
      <c r="H70">
        <f t="shared" si="19"/>
        <v>0</v>
      </c>
      <c r="I70">
        <f t="shared" si="19"/>
        <v>0</v>
      </c>
      <c r="J70">
        <f t="shared" si="19"/>
        <v>0</v>
      </c>
      <c r="K70">
        <f t="shared" si="18"/>
        <v>0</v>
      </c>
      <c r="L70">
        <f t="shared" si="18"/>
        <v>0</v>
      </c>
      <c r="M70">
        <f t="shared" ref="M70:M101" si="20">IF(IF((M$3*10^12-$A71)*(M$3*10^12-$A70)*-1&lt;0,0,1)*IF(ABS(M$3*10^12-$A71)&gt;(M$3*10^12-$A70),$A70,$A71)=M71,0,IF((M$3*10^12-$A71)*(M$3*10^12-$A70)*-1&lt;0,0,1)*IF(ABS(M$3*10^12-$A71)&gt;(M$3*10^12-$A70),$A70,$A71))</f>
        <v>0</v>
      </c>
      <c r="N70" t="e">
        <f t="shared" ref="N70:N101" si="21">IF(IF((N$3*10^12-$A71)*(N$3*10^12-$A70)*-1&lt;0,0,1)*IF(ABS(N$3*10^12-$A71)&gt;(N$3*10^12-$A70),$A70,$A71)=N71,0,IF((N$3*10^12-$A71)*(N$3*10^12-$A70)*-1&lt;0,0,1)*IF(ABS(N$3*10^12-$A71)&gt;(N$3*10^12-$A70),$A70,$A71))</f>
        <v>#REF!</v>
      </c>
    </row>
    <row r="71" spans="1:14" x14ac:dyDescent="0.15">
      <c r="A71">
        <f t="shared" si="14"/>
        <v>120000</v>
      </c>
      <c r="B71">
        <f t="shared" ref="B71:B134" si="22">IF(IF((B$3*10^12-$A72)*(B$3*10^12-$A71)*-1&lt;0,0,1)*IF(ABS(B$3*10^12-$A72)&gt;(B$3*10^12-$A71),$A71,$A72)=B72,0,IF((B$3*10^12-$A72)*(B$3*10^12-$A71)*-1&lt;0,0,1)*IF(ABS(B$3*10^12-$A72)&gt;(B$3*10^12-$A71),$A71,$A72))</f>
        <v>0</v>
      </c>
      <c r="C71">
        <f t="shared" ref="C71:F134" si="23">IF(IF((C$3*10^12-$A72)*(C$3*10^12-$A71)*-1&lt;0,0,1)*IF(ABS(C$3*10^12-$A72)&gt;(C$3*10^12-$A71),$A71,$A72)=C72,0,IF((C$3*10^12-$A72)*(C$3*10^12-$A71)*-1&lt;0,0,1)*IF(ABS(C$3*10^12-$A72)&gt;(C$3*10^12-$A71),$A71,$A72))</f>
        <v>0</v>
      </c>
      <c r="D71">
        <f t="shared" si="23"/>
        <v>0</v>
      </c>
      <c r="E71">
        <f t="shared" si="23"/>
        <v>0</v>
      </c>
      <c r="F71">
        <f t="shared" si="23"/>
        <v>0</v>
      </c>
      <c r="G71">
        <f t="shared" ref="G71:G102" si="24">IF(IF((G$3*10^12-$A72)*(G$3*10^12-$A71)*-1&lt;0,0,1)*IF(ABS(G$3*10^12-$A72)&gt;(G$3*10^12-$A71),$A71,$A72)=G72,0,IF((G$3*10^12-$A72)*(G$3*10^12-$A71)*-1&lt;0,0,1)*IF(ABS(G$3*10^12-$A72)&gt;(G$3*10^12-$A71),$A71,$A72))</f>
        <v>0</v>
      </c>
      <c r="H71">
        <f t="shared" ref="H71:H102" si="25">IF(IF((H$3*10^12-$A72)*(H$3*10^12-$A71)*-1&lt;0,0,1)*IF(ABS(H$3*10^12-$A72)&gt;(H$3*10^12-$A71),$A71,$A72)=H72,0,IF((H$3*10^12-$A72)*(H$3*10^12-$A71)*-1&lt;0,0,1)*IF(ABS(H$3*10^12-$A72)&gt;(H$3*10^12-$A71),$A71,$A72))</f>
        <v>0</v>
      </c>
      <c r="I71">
        <f t="shared" ref="I71:I102" si="26">IF(IF((I$3*10^12-$A72)*(I$3*10^12-$A71)*-1&lt;0,0,1)*IF(ABS(I$3*10^12-$A72)&gt;(I$3*10^12-$A71),$A71,$A72)=I72,0,IF((I$3*10^12-$A72)*(I$3*10^12-$A71)*-1&lt;0,0,1)*IF(ABS(I$3*10^12-$A72)&gt;(I$3*10^12-$A71),$A71,$A72))</f>
        <v>0</v>
      </c>
      <c r="J71">
        <f t="shared" ref="J71:J102" si="27">IF(IF((J$3*10^12-$A72)*(J$3*10^12-$A71)*-1&lt;0,0,1)*IF(ABS(J$3*10^12-$A72)&gt;(J$3*10^12-$A71),$A71,$A72)=J72,0,IF((J$3*10^12-$A72)*(J$3*10^12-$A71)*-1&lt;0,0,1)*IF(ABS(J$3*10^12-$A72)&gt;(J$3*10^12-$A71),$A71,$A72))</f>
        <v>0</v>
      </c>
      <c r="K71">
        <f t="shared" si="18"/>
        <v>0</v>
      </c>
      <c r="L71">
        <f t="shared" si="18"/>
        <v>0</v>
      </c>
      <c r="M71">
        <f t="shared" si="20"/>
        <v>0</v>
      </c>
      <c r="N71" t="e">
        <f t="shared" si="21"/>
        <v>#REF!</v>
      </c>
    </row>
    <row r="72" spans="1:14" x14ac:dyDescent="0.15">
      <c r="A72">
        <f t="shared" si="14"/>
        <v>150000</v>
      </c>
      <c r="B72">
        <f t="shared" si="22"/>
        <v>0</v>
      </c>
      <c r="C72">
        <f t="shared" si="23"/>
        <v>0</v>
      </c>
      <c r="D72">
        <f t="shared" si="23"/>
        <v>0</v>
      </c>
      <c r="E72">
        <f t="shared" si="23"/>
        <v>0</v>
      </c>
      <c r="F72">
        <f t="shared" si="23"/>
        <v>0</v>
      </c>
      <c r="G72">
        <f t="shared" si="24"/>
        <v>0</v>
      </c>
      <c r="H72">
        <f t="shared" si="25"/>
        <v>0</v>
      </c>
      <c r="I72">
        <f t="shared" si="26"/>
        <v>0</v>
      </c>
      <c r="J72">
        <f t="shared" si="27"/>
        <v>0</v>
      </c>
      <c r="K72">
        <f t="shared" si="18"/>
        <v>0</v>
      </c>
      <c r="L72">
        <f t="shared" si="18"/>
        <v>0</v>
      </c>
      <c r="M72">
        <f t="shared" si="20"/>
        <v>0</v>
      </c>
      <c r="N72" t="e">
        <f t="shared" si="21"/>
        <v>#REF!</v>
      </c>
    </row>
    <row r="73" spans="1:14" x14ac:dyDescent="0.15">
      <c r="A73">
        <f t="shared" si="14"/>
        <v>180000</v>
      </c>
      <c r="B73">
        <f t="shared" si="22"/>
        <v>0</v>
      </c>
      <c r="C73">
        <f t="shared" si="23"/>
        <v>0</v>
      </c>
      <c r="D73">
        <f t="shared" si="23"/>
        <v>0</v>
      </c>
      <c r="E73">
        <f t="shared" si="23"/>
        <v>0</v>
      </c>
      <c r="F73">
        <f t="shared" si="23"/>
        <v>0</v>
      </c>
      <c r="G73">
        <f t="shared" si="24"/>
        <v>0</v>
      </c>
      <c r="H73">
        <f t="shared" si="25"/>
        <v>0</v>
      </c>
      <c r="I73">
        <f t="shared" si="26"/>
        <v>0</v>
      </c>
      <c r="J73">
        <f t="shared" si="27"/>
        <v>0</v>
      </c>
      <c r="K73">
        <f t="shared" si="18"/>
        <v>0</v>
      </c>
      <c r="L73">
        <f t="shared" si="18"/>
        <v>0</v>
      </c>
      <c r="M73">
        <f t="shared" si="20"/>
        <v>0</v>
      </c>
      <c r="N73" t="e">
        <f t="shared" si="21"/>
        <v>#REF!</v>
      </c>
    </row>
    <row r="74" spans="1:14" x14ac:dyDescent="0.15">
      <c r="A74">
        <f t="shared" si="14"/>
        <v>220000</v>
      </c>
      <c r="B74">
        <f t="shared" si="22"/>
        <v>0</v>
      </c>
      <c r="C74">
        <f t="shared" si="23"/>
        <v>0</v>
      </c>
      <c r="D74">
        <f t="shared" si="23"/>
        <v>0</v>
      </c>
      <c r="E74">
        <f t="shared" si="23"/>
        <v>0</v>
      </c>
      <c r="F74">
        <f t="shared" si="23"/>
        <v>0</v>
      </c>
      <c r="G74">
        <f t="shared" si="24"/>
        <v>0</v>
      </c>
      <c r="H74">
        <f t="shared" si="25"/>
        <v>0</v>
      </c>
      <c r="I74">
        <f t="shared" si="26"/>
        <v>0</v>
      </c>
      <c r="J74">
        <f t="shared" si="27"/>
        <v>0</v>
      </c>
      <c r="K74">
        <f t="shared" si="18"/>
        <v>0</v>
      </c>
      <c r="L74">
        <f t="shared" si="18"/>
        <v>0</v>
      </c>
      <c r="M74">
        <f t="shared" si="20"/>
        <v>0</v>
      </c>
      <c r="N74" t="e">
        <f t="shared" si="21"/>
        <v>#REF!</v>
      </c>
    </row>
    <row r="75" spans="1:14" x14ac:dyDescent="0.15">
      <c r="A75">
        <f t="shared" si="14"/>
        <v>270000</v>
      </c>
      <c r="B75">
        <f t="shared" si="22"/>
        <v>0</v>
      </c>
      <c r="C75">
        <f t="shared" si="23"/>
        <v>0</v>
      </c>
      <c r="D75">
        <f t="shared" si="23"/>
        <v>0</v>
      </c>
      <c r="E75">
        <f t="shared" si="23"/>
        <v>0</v>
      </c>
      <c r="F75">
        <f t="shared" si="23"/>
        <v>0</v>
      </c>
      <c r="G75">
        <f t="shared" si="24"/>
        <v>0</v>
      </c>
      <c r="H75">
        <f t="shared" si="25"/>
        <v>0</v>
      </c>
      <c r="I75">
        <f t="shared" si="26"/>
        <v>0</v>
      </c>
      <c r="J75">
        <f t="shared" si="27"/>
        <v>0</v>
      </c>
      <c r="K75">
        <f t="shared" si="18"/>
        <v>0</v>
      </c>
      <c r="L75">
        <f t="shared" si="18"/>
        <v>0</v>
      </c>
      <c r="M75">
        <f t="shared" si="20"/>
        <v>0</v>
      </c>
      <c r="N75" t="e">
        <f t="shared" si="21"/>
        <v>#REF!</v>
      </c>
    </row>
    <row r="76" spans="1:14" x14ac:dyDescent="0.15">
      <c r="A76">
        <f t="shared" si="14"/>
        <v>330000</v>
      </c>
      <c r="B76">
        <f t="shared" si="22"/>
        <v>0</v>
      </c>
      <c r="C76">
        <f t="shared" si="23"/>
        <v>0</v>
      </c>
      <c r="D76">
        <f t="shared" si="23"/>
        <v>0</v>
      </c>
      <c r="E76">
        <f t="shared" si="23"/>
        <v>0</v>
      </c>
      <c r="F76">
        <f t="shared" si="23"/>
        <v>0</v>
      </c>
      <c r="G76">
        <f t="shared" si="24"/>
        <v>0</v>
      </c>
      <c r="H76">
        <f t="shared" si="25"/>
        <v>0</v>
      </c>
      <c r="I76">
        <f t="shared" si="26"/>
        <v>0</v>
      </c>
      <c r="J76">
        <f t="shared" si="27"/>
        <v>0</v>
      </c>
      <c r="K76">
        <f t="shared" si="18"/>
        <v>0</v>
      </c>
      <c r="L76">
        <f t="shared" si="18"/>
        <v>0</v>
      </c>
      <c r="M76">
        <f t="shared" si="20"/>
        <v>0</v>
      </c>
      <c r="N76" t="e">
        <f t="shared" si="21"/>
        <v>#REF!</v>
      </c>
    </row>
    <row r="77" spans="1:14" x14ac:dyDescent="0.15">
      <c r="A77">
        <f t="shared" si="14"/>
        <v>390000</v>
      </c>
      <c r="B77">
        <f t="shared" si="22"/>
        <v>0</v>
      </c>
      <c r="C77">
        <f t="shared" si="23"/>
        <v>0</v>
      </c>
      <c r="D77">
        <f t="shared" si="23"/>
        <v>0</v>
      </c>
      <c r="E77">
        <f t="shared" si="23"/>
        <v>0</v>
      </c>
      <c r="F77">
        <f t="shared" si="23"/>
        <v>0</v>
      </c>
      <c r="G77">
        <f t="shared" si="24"/>
        <v>0</v>
      </c>
      <c r="H77">
        <f t="shared" si="25"/>
        <v>0</v>
      </c>
      <c r="I77">
        <f t="shared" si="26"/>
        <v>0</v>
      </c>
      <c r="J77">
        <f t="shared" si="27"/>
        <v>0</v>
      </c>
      <c r="K77">
        <f t="shared" si="18"/>
        <v>0</v>
      </c>
      <c r="L77">
        <f t="shared" si="18"/>
        <v>0</v>
      </c>
      <c r="M77">
        <f t="shared" si="20"/>
        <v>0</v>
      </c>
      <c r="N77" t="e">
        <f t="shared" si="21"/>
        <v>#REF!</v>
      </c>
    </row>
    <row r="78" spans="1:14" x14ac:dyDescent="0.15">
      <c r="A78">
        <f t="shared" si="14"/>
        <v>470000</v>
      </c>
      <c r="B78">
        <f t="shared" si="22"/>
        <v>0</v>
      </c>
      <c r="C78">
        <f t="shared" si="23"/>
        <v>0</v>
      </c>
      <c r="D78">
        <f t="shared" si="23"/>
        <v>0</v>
      </c>
      <c r="E78">
        <f t="shared" si="23"/>
        <v>0</v>
      </c>
      <c r="F78">
        <f t="shared" si="23"/>
        <v>0</v>
      </c>
      <c r="G78">
        <f t="shared" si="24"/>
        <v>0</v>
      </c>
      <c r="H78">
        <f t="shared" si="25"/>
        <v>0</v>
      </c>
      <c r="I78">
        <f t="shared" si="26"/>
        <v>0</v>
      </c>
      <c r="J78">
        <f t="shared" si="27"/>
        <v>0</v>
      </c>
      <c r="K78">
        <f t="shared" si="18"/>
        <v>0</v>
      </c>
      <c r="L78">
        <f t="shared" si="18"/>
        <v>0</v>
      </c>
      <c r="M78">
        <f t="shared" si="20"/>
        <v>0</v>
      </c>
      <c r="N78" t="e">
        <f t="shared" si="21"/>
        <v>#REF!</v>
      </c>
    </row>
    <row r="79" spans="1:14" x14ac:dyDescent="0.15">
      <c r="A79">
        <f t="shared" si="14"/>
        <v>560000</v>
      </c>
      <c r="B79">
        <f t="shared" si="22"/>
        <v>0</v>
      </c>
      <c r="C79">
        <f t="shared" si="23"/>
        <v>0</v>
      </c>
      <c r="D79">
        <f t="shared" si="23"/>
        <v>0</v>
      </c>
      <c r="E79">
        <f t="shared" si="23"/>
        <v>0</v>
      </c>
      <c r="F79">
        <f t="shared" si="23"/>
        <v>0</v>
      </c>
      <c r="G79">
        <f t="shared" si="24"/>
        <v>0</v>
      </c>
      <c r="H79">
        <f t="shared" si="25"/>
        <v>0</v>
      </c>
      <c r="I79">
        <f t="shared" si="26"/>
        <v>0</v>
      </c>
      <c r="J79">
        <f t="shared" si="27"/>
        <v>0</v>
      </c>
      <c r="K79">
        <f t="shared" si="18"/>
        <v>0</v>
      </c>
      <c r="L79">
        <f t="shared" si="18"/>
        <v>0</v>
      </c>
      <c r="M79">
        <f t="shared" si="20"/>
        <v>0</v>
      </c>
      <c r="N79" t="e">
        <f t="shared" si="21"/>
        <v>#REF!</v>
      </c>
    </row>
    <row r="80" spans="1:14" x14ac:dyDescent="0.15">
      <c r="A80">
        <f t="shared" si="14"/>
        <v>680000</v>
      </c>
      <c r="B80">
        <f t="shared" si="22"/>
        <v>0</v>
      </c>
      <c r="C80">
        <f t="shared" si="23"/>
        <v>0</v>
      </c>
      <c r="D80">
        <f t="shared" si="23"/>
        <v>0</v>
      </c>
      <c r="E80">
        <f t="shared" si="23"/>
        <v>0</v>
      </c>
      <c r="F80">
        <f t="shared" si="23"/>
        <v>0</v>
      </c>
      <c r="G80">
        <f t="shared" si="24"/>
        <v>0</v>
      </c>
      <c r="H80">
        <f t="shared" si="25"/>
        <v>0</v>
      </c>
      <c r="I80">
        <f t="shared" si="26"/>
        <v>0</v>
      </c>
      <c r="J80">
        <f t="shared" si="27"/>
        <v>0</v>
      </c>
      <c r="K80">
        <f t="shared" si="18"/>
        <v>0</v>
      </c>
      <c r="L80">
        <f t="shared" si="18"/>
        <v>0</v>
      </c>
      <c r="M80">
        <f t="shared" si="20"/>
        <v>0</v>
      </c>
      <c r="N80" t="e">
        <f t="shared" si="21"/>
        <v>#REF!</v>
      </c>
    </row>
    <row r="81" spans="1:14" x14ac:dyDescent="0.15">
      <c r="A81">
        <f t="shared" si="14"/>
        <v>820000</v>
      </c>
      <c r="B81">
        <f t="shared" si="22"/>
        <v>0</v>
      </c>
      <c r="C81">
        <f t="shared" si="23"/>
        <v>0</v>
      </c>
      <c r="D81">
        <f t="shared" si="23"/>
        <v>0</v>
      </c>
      <c r="E81">
        <f t="shared" si="23"/>
        <v>0</v>
      </c>
      <c r="F81">
        <f t="shared" si="23"/>
        <v>0</v>
      </c>
      <c r="G81">
        <f t="shared" si="24"/>
        <v>0</v>
      </c>
      <c r="H81">
        <f t="shared" si="25"/>
        <v>0</v>
      </c>
      <c r="I81">
        <f t="shared" si="26"/>
        <v>0</v>
      </c>
      <c r="J81">
        <f t="shared" si="27"/>
        <v>0</v>
      </c>
      <c r="K81">
        <f t="shared" si="18"/>
        <v>0</v>
      </c>
      <c r="L81">
        <f t="shared" si="18"/>
        <v>0</v>
      </c>
      <c r="M81">
        <f t="shared" si="20"/>
        <v>0</v>
      </c>
      <c r="N81" t="e">
        <f t="shared" si="21"/>
        <v>#REF!</v>
      </c>
    </row>
    <row r="82" spans="1:14" x14ac:dyDescent="0.15">
      <c r="A82">
        <f t="shared" si="14"/>
        <v>1000000</v>
      </c>
      <c r="B82">
        <f t="shared" si="22"/>
        <v>0</v>
      </c>
      <c r="C82">
        <f t="shared" si="23"/>
        <v>0</v>
      </c>
      <c r="D82">
        <f t="shared" si="23"/>
        <v>0</v>
      </c>
      <c r="E82">
        <f t="shared" si="23"/>
        <v>0</v>
      </c>
      <c r="F82">
        <f t="shared" si="23"/>
        <v>0</v>
      </c>
      <c r="G82">
        <f t="shared" si="24"/>
        <v>0</v>
      </c>
      <c r="H82">
        <f t="shared" si="25"/>
        <v>0</v>
      </c>
      <c r="I82">
        <f t="shared" si="26"/>
        <v>0</v>
      </c>
      <c r="J82">
        <f t="shared" si="27"/>
        <v>0</v>
      </c>
      <c r="K82">
        <f t="shared" si="18"/>
        <v>0</v>
      </c>
      <c r="L82">
        <f t="shared" si="18"/>
        <v>0</v>
      </c>
      <c r="M82">
        <f t="shared" si="20"/>
        <v>0</v>
      </c>
      <c r="N82" t="e">
        <f t="shared" si="21"/>
        <v>#REF!</v>
      </c>
    </row>
    <row r="83" spans="1:14" x14ac:dyDescent="0.15">
      <c r="A83">
        <f t="shared" si="14"/>
        <v>1200000</v>
      </c>
      <c r="B83">
        <f t="shared" si="22"/>
        <v>0</v>
      </c>
      <c r="C83">
        <f t="shared" si="23"/>
        <v>0</v>
      </c>
      <c r="D83">
        <f t="shared" si="23"/>
        <v>0</v>
      </c>
      <c r="E83">
        <f t="shared" si="23"/>
        <v>0</v>
      </c>
      <c r="F83">
        <f t="shared" si="23"/>
        <v>0</v>
      </c>
      <c r="G83">
        <f t="shared" si="24"/>
        <v>0</v>
      </c>
      <c r="H83">
        <f t="shared" si="25"/>
        <v>0</v>
      </c>
      <c r="I83">
        <f t="shared" si="26"/>
        <v>0</v>
      </c>
      <c r="J83">
        <f t="shared" si="27"/>
        <v>0</v>
      </c>
      <c r="K83">
        <f t="shared" si="18"/>
        <v>0</v>
      </c>
      <c r="L83">
        <f t="shared" si="18"/>
        <v>0</v>
      </c>
      <c r="M83">
        <f t="shared" si="20"/>
        <v>0</v>
      </c>
      <c r="N83" t="e">
        <f t="shared" si="21"/>
        <v>#REF!</v>
      </c>
    </row>
    <row r="84" spans="1:14" x14ac:dyDescent="0.15">
      <c r="A84">
        <f t="shared" si="14"/>
        <v>1500000</v>
      </c>
      <c r="B84">
        <f t="shared" si="22"/>
        <v>0</v>
      </c>
      <c r="C84">
        <f t="shared" si="23"/>
        <v>0</v>
      </c>
      <c r="D84">
        <f t="shared" si="23"/>
        <v>0</v>
      </c>
      <c r="E84">
        <f t="shared" si="23"/>
        <v>0</v>
      </c>
      <c r="F84">
        <f t="shared" si="23"/>
        <v>0</v>
      </c>
      <c r="G84">
        <f t="shared" si="24"/>
        <v>0</v>
      </c>
      <c r="H84">
        <f t="shared" si="25"/>
        <v>0</v>
      </c>
      <c r="I84">
        <f t="shared" si="26"/>
        <v>0</v>
      </c>
      <c r="J84">
        <f t="shared" si="27"/>
        <v>0</v>
      </c>
      <c r="K84">
        <f t="shared" si="18"/>
        <v>0</v>
      </c>
      <c r="L84">
        <f t="shared" si="18"/>
        <v>0</v>
      </c>
      <c r="M84">
        <f t="shared" si="20"/>
        <v>0</v>
      </c>
      <c r="N84" t="e">
        <f t="shared" si="21"/>
        <v>#REF!</v>
      </c>
    </row>
    <row r="85" spans="1:14" x14ac:dyDescent="0.15">
      <c r="A85">
        <f t="shared" si="14"/>
        <v>1800000</v>
      </c>
      <c r="B85">
        <f t="shared" si="22"/>
        <v>0</v>
      </c>
      <c r="C85">
        <f t="shared" si="23"/>
        <v>0</v>
      </c>
      <c r="D85">
        <f t="shared" si="23"/>
        <v>0</v>
      </c>
      <c r="E85">
        <f t="shared" si="23"/>
        <v>0</v>
      </c>
      <c r="F85">
        <f t="shared" si="23"/>
        <v>0</v>
      </c>
      <c r="G85">
        <f t="shared" si="24"/>
        <v>0</v>
      </c>
      <c r="H85">
        <f t="shared" si="25"/>
        <v>0</v>
      </c>
      <c r="I85">
        <f t="shared" si="26"/>
        <v>0</v>
      </c>
      <c r="J85">
        <f t="shared" si="27"/>
        <v>0</v>
      </c>
      <c r="K85">
        <f t="shared" si="18"/>
        <v>0</v>
      </c>
      <c r="L85">
        <f t="shared" si="18"/>
        <v>0</v>
      </c>
      <c r="M85">
        <f t="shared" si="20"/>
        <v>0</v>
      </c>
      <c r="N85" t="e">
        <f t="shared" si="21"/>
        <v>#REF!</v>
      </c>
    </row>
    <row r="86" spans="1:14" x14ac:dyDescent="0.15">
      <c r="A86">
        <f t="shared" si="14"/>
        <v>2200000</v>
      </c>
      <c r="B86">
        <f t="shared" si="22"/>
        <v>0</v>
      </c>
      <c r="C86">
        <f t="shared" si="23"/>
        <v>0</v>
      </c>
      <c r="D86">
        <f t="shared" si="23"/>
        <v>0</v>
      </c>
      <c r="E86">
        <f t="shared" si="23"/>
        <v>0</v>
      </c>
      <c r="F86">
        <f t="shared" si="23"/>
        <v>0</v>
      </c>
      <c r="G86">
        <f t="shared" si="24"/>
        <v>0</v>
      </c>
      <c r="H86">
        <f t="shared" si="25"/>
        <v>0</v>
      </c>
      <c r="I86">
        <f t="shared" si="26"/>
        <v>0</v>
      </c>
      <c r="J86">
        <f t="shared" si="27"/>
        <v>0</v>
      </c>
      <c r="K86">
        <f t="shared" si="18"/>
        <v>0</v>
      </c>
      <c r="L86">
        <f t="shared" si="18"/>
        <v>0</v>
      </c>
      <c r="M86">
        <f t="shared" si="20"/>
        <v>0</v>
      </c>
      <c r="N86" t="e">
        <f t="shared" si="21"/>
        <v>#REF!</v>
      </c>
    </row>
    <row r="87" spans="1:14" x14ac:dyDescent="0.15">
      <c r="A87">
        <f t="shared" si="14"/>
        <v>2700000</v>
      </c>
      <c r="B87">
        <f t="shared" si="22"/>
        <v>0</v>
      </c>
      <c r="C87">
        <f t="shared" si="23"/>
        <v>0</v>
      </c>
      <c r="D87">
        <f t="shared" si="23"/>
        <v>0</v>
      </c>
      <c r="E87">
        <f t="shared" si="23"/>
        <v>0</v>
      </c>
      <c r="F87">
        <f t="shared" si="23"/>
        <v>0</v>
      </c>
      <c r="G87">
        <f t="shared" si="24"/>
        <v>0</v>
      </c>
      <c r="H87">
        <f t="shared" si="25"/>
        <v>0</v>
      </c>
      <c r="I87">
        <f t="shared" si="26"/>
        <v>0</v>
      </c>
      <c r="J87">
        <f t="shared" si="27"/>
        <v>0</v>
      </c>
      <c r="K87">
        <f t="shared" si="18"/>
        <v>0</v>
      </c>
      <c r="L87">
        <f t="shared" si="18"/>
        <v>0</v>
      </c>
      <c r="M87">
        <f t="shared" si="20"/>
        <v>0</v>
      </c>
      <c r="N87" t="e">
        <f t="shared" si="21"/>
        <v>#REF!</v>
      </c>
    </row>
    <row r="88" spans="1:14" x14ac:dyDescent="0.15">
      <c r="A88">
        <f t="shared" si="14"/>
        <v>3300000</v>
      </c>
      <c r="B88">
        <f t="shared" si="22"/>
        <v>0</v>
      </c>
      <c r="C88">
        <f t="shared" si="23"/>
        <v>0</v>
      </c>
      <c r="D88">
        <f t="shared" si="23"/>
        <v>0</v>
      </c>
      <c r="E88">
        <f t="shared" si="23"/>
        <v>0</v>
      </c>
      <c r="F88">
        <f t="shared" si="23"/>
        <v>0</v>
      </c>
      <c r="G88">
        <f t="shared" si="24"/>
        <v>0</v>
      </c>
      <c r="H88">
        <f t="shared" si="25"/>
        <v>0</v>
      </c>
      <c r="I88">
        <f t="shared" si="26"/>
        <v>0</v>
      </c>
      <c r="J88">
        <f t="shared" si="27"/>
        <v>0</v>
      </c>
      <c r="K88">
        <f t="shared" si="18"/>
        <v>0</v>
      </c>
      <c r="L88">
        <f t="shared" si="18"/>
        <v>0</v>
      </c>
      <c r="M88">
        <f t="shared" si="20"/>
        <v>0</v>
      </c>
      <c r="N88" t="e">
        <f t="shared" si="21"/>
        <v>#REF!</v>
      </c>
    </row>
    <row r="89" spans="1:14" x14ac:dyDescent="0.15">
      <c r="A89">
        <f t="shared" si="14"/>
        <v>3900000</v>
      </c>
      <c r="B89">
        <f t="shared" si="22"/>
        <v>0</v>
      </c>
      <c r="C89">
        <f t="shared" si="23"/>
        <v>0</v>
      </c>
      <c r="D89">
        <f t="shared" si="23"/>
        <v>0</v>
      </c>
      <c r="E89">
        <f t="shared" si="23"/>
        <v>0</v>
      </c>
      <c r="F89">
        <f t="shared" si="23"/>
        <v>0</v>
      </c>
      <c r="G89">
        <f t="shared" si="24"/>
        <v>0</v>
      </c>
      <c r="H89">
        <f t="shared" si="25"/>
        <v>0</v>
      </c>
      <c r="I89">
        <f t="shared" si="26"/>
        <v>0</v>
      </c>
      <c r="J89">
        <f t="shared" si="27"/>
        <v>0</v>
      </c>
      <c r="K89">
        <f t="shared" si="18"/>
        <v>0</v>
      </c>
      <c r="L89">
        <f t="shared" si="18"/>
        <v>0</v>
      </c>
      <c r="M89">
        <f t="shared" si="20"/>
        <v>0</v>
      </c>
      <c r="N89" t="e">
        <f t="shared" si="21"/>
        <v>#REF!</v>
      </c>
    </row>
    <row r="90" spans="1:14" x14ac:dyDescent="0.15">
      <c r="A90">
        <f t="shared" si="14"/>
        <v>4700000</v>
      </c>
      <c r="B90">
        <f t="shared" si="22"/>
        <v>0</v>
      </c>
      <c r="C90">
        <f t="shared" si="23"/>
        <v>0</v>
      </c>
      <c r="D90">
        <f t="shared" si="23"/>
        <v>0</v>
      </c>
      <c r="E90">
        <f t="shared" si="23"/>
        <v>0</v>
      </c>
      <c r="F90">
        <f t="shared" si="23"/>
        <v>0</v>
      </c>
      <c r="G90">
        <f t="shared" si="24"/>
        <v>0</v>
      </c>
      <c r="H90">
        <f t="shared" si="25"/>
        <v>0</v>
      </c>
      <c r="I90">
        <f t="shared" si="26"/>
        <v>0</v>
      </c>
      <c r="J90">
        <f t="shared" si="27"/>
        <v>0</v>
      </c>
      <c r="K90">
        <f t="shared" si="18"/>
        <v>0</v>
      </c>
      <c r="L90">
        <f t="shared" si="18"/>
        <v>0</v>
      </c>
      <c r="M90">
        <f t="shared" si="20"/>
        <v>0</v>
      </c>
      <c r="N90" t="e">
        <f t="shared" si="21"/>
        <v>#REF!</v>
      </c>
    </row>
    <row r="91" spans="1:14" x14ac:dyDescent="0.15">
      <c r="A91">
        <f t="shared" si="14"/>
        <v>5600000</v>
      </c>
      <c r="B91">
        <f t="shared" si="22"/>
        <v>0</v>
      </c>
      <c r="C91">
        <f t="shared" si="23"/>
        <v>0</v>
      </c>
      <c r="D91">
        <f t="shared" si="23"/>
        <v>0</v>
      </c>
      <c r="E91">
        <f t="shared" si="23"/>
        <v>0</v>
      </c>
      <c r="F91">
        <f t="shared" si="23"/>
        <v>0</v>
      </c>
      <c r="G91">
        <f t="shared" si="24"/>
        <v>0</v>
      </c>
      <c r="H91">
        <f t="shared" si="25"/>
        <v>0</v>
      </c>
      <c r="I91">
        <f t="shared" si="26"/>
        <v>0</v>
      </c>
      <c r="J91">
        <f t="shared" si="27"/>
        <v>0</v>
      </c>
      <c r="K91">
        <f t="shared" si="18"/>
        <v>0</v>
      </c>
      <c r="L91">
        <f t="shared" si="18"/>
        <v>0</v>
      </c>
      <c r="M91">
        <f t="shared" si="20"/>
        <v>0</v>
      </c>
      <c r="N91" t="e">
        <f t="shared" si="21"/>
        <v>#REF!</v>
      </c>
    </row>
    <row r="92" spans="1:14" x14ac:dyDescent="0.15">
      <c r="A92">
        <f t="shared" si="14"/>
        <v>6800000</v>
      </c>
      <c r="B92">
        <f t="shared" si="22"/>
        <v>0</v>
      </c>
      <c r="C92">
        <f t="shared" si="23"/>
        <v>0</v>
      </c>
      <c r="D92">
        <f t="shared" si="23"/>
        <v>0</v>
      </c>
      <c r="E92">
        <f t="shared" si="23"/>
        <v>0</v>
      </c>
      <c r="F92">
        <f t="shared" si="23"/>
        <v>0</v>
      </c>
      <c r="G92">
        <f t="shared" si="24"/>
        <v>0</v>
      </c>
      <c r="H92">
        <f t="shared" si="25"/>
        <v>0</v>
      </c>
      <c r="I92">
        <f t="shared" si="26"/>
        <v>0</v>
      </c>
      <c r="J92">
        <f t="shared" si="27"/>
        <v>0</v>
      </c>
      <c r="K92">
        <f t="shared" si="18"/>
        <v>0</v>
      </c>
      <c r="L92">
        <f t="shared" si="18"/>
        <v>0</v>
      </c>
      <c r="M92">
        <f t="shared" si="20"/>
        <v>0</v>
      </c>
      <c r="N92" t="e">
        <f t="shared" si="21"/>
        <v>#REF!</v>
      </c>
    </row>
    <row r="93" spans="1:14" x14ac:dyDescent="0.15">
      <c r="A93">
        <f t="shared" si="14"/>
        <v>8200000</v>
      </c>
      <c r="B93">
        <f t="shared" si="22"/>
        <v>0</v>
      </c>
      <c r="C93">
        <f t="shared" si="23"/>
        <v>0</v>
      </c>
      <c r="D93">
        <f t="shared" si="23"/>
        <v>0</v>
      </c>
      <c r="E93">
        <f t="shared" si="23"/>
        <v>0</v>
      </c>
      <c r="F93">
        <f t="shared" si="23"/>
        <v>0</v>
      </c>
      <c r="G93">
        <f t="shared" si="24"/>
        <v>0</v>
      </c>
      <c r="H93">
        <f t="shared" si="25"/>
        <v>0</v>
      </c>
      <c r="I93">
        <f t="shared" si="26"/>
        <v>0</v>
      </c>
      <c r="J93">
        <f t="shared" si="27"/>
        <v>0</v>
      </c>
      <c r="K93">
        <f t="shared" si="18"/>
        <v>0</v>
      </c>
      <c r="L93">
        <f t="shared" si="18"/>
        <v>0</v>
      </c>
      <c r="M93">
        <f t="shared" si="20"/>
        <v>0</v>
      </c>
      <c r="N93" t="e">
        <f t="shared" si="21"/>
        <v>#REF!</v>
      </c>
    </row>
    <row r="94" spans="1:14" x14ac:dyDescent="0.15">
      <c r="A94">
        <f t="shared" si="14"/>
        <v>10000000</v>
      </c>
      <c r="B94">
        <f t="shared" si="22"/>
        <v>0</v>
      </c>
      <c r="C94">
        <f t="shared" si="23"/>
        <v>0</v>
      </c>
      <c r="D94">
        <f t="shared" si="23"/>
        <v>0</v>
      </c>
      <c r="E94">
        <f t="shared" si="23"/>
        <v>0</v>
      </c>
      <c r="F94">
        <f t="shared" si="23"/>
        <v>0</v>
      </c>
      <c r="G94">
        <f t="shared" si="24"/>
        <v>0</v>
      </c>
      <c r="H94">
        <f t="shared" si="25"/>
        <v>0</v>
      </c>
      <c r="I94">
        <f t="shared" si="26"/>
        <v>0</v>
      </c>
      <c r="J94">
        <f t="shared" si="27"/>
        <v>0</v>
      </c>
      <c r="K94">
        <f t="shared" si="18"/>
        <v>0</v>
      </c>
      <c r="L94">
        <f t="shared" si="18"/>
        <v>0</v>
      </c>
      <c r="M94">
        <f t="shared" si="20"/>
        <v>0</v>
      </c>
      <c r="N94" t="e">
        <f t="shared" si="21"/>
        <v>#REF!</v>
      </c>
    </row>
    <row r="95" spans="1:14" x14ac:dyDescent="0.15">
      <c r="A95">
        <f t="shared" si="14"/>
        <v>12000000</v>
      </c>
      <c r="B95">
        <f t="shared" si="22"/>
        <v>0</v>
      </c>
      <c r="C95">
        <f t="shared" si="23"/>
        <v>0</v>
      </c>
      <c r="D95">
        <f t="shared" si="23"/>
        <v>0</v>
      </c>
      <c r="E95">
        <f t="shared" si="23"/>
        <v>0</v>
      </c>
      <c r="F95">
        <f t="shared" si="23"/>
        <v>0</v>
      </c>
      <c r="G95">
        <f t="shared" si="24"/>
        <v>0</v>
      </c>
      <c r="H95">
        <f t="shared" si="25"/>
        <v>0</v>
      </c>
      <c r="I95">
        <f t="shared" si="26"/>
        <v>0</v>
      </c>
      <c r="J95">
        <f t="shared" si="27"/>
        <v>0</v>
      </c>
      <c r="K95">
        <f t="shared" si="18"/>
        <v>0</v>
      </c>
      <c r="L95">
        <f t="shared" si="18"/>
        <v>0</v>
      </c>
      <c r="M95">
        <f t="shared" si="20"/>
        <v>0</v>
      </c>
      <c r="N95" t="e">
        <f t="shared" si="21"/>
        <v>#REF!</v>
      </c>
    </row>
    <row r="96" spans="1:14" x14ac:dyDescent="0.15">
      <c r="A96">
        <f t="shared" si="14"/>
        <v>15000000</v>
      </c>
      <c r="B96">
        <f t="shared" si="22"/>
        <v>0</v>
      </c>
      <c r="C96">
        <f t="shared" si="23"/>
        <v>0</v>
      </c>
      <c r="D96">
        <f t="shared" si="23"/>
        <v>0</v>
      </c>
      <c r="E96">
        <f t="shared" si="23"/>
        <v>0</v>
      </c>
      <c r="F96">
        <f t="shared" si="23"/>
        <v>0</v>
      </c>
      <c r="G96">
        <f t="shared" si="24"/>
        <v>0</v>
      </c>
      <c r="H96">
        <f t="shared" si="25"/>
        <v>0</v>
      </c>
      <c r="I96">
        <f t="shared" si="26"/>
        <v>0</v>
      </c>
      <c r="J96">
        <f t="shared" si="27"/>
        <v>0</v>
      </c>
      <c r="K96">
        <f t="shared" si="18"/>
        <v>0</v>
      </c>
      <c r="L96">
        <f t="shared" si="18"/>
        <v>0</v>
      </c>
      <c r="M96">
        <f t="shared" si="20"/>
        <v>0</v>
      </c>
      <c r="N96" t="e">
        <f t="shared" si="21"/>
        <v>#REF!</v>
      </c>
    </row>
    <row r="97" spans="1:14" x14ac:dyDescent="0.15">
      <c r="A97">
        <f t="shared" si="14"/>
        <v>18000000</v>
      </c>
      <c r="B97">
        <f t="shared" si="22"/>
        <v>0</v>
      </c>
      <c r="C97">
        <f t="shared" si="23"/>
        <v>0</v>
      </c>
      <c r="D97">
        <f t="shared" si="23"/>
        <v>0</v>
      </c>
      <c r="E97">
        <f t="shared" si="23"/>
        <v>0</v>
      </c>
      <c r="F97">
        <f t="shared" si="23"/>
        <v>0</v>
      </c>
      <c r="G97">
        <f t="shared" si="24"/>
        <v>0</v>
      </c>
      <c r="H97">
        <f t="shared" si="25"/>
        <v>0</v>
      </c>
      <c r="I97">
        <f t="shared" si="26"/>
        <v>0</v>
      </c>
      <c r="J97">
        <f t="shared" si="27"/>
        <v>0</v>
      </c>
      <c r="K97">
        <f t="shared" si="18"/>
        <v>0</v>
      </c>
      <c r="L97">
        <f t="shared" si="18"/>
        <v>0</v>
      </c>
      <c r="M97">
        <f t="shared" si="20"/>
        <v>0</v>
      </c>
      <c r="N97" t="e">
        <f t="shared" si="21"/>
        <v>#REF!</v>
      </c>
    </row>
    <row r="98" spans="1:14" x14ac:dyDescent="0.15">
      <c r="A98">
        <f t="shared" si="14"/>
        <v>22000000</v>
      </c>
      <c r="B98">
        <f t="shared" si="22"/>
        <v>0</v>
      </c>
      <c r="C98">
        <f t="shared" si="23"/>
        <v>0</v>
      </c>
      <c r="D98">
        <f t="shared" si="23"/>
        <v>0</v>
      </c>
      <c r="E98">
        <f t="shared" si="23"/>
        <v>0</v>
      </c>
      <c r="F98">
        <f t="shared" si="23"/>
        <v>0</v>
      </c>
      <c r="G98">
        <f t="shared" si="24"/>
        <v>22000000</v>
      </c>
      <c r="H98">
        <f t="shared" si="25"/>
        <v>0</v>
      </c>
      <c r="I98">
        <f t="shared" si="26"/>
        <v>0</v>
      </c>
      <c r="J98">
        <f t="shared" si="27"/>
        <v>0</v>
      </c>
      <c r="K98">
        <f t="shared" si="18"/>
        <v>0</v>
      </c>
      <c r="L98">
        <f t="shared" si="18"/>
        <v>0</v>
      </c>
      <c r="M98">
        <f t="shared" si="20"/>
        <v>0</v>
      </c>
      <c r="N98" t="e">
        <f t="shared" si="21"/>
        <v>#REF!</v>
      </c>
    </row>
    <row r="99" spans="1:14" x14ac:dyDescent="0.15">
      <c r="A99">
        <f t="shared" ref="A99:A159" si="28">A87*10</f>
        <v>27000000</v>
      </c>
      <c r="B99">
        <f t="shared" si="22"/>
        <v>0</v>
      </c>
      <c r="C99">
        <f t="shared" si="23"/>
        <v>0</v>
      </c>
      <c r="D99">
        <f t="shared" si="23"/>
        <v>0</v>
      </c>
      <c r="E99">
        <f t="shared" si="23"/>
        <v>0</v>
      </c>
      <c r="F99">
        <f t="shared" si="23"/>
        <v>0</v>
      </c>
      <c r="G99">
        <f t="shared" si="24"/>
        <v>0</v>
      </c>
      <c r="H99">
        <f t="shared" si="25"/>
        <v>0</v>
      </c>
      <c r="I99">
        <f t="shared" si="26"/>
        <v>0</v>
      </c>
      <c r="J99">
        <f t="shared" si="27"/>
        <v>0</v>
      </c>
      <c r="K99">
        <f t="shared" si="18"/>
        <v>0</v>
      </c>
      <c r="L99">
        <f t="shared" si="18"/>
        <v>0</v>
      </c>
      <c r="M99">
        <f t="shared" si="20"/>
        <v>0</v>
      </c>
      <c r="N99" t="e">
        <f t="shared" si="21"/>
        <v>#REF!</v>
      </c>
    </row>
    <row r="100" spans="1:14" x14ac:dyDescent="0.15">
      <c r="A100">
        <f t="shared" si="28"/>
        <v>33000000</v>
      </c>
      <c r="B100">
        <f t="shared" si="22"/>
        <v>0</v>
      </c>
      <c r="C100">
        <f t="shared" si="23"/>
        <v>0</v>
      </c>
      <c r="D100">
        <f t="shared" si="23"/>
        <v>0</v>
      </c>
      <c r="E100">
        <f t="shared" si="23"/>
        <v>0</v>
      </c>
      <c r="F100">
        <f t="shared" si="23"/>
        <v>0</v>
      </c>
      <c r="G100">
        <f t="shared" si="24"/>
        <v>0</v>
      </c>
      <c r="H100">
        <f t="shared" si="25"/>
        <v>0</v>
      </c>
      <c r="I100">
        <f t="shared" si="26"/>
        <v>0</v>
      </c>
      <c r="J100">
        <f t="shared" si="27"/>
        <v>0</v>
      </c>
      <c r="K100">
        <f t="shared" si="18"/>
        <v>0</v>
      </c>
      <c r="L100">
        <f t="shared" si="18"/>
        <v>0</v>
      </c>
      <c r="M100">
        <f t="shared" si="20"/>
        <v>0</v>
      </c>
      <c r="N100" t="e">
        <f t="shared" si="21"/>
        <v>#REF!</v>
      </c>
    </row>
    <row r="101" spans="1:14" x14ac:dyDescent="0.15">
      <c r="A101">
        <f t="shared" si="28"/>
        <v>39000000</v>
      </c>
      <c r="B101">
        <f t="shared" si="22"/>
        <v>0</v>
      </c>
      <c r="C101">
        <f t="shared" si="23"/>
        <v>0</v>
      </c>
      <c r="D101">
        <f t="shared" si="23"/>
        <v>0</v>
      </c>
      <c r="E101">
        <f t="shared" si="23"/>
        <v>0</v>
      </c>
      <c r="F101">
        <f t="shared" si="23"/>
        <v>0</v>
      </c>
      <c r="G101">
        <f t="shared" si="24"/>
        <v>0</v>
      </c>
      <c r="H101">
        <f t="shared" si="25"/>
        <v>0</v>
      </c>
      <c r="I101">
        <f t="shared" si="26"/>
        <v>0</v>
      </c>
      <c r="J101">
        <f t="shared" si="27"/>
        <v>0</v>
      </c>
      <c r="K101">
        <f t="shared" si="18"/>
        <v>0</v>
      </c>
      <c r="L101">
        <f t="shared" si="18"/>
        <v>0</v>
      </c>
      <c r="M101">
        <f t="shared" si="20"/>
        <v>0</v>
      </c>
      <c r="N101" t="e">
        <f t="shared" si="21"/>
        <v>#REF!</v>
      </c>
    </row>
    <row r="102" spans="1:14" x14ac:dyDescent="0.15">
      <c r="A102">
        <f t="shared" si="28"/>
        <v>47000000</v>
      </c>
      <c r="B102">
        <f t="shared" si="22"/>
        <v>0</v>
      </c>
      <c r="C102">
        <f t="shared" si="23"/>
        <v>0</v>
      </c>
      <c r="D102">
        <f t="shared" si="23"/>
        <v>0</v>
      </c>
      <c r="E102">
        <f t="shared" si="23"/>
        <v>0</v>
      </c>
      <c r="F102">
        <f t="shared" si="23"/>
        <v>0</v>
      </c>
      <c r="G102">
        <f t="shared" si="24"/>
        <v>0</v>
      </c>
      <c r="H102">
        <f t="shared" si="25"/>
        <v>0</v>
      </c>
      <c r="I102">
        <f t="shared" si="26"/>
        <v>0</v>
      </c>
      <c r="J102">
        <f t="shared" si="27"/>
        <v>0</v>
      </c>
      <c r="K102">
        <f t="shared" si="18"/>
        <v>0</v>
      </c>
      <c r="L102">
        <f t="shared" si="18"/>
        <v>0</v>
      </c>
      <c r="M102">
        <f t="shared" ref="M102:M133" si="29">IF(IF((M$3*10^12-$A103)*(M$3*10^12-$A102)*-1&lt;0,0,1)*IF(ABS(M$3*10^12-$A103)&gt;(M$3*10^12-$A102),$A102,$A103)=M103,0,IF((M$3*10^12-$A103)*(M$3*10^12-$A102)*-1&lt;0,0,1)*IF(ABS(M$3*10^12-$A103)&gt;(M$3*10^12-$A102),$A102,$A103))</f>
        <v>0</v>
      </c>
      <c r="N102" t="e">
        <f t="shared" ref="N102:N133" si="30">IF(IF((N$3*10^12-$A103)*(N$3*10^12-$A102)*-1&lt;0,0,1)*IF(ABS(N$3*10^12-$A103)&gt;(N$3*10^12-$A102),$A102,$A103)=N103,0,IF((N$3*10^12-$A103)*(N$3*10^12-$A102)*-1&lt;0,0,1)*IF(ABS(N$3*10^12-$A103)&gt;(N$3*10^12-$A102),$A102,$A103))</f>
        <v>#REF!</v>
      </c>
    </row>
    <row r="103" spans="1:14" x14ac:dyDescent="0.15">
      <c r="A103">
        <f t="shared" si="28"/>
        <v>56000000</v>
      </c>
      <c r="B103">
        <f t="shared" si="22"/>
        <v>0</v>
      </c>
      <c r="C103">
        <f t="shared" si="23"/>
        <v>0</v>
      </c>
      <c r="D103">
        <f t="shared" si="23"/>
        <v>0</v>
      </c>
      <c r="E103">
        <f t="shared" si="23"/>
        <v>0</v>
      </c>
      <c r="F103">
        <f t="shared" si="23"/>
        <v>0</v>
      </c>
      <c r="G103">
        <f t="shared" ref="G103:G134" si="31">IF(IF((G$3*10^12-$A104)*(G$3*10^12-$A103)*-1&lt;0,0,1)*IF(ABS(G$3*10^12-$A104)&gt;(G$3*10^12-$A103),$A103,$A104)=G104,0,IF((G$3*10^12-$A104)*(G$3*10^12-$A103)*-1&lt;0,0,1)*IF(ABS(G$3*10^12-$A104)&gt;(G$3*10^12-$A103),$A103,$A104))</f>
        <v>0</v>
      </c>
      <c r="H103">
        <f t="shared" ref="H103:H134" si="32">IF(IF((H$3*10^12-$A104)*(H$3*10^12-$A103)*-1&lt;0,0,1)*IF(ABS(H$3*10^12-$A104)&gt;(H$3*10^12-$A103),$A103,$A104)=H104,0,IF((H$3*10^12-$A104)*(H$3*10^12-$A103)*-1&lt;0,0,1)*IF(ABS(H$3*10^12-$A104)&gt;(H$3*10^12-$A103),$A103,$A104))</f>
        <v>0</v>
      </c>
      <c r="I103">
        <f t="shared" ref="I103:I134" si="33">IF(IF((I$3*10^12-$A104)*(I$3*10^12-$A103)*-1&lt;0,0,1)*IF(ABS(I$3*10^12-$A104)&gt;(I$3*10^12-$A103),$A103,$A104)=I104,0,IF((I$3*10^12-$A104)*(I$3*10^12-$A103)*-1&lt;0,0,1)*IF(ABS(I$3*10^12-$A104)&gt;(I$3*10^12-$A103),$A103,$A104))</f>
        <v>0</v>
      </c>
      <c r="J103">
        <f t="shared" ref="J103:J134" si="34">IF(IF((J$3*10^12-$A104)*(J$3*10^12-$A103)*-1&lt;0,0,1)*IF(ABS(J$3*10^12-$A104)&gt;(J$3*10^12-$A103),$A103,$A104)=J104,0,IF((J$3*10^12-$A104)*(J$3*10^12-$A103)*-1&lt;0,0,1)*IF(ABS(J$3*10^12-$A104)&gt;(J$3*10^12-$A103),$A103,$A104))</f>
        <v>0</v>
      </c>
      <c r="K103">
        <f t="shared" si="18"/>
        <v>0</v>
      </c>
      <c r="L103">
        <f t="shared" si="18"/>
        <v>0</v>
      </c>
      <c r="M103">
        <f t="shared" si="29"/>
        <v>0</v>
      </c>
      <c r="N103" t="e">
        <f t="shared" si="30"/>
        <v>#REF!</v>
      </c>
    </row>
    <row r="104" spans="1:14" x14ac:dyDescent="0.15">
      <c r="A104">
        <f t="shared" si="28"/>
        <v>68000000</v>
      </c>
      <c r="B104">
        <f t="shared" si="22"/>
        <v>0</v>
      </c>
      <c r="C104">
        <f t="shared" si="23"/>
        <v>0</v>
      </c>
      <c r="D104">
        <f t="shared" si="23"/>
        <v>0</v>
      </c>
      <c r="E104">
        <f t="shared" si="23"/>
        <v>0</v>
      </c>
      <c r="F104">
        <f t="shared" si="23"/>
        <v>0</v>
      </c>
      <c r="G104">
        <f t="shared" si="31"/>
        <v>0</v>
      </c>
      <c r="H104">
        <f t="shared" si="32"/>
        <v>0</v>
      </c>
      <c r="I104">
        <f t="shared" si="33"/>
        <v>0</v>
      </c>
      <c r="J104">
        <f t="shared" si="34"/>
        <v>0</v>
      </c>
      <c r="K104">
        <f t="shared" si="18"/>
        <v>0</v>
      </c>
      <c r="L104">
        <f t="shared" si="18"/>
        <v>0</v>
      </c>
      <c r="M104">
        <f t="shared" si="29"/>
        <v>0</v>
      </c>
      <c r="N104" t="e">
        <f t="shared" si="30"/>
        <v>#REF!</v>
      </c>
    </row>
    <row r="105" spans="1:14" x14ac:dyDescent="0.15">
      <c r="A105">
        <f t="shared" si="28"/>
        <v>82000000</v>
      </c>
      <c r="B105">
        <f t="shared" si="22"/>
        <v>0</v>
      </c>
      <c r="C105">
        <f t="shared" si="23"/>
        <v>0</v>
      </c>
      <c r="D105">
        <f t="shared" si="23"/>
        <v>0</v>
      </c>
      <c r="E105">
        <f t="shared" si="23"/>
        <v>0</v>
      </c>
      <c r="F105">
        <f t="shared" si="23"/>
        <v>0</v>
      </c>
      <c r="G105">
        <f t="shared" si="31"/>
        <v>0</v>
      </c>
      <c r="H105">
        <f t="shared" si="32"/>
        <v>0</v>
      </c>
      <c r="I105">
        <f t="shared" si="33"/>
        <v>0</v>
      </c>
      <c r="J105">
        <f t="shared" si="34"/>
        <v>0</v>
      </c>
      <c r="K105">
        <f t="shared" si="18"/>
        <v>0</v>
      </c>
      <c r="L105">
        <f t="shared" si="18"/>
        <v>0</v>
      </c>
      <c r="M105">
        <f t="shared" si="29"/>
        <v>0</v>
      </c>
      <c r="N105" t="e">
        <f t="shared" si="30"/>
        <v>#REF!</v>
      </c>
    </row>
    <row r="106" spans="1:14" x14ac:dyDescent="0.15">
      <c r="A106">
        <f t="shared" si="28"/>
        <v>100000000</v>
      </c>
      <c r="B106">
        <f t="shared" si="22"/>
        <v>0</v>
      </c>
      <c r="C106">
        <f t="shared" si="23"/>
        <v>0</v>
      </c>
      <c r="D106">
        <f t="shared" si="23"/>
        <v>0</v>
      </c>
      <c r="E106">
        <f t="shared" si="23"/>
        <v>0</v>
      </c>
      <c r="F106">
        <f t="shared" si="23"/>
        <v>0</v>
      </c>
      <c r="G106">
        <f t="shared" si="31"/>
        <v>0</v>
      </c>
      <c r="H106">
        <f t="shared" si="32"/>
        <v>0</v>
      </c>
      <c r="I106">
        <f t="shared" si="33"/>
        <v>0</v>
      </c>
      <c r="J106">
        <f t="shared" si="34"/>
        <v>0</v>
      </c>
      <c r="K106">
        <f t="shared" si="18"/>
        <v>0</v>
      </c>
      <c r="L106">
        <f t="shared" si="18"/>
        <v>0</v>
      </c>
      <c r="M106">
        <f t="shared" si="29"/>
        <v>0</v>
      </c>
      <c r="N106" t="e">
        <f t="shared" si="30"/>
        <v>#REF!</v>
      </c>
    </row>
    <row r="107" spans="1:14" x14ac:dyDescent="0.15">
      <c r="A107">
        <f t="shared" si="28"/>
        <v>120000000</v>
      </c>
      <c r="B107">
        <f t="shared" si="22"/>
        <v>0</v>
      </c>
      <c r="C107">
        <f t="shared" si="23"/>
        <v>0</v>
      </c>
      <c r="D107">
        <f t="shared" si="23"/>
        <v>0</v>
      </c>
      <c r="E107">
        <f t="shared" si="23"/>
        <v>0</v>
      </c>
      <c r="F107">
        <f t="shared" si="23"/>
        <v>0</v>
      </c>
      <c r="G107">
        <f t="shared" si="31"/>
        <v>0</v>
      </c>
      <c r="H107">
        <f t="shared" si="32"/>
        <v>0</v>
      </c>
      <c r="I107">
        <f t="shared" si="33"/>
        <v>0</v>
      </c>
      <c r="J107">
        <f t="shared" si="34"/>
        <v>0</v>
      </c>
      <c r="K107">
        <f t="shared" si="18"/>
        <v>0</v>
      </c>
      <c r="L107">
        <f t="shared" si="18"/>
        <v>0</v>
      </c>
      <c r="M107">
        <f t="shared" si="29"/>
        <v>0</v>
      </c>
      <c r="N107" t="e">
        <f t="shared" si="30"/>
        <v>#REF!</v>
      </c>
    </row>
    <row r="108" spans="1:14" x14ac:dyDescent="0.15">
      <c r="A108">
        <f t="shared" si="28"/>
        <v>150000000</v>
      </c>
      <c r="B108">
        <f t="shared" si="22"/>
        <v>0</v>
      </c>
      <c r="C108">
        <f t="shared" si="23"/>
        <v>0</v>
      </c>
      <c r="D108">
        <f t="shared" si="23"/>
        <v>0</v>
      </c>
      <c r="E108">
        <f t="shared" si="23"/>
        <v>0</v>
      </c>
      <c r="F108">
        <f t="shared" si="23"/>
        <v>0</v>
      </c>
      <c r="G108">
        <f t="shared" si="31"/>
        <v>0</v>
      </c>
      <c r="H108">
        <f t="shared" si="32"/>
        <v>0</v>
      </c>
      <c r="I108">
        <f t="shared" si="33"/>
        <v>0</v>
      </c>
      <c r="J108">
        <f t="shared" si="34"/>
        <v>0</v>
      </c>
      <c r="K108">
        <f t="shared" si="18"/>
        <v>0</v>
      </c>
      <c r="L108">
        <f t="shared" si="18"/>
        <v>0</v>
      </c>
      <c r="M108">
        <f t="shared" si="29"/>
        <v>0</v>
      </c>
      <c r="N108" t="e">
        <f t="shared" si="30"/>
        <v>#REF!</v>
      </c>
    </row>
    <row r="109" spans="1:14" x14ac:dyDescent="0.15">
      <c r="A109">
        <f t="shared" si="28"/>
        <v>180000000</v>
      </c>
      <c r="B109">
        <f t="shared" si="22"/>
        <v>0</v>
      </c>
      <c r="C109">
        <f t="shared" si="23"/>
        <v>0</v>
      </c>
      <c r="D109">
        <f t="shared" si="23"/>
        <v>0</v>
      </c>
      <c r="E109">
        <f t="shared" si="23"/>
        <v>0</v>
      </c>
      <c r="F109">
        <f t="shared" si="23"/>
        <v>0</v>
      </c>
      <c r="G109">
        <f t="shared" si="31"/>
        <v>0</v>
      </c>
      <c r="H109">
        <f t="shared" si="32"/>
        <v>0</v>
      </c>
      <c r="I109">
        <f t="shared" si="33"/>
        <v>0</v>
      </c>
      <c r="J109">
        <f t="shared" si="34"/>
        <v>0</v>
      </c>
      <c r="K109">
        <f t="shared" si="18"/>
        <v>0</v>
      </c>
      <c r="L109">
        <f t="shared" si="18"/>
        <v>0</v>
      </c>
      <c r="M109">
        <f t="shared" si="29"/>
        <v>0</v>
      </c>
      <c r="N109" t="e">
        <f t="shared" si="30"/>
        <v>#REF!</v>
      </c>
    </row>
    <row r="110" spans="1:14" x14ac:dyDescent="0.15">
      <c r="A110">
        <f t="shared" si="28"/>
        <v>220000000</v>
      </c>
      <c r="B110">
        <f t="shared" si="22"/>
        <v>0</v>
      </c>
      <c r="C110">
        <f t="shared" si="23"/>
        <v>0</v>
      </c>
      <c r="D110">
        <f t="shared" si="23"/>
        <v>0</v>
      </c>
      <c r="E110">
        <f t="shared" si="23"/>
        <v>0</v>
      </c>
      <c r="F110">
        <f t="shared" si="23"/>
        <v>0</v>
      </c>
      <c r="G110">
        <f t="shared" si="31"/>
        <v>0</v>
      </c>
      <c r="H110">
        <f t="shared" si="32"/>
        <v>0</v>
      </c>
      <c r="I110">
        <f t="shared" si="33"/>
        <v>0</v>
      </c>
      <c r="J110">
        <f t="shared" si="34"/>
        <v>0</v>
      </c>
      <c r="K110">
        <f t="shared" si="18"/>
        <v>0</v>
      </c>
      <c r="L110">
        <f t="shared" si="18"/>
        <v>0</v>
      </c>
      <c r="M110">
        <f t="shared" si="29"/>
        <v>0</v>
      </c>
      <c r="N110" t="e">
        <f t="shared" si="30"/>
        <v>#REF!</v>
      </c>
    </row>
    <row r="111" spans="1:14" x14ac:dyDescent="0.15">
      <c r="A111">
        <f t="shared" si="28"/>
        <v>270000000</v>
      </c>
      <c r="B111">
        <f t="shared" si="22"/>
        <v>0</v>
      </c>
      <c r="C111">
        <f t="shared" si="23"/>
        <v>0</v>
      </c>
      <c r="D111">
        <f t="shared" si="23"/>
        <v>0</v>
      </c>
      <c r="E111">
        <f t="shared" si="23"/>
        <v>0</v>
      </c>
      <c r="F111">
        <f t="shared" si="23"/>
        <v>0</v>
      </c>
      <c r="G111">
        <f t="shared" si="31"/>
        <v>0</v>
      </c>
      <c r="H111">
        <f t="shared" si="32"/>
        <v>0</v>
      </c>
      <c r="I111">
        <f t="shared" si="33"/>
        <v>0</v>
      </c>
      <c r="J111">
        <f t="shared" si="34"/>
        <v>0</v>
      </c>
      <c r="K111">
        <f t="shared" si="18"/>
        <v>0</v>
      </c>
      <c r="L111">
        <f t="shared" si="18"/>
        <v>0</v>
      </c>
      <c r="M111">
        <f t="shared" si="29"/>
        <v>0</v>
      </c>
      <c r="N111" t="e">
        <f t="shared" si="30"/>
        <v>#REF!</v>
      </c>
    </row>
    <row r="112" spans="1:14" x14ac:dyDescent="0.15">
      <c r="A112">
        <f t="shared" si="28"/>
        <v>330000000</v>
      </c>
      <c r="B112">
        <f t="shared" si="22"/>
        <v>0</v>
      </c>
      <c r="C112">
        <f t="shared" si="23"/>
        <v>0</v>
      </c>
      <c r="D112">
        <f t="shared" si="23"/>
        <v>0</v>
      </c>
      <c r="E112">
        <f t="shared" si="23"/>
        <v>0</v>
      </c>
      <c r="F112">
        <f t="shared" si="23"/>
        <v>330000000</v>
      </c>
      <c r="G112">
        <f t="shared" si="31"/>
        <v>0</v>
      </c>
      <c r="H112">
        <f t="shared" si="32"/>
        <v>0</v>
      </c>
      <c r="I112">
        <f t="shared" si="33"/>
        <v>0</v>
      </c>
      <c r="J112">
        <f t="shared" si="34"/>
        <v>0</v>
      </c>
      <c r="K112">
        <f t="shared" si="18"/>
        <v>0</v>
      </c>
      <c r="L112">
        <f t="shared" si="18"/>
        <v>0</v>
      </c>
      <c r="M112">
        <f t="shared" si="29"/>
        <v>0</v>
      </c>
      <c r="N112" t="e">
        <f t="shared" si="30"/>
        <v>#REF!</v>
      </c>
    </row>
    <row r="113" spans="1:14" x14ac:dyDescent="0.15">
      <c r="A113">
        <f t="shared" si="28"/>
        <v>390000000</v>
      </c>
      <c r="B113">
        <f t="shared" si="22"/>
        <v>0</v>
      </c>
      <c r="C113">
        <f t="shared" si="23"/>
        <v>0</v>
      </c>
      <c r="D113">
        <f t="shared" si="23"/>
        <v>0</v>
      </c>
      <c r="E113">
        <f t="shared" si="23"/>
        <v>0</v>
      </c>
      <c r="F113">
        <f t="shared" si="23"/>
        <v>0</v>
      </c>
      <c r="G113">
        <f t="shared" si="31"/>
        <v>0</v>
      </c>
      <c r="H113">
        <f t="shared" si="32"/>
        <v>0</v>
      </c>
      <c r="I113">
        <f t="shared" si="33"/>
        <v>0</v>
      </c>
      <c r="J113">
        <f t="shared" si="34"/>
        <v>0</v>
      </c>
      <c r="K113">
        <f t="shared" si="18"/>
        <v>0</v>
      </c>
      <c r="L113">
        <f t="shared" si="18"/>
        <v>0</v>
      </c>
      <c r="M113">
        <f t="shared" si="29"/>
        <v>0</v>
      </c>
      <c r="N113" t="e">
        <f t="shared" si="30"/>
        <v>#REF!</v>
      </c>
    </row>
    <row r="114" spans="1:14" x14ac:dyDescent="0.15">
      <c r="A114">
        <f t="shared" si="28"/>
        <v>470000000</v>
      </c>
      <c r="B114">
        <f t="shared" si="22"/>
        <v>0</v>
      </c>
      <c r="C114">
        <f t="shared" si="23"/>
        <v>0</v>
      </c>
      <c r="D114">
        <f t="shared" si="23"/>
        <v>0</v>
      </c>
      <c r="E114">
        <f t="shared" si="23"/>
        <v>0</v>
      </c>
      <c r="F114">
        <f t="shared" si="23"/>
        <v>0</v>
      </c>
      <c r="G114">
        <f t="shared" si="31"/>
        <v>0</v>
      </c>
      <c r="H114">
        <f t="shared" si="32"/>
        <v>0</v>
      </c>
      <c r="I114">
        <f t="shared" si="33"/>
        <v>0</v>
      </c>
      <c r="J114">
        <f t="shared" si="34"/>
        <v>0</v>
      </c>
      <c r="K114">
        <f t="shared" si="18"/>
        <v>0</v>
      </c>
      <c r="L114">
        <f t="shared" si="18"/>
        <v>0</v>
      </c>
      <c r="M114">
        <f t="shared" si="29"/>
        <v>0</v>
      </c>
      <c r="N114" t="e">
        <f t="shared" si="30"/>
        <v>#REF!</v>
      </c>
    </row>
    <row r="115" spans="1:14" x14ac:dyDescent="0.15">
      <c r="A115">
        <f t="shared" si="28"/>
        <v>560000000</v>
      </c>
      <c r="B115">
        <f t="shared" si="22"/>
        <v>0</v>
      </c>
      <c r="C115">
        <f t="shared" si="23"/>
        <v>0</v>
      </c>
      <c r="D115">
        <f t="shared" si="23"/>
        <v>0</v>
      </c>
      <c r="E115">
        <f t="shared" si="23"/>
        <v>0</v>
      </c>
      <c r="F115">
        <f t="shared" si="23"/>
        <v>0</v>
      </c>
      <c r="G115">
        <f t="shared" si="31"/>
        <v>0</v>
      </c>
      <c r="H115">
        <f t="shared" si="32"/>
        <v>0</v>
      </c>
      <c r="I115">
        <f t="shared" si="33"/>
        <v>0</v>
      </c>
      <c r="J115">
        <f t="shared" si="34"/>
        <v>0</v>
      </c>
      <c r="K115">
        <f t="shared" si="18"/>
        <v>0</v>
      </c>
      <c r="L115">
        <f t="shared" si="18"/>
        <v>0</v>
      </c>
      <c r="M115">
        <f t="shared" si="29"/>
        <v>0</v>
      </c>
      <c r="N115" t="e">
        <f t="shared" si="30"/>
        <v>#REF!</v>
      </c>
    </row>
    <row r="116" spans="1:14" x14ac:dyDescent="0.15">
      <c r="A116">
        <f t="shared" si="28"/>
        <v>680000000</v>
      </c>
      <c r="B116">
        <f t="shared" si="22"/>
        <v>0</v>
      </c>
      <c r="C116">
        <f t="shared" si="23"/>
        <v>0</v>
      </c>
      <c r="D116">
        <f t="shared" si="23"/>
        <v>0</v>
      </c>
      <c r="E116">
        <f t="shared" si="23"/>
        <v>0</v>
      </c>
      <c r="F116">
        <f t="shared" si="23"/>
        <v>0</v>
      </c>
      <c r="G116">
        <f t="shared" si="31"/>
        <v>0</v>
      </c>
      <c r="H116">
        <f t="shared" si="32"/>
        <v>0</v>
      </c>
      <c r="I116">
        <f t="shared" si="33"/>
        <v>0</v>
      </c>
      <c r="J116">
        <f t="shared" si="34"/>
        <v>0</v>
      </c>
      <c r="K116">
        <f t="shared" si="18"/>
        <v>0</v>
      </c>
      <c r="L116">
        <f t="shared" si="18"/>
        <v>0</v>
      </c>
      <c r="M116">
        <f t="shared" si="29"/>
        <v>0</v>
      </c>
      <c r="N116" t="e">
        <f t="shared" si="30"/>
        <v>#REF!</v>
      </c>
    </row>
    <row r="117" spans="1:14" x14ac:dyDescent="0.15">
      <c r="A117">
        <f t="shared" si="28"/>
        <v>820000000</v>
      </c>
      <c r="B117">
        <f t="shared" si="22"/>
        <v>0</v>
      </c>
      <c r="C117">
        <f t="shared" si="23"/>
        <v>0</v>
      </c>
      <c r="D117">
        <f t="shared" si="23"/>
        <v>0</v>
      </c>
      <c r="E117">
        <f t="shared" si="23"/>
        <v>0</v>
      </c>
      <c r="F117">
        <f t="shared" si="23"/>
        <v>0</v>
      </c>
      <c r="G117">
        <f t="shared" si="31"/>
        <v>0</v>
      </c>
      <c r="H117">
        <f t="shared" si="32"/>
        <v>0</v>
      </c>
      <c r="I117">
        <f t="shared" si="33"/>
        <v>0</v>
      </c>
      <c r="J117">
        <f t="shared" si="34"/>
        <v>0</v>
      </c>
      <c r="K117">
        <f t="shared" si="18"/>
        <v>0</v>
      </c>
      <c r="L117">
        <f t="shared" si="18"/>
        <v>0</v>
      </c>
      <c r="M117">
        <f t="shared" si="29"/>
        <v>0</v>
      </c>
      <c r="N117" t="e">
        <f t="shared" si="30"/>
        <v>#REF!</v>
      </c>
    </row>
    <row r="118" spans="1:14" x14ac:dyDescent="0.15">
      <c r="A118">
        <f t="shared" si="28"/>
        <v>1000000000</v>
      </c>
      <c r="B118">
        <f t="shared" si="22"/>
        <v>0</v>
      </c>
      <c r="C118">
        <f t="shared" si="23"/>
        <v>0</v>
      </c>
      <c r="D118">
        <f t="shared" si="23"/>
        <v>0</v>
      </c>
      <c r="E118">
        <f t="shared" si="23"/>
        <v>0</v>
      </c>
      <c r="F118">
        <f t="shared" si="23"/>
        <v>0</v>
      </c>
      <c r="G118">
        <f t="shared" si="31"/>
        <v>0</v>
      </c>
      <c r="H118">
        <f t="shared" si="32"/>
        <v>0</v>
      </c>
      <c r="I118">
        <f t="shared" si="33"/>
        <v>0</v>
      </c>
      <c r="J118">
        <f t="shared" si="34"/>
        <v>0</v>
      </c>
      <c r="K118">
        <f t="shared" si="18"/>
        <v>0</v>
      </c>
      <c r="L118">
        <f t="shared" si="18"/>
        <v>0</v>
      </c>
      <c r="M118">
        <f t="shared" si="29"/>
        <v>0</v>
      </c>
      <c r="N118" t="e">
        <f t="shared" si="30"/>
        <v>#REF!</v>
      </c>
    </row>
    <row r="119" spans="1:14" x14ac:dyDescent="0.15">
      <c r="A119">
        <f t="shared" si="28"/>
        <v>1200000000</v>
      </c>
      <c r="B119">
        <f t="shared" si="22"/>
        <v>0</v>
      </c>
      <c r="C119">
        <f t="shared" si="23"/>
        <v>0</v>
      </c>
      <c r="D119">
        <f t="shared" si="23"/>
        <v>0</v>
      </c>
      <c r="E119">
        <f t="shared" si="23"/>
        <v>0</v>
      </c>
      <c r="F119">
        <f t="shared" si="23"/>
        <v>0</v>
      </c>
      <c r="G119">
        <f t="shared" si="31"/>
        <v>0</v>
      </c>
      <c r="H119">
        <f t="shared" si="32"/>
        <v>0</v>
      </c>
      <c r="I119">
        <f t="shared" si="33"/>
        <v>0</v>
      </c>
      <c r="J119">
        <f t="shared" si="34"/>
        <v>0</v>
      </c>
      <c r="K119">
        <f t="shared" si="18"/>
        <v>0</v>
      </c>
      <c r="L119">
        <f t="shared" si="18"/>
        <v>0</v>
      </c>
      <c r="M119">
        <f t="shared" si="29"/>
        <v>0</v>
      </c>
      <c r="N119" t="e">
        <f t="shared" si="30"/>
        <v>#REF!</v>
      </c>
    </row>
    <row r="120" spans="1:14" x14ac:dyDescent="0.15">
      <c r="A120">
        <f t="shared" si="28"/>
        <v>1500000000</v>
      </c>
      <c r="B120">
        <f t="shared" si="22"/>
        <v>0</v>
      </c>
      <c r="C120">
        <f t="shared" si="23"/>
        <v>0</v>
      </c>
      <c r="D120">
        <f t="shared" si="23"/>
        <v>0</v>
      </c>
      <c r="E120">
        <f t="shared" si="23"/>
        <v>0</v>
      </c>
      <c r="F120">
        <f t="shared" si="23"/>
        <v>0</v>
      </c>
      <c r="G120">
        <f t="shared" si="31"/>
        <v>0</v>
      </c>
      <c r="H120">
        <f t="shared" si="32"/>
        <v>0</v>
      </c>
      <c r="I120">
        <f t="shared" si="33"/>
        <v>0</v>
      </c>
      <c r="J120">
        <f t="shared" si="34"/>
        <v>0</v>
      </c>
      <c r="K120">
        <f t="shared" si="18"/>
        <v>0</v>
      </c>
      <c r="L120">
        <f t="shared" si="18"/>
        <v>0</v>
      </c>
      <c r="M120">
        <f t="shared" si="29"/>
        <v>0</v>
      </c>
      <c r="N120" t="e">
        <f t="shared" si="30"/>
        <v>#REF!</v>
      </c>
    </row>
    <row r="121" spans="1:14" x14ac:dyDescent="0.15">
      <c r="A121">
        <f t="shared" si="28"/>
        <v>1800000000</v>
      </c>
      <c r="B121">
        <f t="shared" si="22"/>
        <v>0</v>
      </c>
      <c r="C121">
        <f t="shared" si="23"/>
        <v>0</v>
      </c>
      <c r="D121">
        <f t="shared" si="23"/>
        <v>0</v>
      </c>
      <c r="E121">
        <f t="shared" si="23"/>
        <v>0</v>
      </c>
      <c r="F121">
        <f t="shared" si="23"/>
        <v>0</v>
      </c>
      <c r="G121">
        <f t="shared" si="31"/>
        <v>0</v>
      </c>
      <c r="H121">
        <f t="shared" si="32"/>
        <v>0</v>
      </c>
      <c r="I121">
        <f t="shared" si="33"/>
        <v>0</v>
      </c>
      <c r="J121">
        <f t="shared" si="34"/>
        <v>0</v>
      </c>
      <c r="K121">
        <f t="shared" si="18"/>
        <v>0</v>
      </c>
      <c r="L121">
        <f t="shared" si="18"/>
        <v>0</v>
      </c>
      <c r="M121">
        <f t="shared" si="29"/>
        <v>0</v>
      </c>
      <c r="N121" t="e">
        <f t="shared" si="30"/>
        <v>#REF!</v>
      </c>
    </row>
    <row r="122" spans="1:14" x14ac:dyDescent="0.15">
      <c r="A122">
        <f t="shared" si="28"/>
        <v>2200000000</v>
      </c>
      <c r="B122">
        <f t="shared" si="22"/>
        <v>0</v>
      </c>
      <c r="C122">
        <f t="shared" si="23"/>
        <v>0</v>
      </c>
      <c r="D122">
        <f t="shared" si="23"/>
        <v>0</v>
      </c>
      <c r="E122">
        <f t="shared" si="23"/>
        <v>0</v>
      </c>
      <c r="F122">
        <f t="shared" si="23"/>
        <v>0</v>
      </c>
      <c r="G122">
        <f t="shared" si="31"/>
        <v>0</v>
      </c>
      <c r="H122">
        <f t="shared" si="32"/>
        <v>0</v>
      </c>
      <c r="I122">
        <f t="shared" si="33"/>
        <v>0</v>
      </c>
      <c r="J122">
        <f t="shared" si="34"/>
        <v>0</v>
      </c>
      <c r="K122">
        <f t="shared" si="18"/>
        <v>0</v>
      </c>
      <c r="L122">
        <f t="shared" si="18"/>
        <v>0</v>
      </c>
      <c r="M122">
        <f t="shared" si="29"/>
        <v>0</v>
      </c>
      <c r="N122" t="e">
        <f t="shared" si="30"/>
        <v>#REF!</v>
      </c>
    </row>
    <row r="123" spans="1:14" x14ac:dyDescent="0.15">
      <c r="A123">
        <f t="shared" si="28"/>
        <v>2700000000</v>
      </c>
      <c r="B123">
        <f t="shared" si="22"/>
        <v>0</v>
      </c>
      <c r="C123">
        <f t="shared" si="23"/>
        <v>0</v>
      </c>
      <c r="D123">
        <f t="shared" si="23"/>
        <v>0</v>
      </c>
      <c r="E123">
        <f t="shared" si="23"/>
        <v>0</v>
      </c>
      <c r="F123">
        <f t="shared" si="23"/>
        <v>0</v>
      </c>
      <c r="G123">
        <f t="shared" si="31"/>
        <v>0</v>
      </c>
      <c r="H123">
        <f t="shared" si="32"/>
        <v>0</v>
      </c>
      <c r="I123">
        <f t="shared" si="33"/>
        <v>0</v>
      </c>
      <c r="J123">
        <f t="shared" si="34"/>
        <v>0</v>
      </c>
      <c r="K123">
        <f t="shared" si="18"/>
        <v>0</v>
      </c>
      <c r="L123">
        <f t="shared" si="18"/>
        <v>0</v>
      </c>
      <c r="M123">
        <f t="shared" si="29"/>
        <v>0</v>
      </c>
      <c r="N123" t="e">
        <f t="shared" si="30"/>
        <v>#REF!</v>
      </c>
    </row>
    <row r="124" spans="1:14" x14ac:dyDescent="0.15">
      <c r="A124">
        <f t="shared" si="28"/>
        <v>3300000000</v>
      </c>
      <c r="B124">
        <f t="shared" si="22"/>
        <v>0</v>
      </c>
      <c r="C124">
        <f t="shared" si="23"/>
        <v>0</v>
      </c>
      <c r="D124">
        <f t="shared" si="23"/>
        <v>0</v>
      </c>
      <c r="E124">
        <f t="shared" si="23"/>
        <v>0</v>
      </c>
      <c r="F124">
        <f t="shared" si="23"/>
        <v>0</v>
      </c>
      <c r="G124">
        <f t="shared" si="31"/>
        <v>0</v>
      </c>
      <c r="H124">
        <f t="shared" si="32"/>
        <v>0</v>
      </c>
      <c r="I124">
        <f t="shared" si="33"/>
        <v>0</v>
      </c>
      <c r="J124">
        <f t="shared" si="34"/>
        <v>0</v>
      </c>
      <c r="K124">
        <f t="shared" si="18"/>
        <v>0</v>
      </c>
      <c r="L124">
        <f t="shared" si="18"/>
        <v>0</v>
      </c>
      <c r="M124">
        <f t="shared" si="29"/>
        <v>0</v>
      </c>
      <c r="N124" t="e">
        <f t="shared" si="30"/>
        <v>#REF!</v>
      </c>
    </row>
    <row r="125" spans="1:14" x14ac:dyDescent="0.15">
      <c r="A125">
        <f t="shared" si="28"/>
        <v>3900000000</v>
      </c>
      <c r="B125">
        <f t="shared" si="22"/>
        <v>0</v>
      </c>
      <c r="C125">
        <f t="shared" si="23"/>
        <v>0</v>
      </c>
      <c r="D125">
        <f t="shared" si="23"/>
        <v>0</v>
      </c>
      <c r="E125">
        <f t="shared" si="23"/>
        <v>0</v>
      </c>
      <c r="F125">
        <f t="shared" si="23"/>
        <v>0</v>
      </c>
      <c r="G125">
        <f t="shared" si="31"/>
        <v>0</v>
      </c>
      <c r="H125">
        <f t="shared" si="32"/>
        <v>0</v>
      </c>
      <c r="I125">
        <f t="shared" si="33"/>
        <v>0</v>
      </c>
      <c r="J125">
        <f t="shared" si="34"/>
        <v>0</v>
      </c>
      <c r="K125">
        <f t="shared" si="18"/>
        <v>0</v>
      </c>
      <c r="L125">
        <f t="shared" si="18"/>
        <v>0</v>
      </c>
      <c r="M125">
        <f t="shared" si="29"/>
        <v>0</v>
      </c>
      <c r="N125" t="e">
        <f t="shared" si="30"/>
        <v>#REF!</v>
      </c>
    </row>
    <row r="126" spans="1:14" x14ac:dyDescent="0.15">
      <c r="A126">
        <f t="shared" si="28"/>
        <v>4700000000</v>
      </c>
      <c r="B126">
        <f t="shared" si="22"/>
        <v>0</v>
      </c>
      <c r="C126">
        <f t="shared" si="23"/>
        <v>0</v>
      </c>
      <c r="D126">
        <f t="shared" si="23"/>
        <v>0</v>
      </c>
      <c r="E126">
        <f t="shared" si="23"/>
        <v>0</v>
      </c>
      <c r="F126">
        <f t="shared" si="23"/>
        <v>0</v>
      </c>
      <c r="G126">
        <f t="shared" si="31"/>
        <v>0</v>
      </c>
      <c r="H126">
        <f t="shared" si="32"/>
        <v>0</v>
      </c>
      <c r="I126">
        <f t="shared" si="33"/>
        <v>0</v>
      </c>
      <c r="J126">
        <f t="shared" si="34"/>
        <v>0</v>
      </c>
      <c r="K126">
        <f t="shared" si="18"/>
        <v>0</v>
      </c>
      <c r="L126">
        <f t="shared" si="18"/>
        <v>0</v>
      </c>
      <c r="M126">
        <f t="shared" si="29"/>
        <v>0</v>
      </c>
      <c r="N126" t="e">
        <f t="shared" si="30"/>
        <v>#REF!</v>
      </c>
    </row>
    <row r="127" spans="1:14" x14ac:dyDescent="0.15">
      <c r="A127">
        <f t="shared" si="28"/>
        <v>5600000000</v>
      </c>
      <c r="B127">
        <f t="shared" si="22"/>
        <v>0</v>
      </c>
      <c r="C127">
        <f t="shared" si="23"/>
        <v>0</v>
      </c>
      <c r="D127">
        <f t="shared" si="23"/>
        <v>0</v>
      </c>
      <c r="E127">
        <f t="shared" si="23"/>
        <v>0</v>
      </c>
      <c r="F127">
        <f t="shared" si="23"/>
        <v>0</v>
      </c>
      <c r="G127">
        <f t="shared" si="31"/>
        <v>0</v>
      </c>
      <c r="H127">
        <f t="shared" si="32"/>
        <v>0</v>
      </c>
      <c r="I127">
        <f t="shared" si="33"/>
        <v>0</v>
      </c>
      <c r="J127">
        <f t="shared" si="34"/>
        <v>0</v>
      </c>
      <c r="K127">
        <f t="shared" si="18"/>
        <v>0</v>
      </c>
      <c r="L127">
        <f t="shared" si="18"/>
        <v>0</v>
      </c>
      <c r="M127">
        <f t="shared" si="29"/>
        <v>0</v>
      </c>
      <c r="N127" t="e">
        <f t="shared" si="30"/>
        <v>#REF!</v>
      </c>
    </row>
    <row r="128" spans="1:14" x14ac:dyDescent="0.15">
      <c r="A128">
        <f t="shared" si="28"/>
        <v>6800000000</v>
      </c>
      <c r="B128">
        <f t="shared" si="22"/>
        <v>0</v>
      </c>
      <c r="C128">
        <f t="shared" si="23"/>
        <v>0</v>
      </c>
      <c r="D128">
        <f t="shared" si="23"/>
        <v>0</v>
      </c>
      <c r="E128">
        <f t="shared" si="23"/>
        <v>0</v>
      </c>
      <c r="F128">
        <f t="shared" si="23"/>
        <v>0</v>
      </c>
      <c r="G128">
        <f t="shared" si="31"/>
        <v>0</v>
      </c>
      <c r="H128">
        <f t="shared" si="32"/>
        <v>0</v>
      </c>
      <c r="I128">
        <f t="shared" si="33"/>
        <v>0</v>
      </c>
      <c r="J128">
        <f t="shared" si="34"/>
        <v>0</v>
      </c>
      <c r="K128">
        <f t="shared" si="18"/>
        <v>0</v>
      </c>
      <c r="L128">
        <f t="shared" si="18"/>
        <v>0</v>
      </c>
      <c r="M128">
        <f t="shared" si="29"/>
        <v>0</v>
      </c>
      <c r="N128" t="e">
        <f t="shared" si="30"/>
        <v>#REF!</v>
      </c>
    </row>
    <row r="129" spans="1:14" x14ac:dyDescent="0.15">
      <c r="A129">
        <f t="shared" si="28"/>
        <v>8200000000</v>
      </c>
      <c r="B129">
        <f t="shared" si="22"/>
        <v>0</v>
      </c>
      <c r="C129">
        <f t="shared" si="23"/>
        <v>0</v>
      </c>
      <c r="D129">
        <f t="shared" si="23"/>
        <v>0</v>
      </c>
      <c r="E129">
        <f t="shared" si="23"/>
        <v>0</v>
      </c>
      <c r="F129">
        <f t="shared" si="23"/>
        <v>0</v>
      </c>
      <c r="G129">
        <f t="shared" si="31"/>
        <v>0</v>
      </c>
      <c r="H129">
        <f t="shared" si="32"/>
        <v>0</v>
      </c>
      <c r="I129">
        <f t="shared" si="33"/>
        <v>0</v>
      </c>
      <c r="J129">
        <f t="shared" si="34"/>
        <v>0</v>
      </c>
      <c r="K129">
        <f t="shared" si="18"/>
        <v>0</v>
      </c>
      <c r="L129">
        <f t="shared" si="18"/>
        <v>0</v>
      </c>
      <c r="M129">
        <f t="shared" si="29"/>
        <v>0</v>
      </c>
      <c r="N129" t="e">
        <f t="shared" si="30"/>
        <v>#REF!</v>
      </c>
    </row>
    <row r="130" spans="1:14" x14ac:dyDescent="0.15">
      <c r="A130">
        <f t="shared" si="28"/>
        <v>10000000000</v>
      </c>
      <c r="B130">
        <f t="shared" si="22"/>
        <v>0</v>
      </c>
      <c r="C130">
        <f t="shared" si="23"/>
        <v>0</v>
      </c>
      <c r="D130">
        <f t="shared" si="23"/>
        <v>0</v>
      </c>
      <c r="E130">
        <f t="shared" si="23"/>
        <v>0</v>
      </c>
      <c r="F130">
        <f t="shared" si="23"/>
        <v>0</v>
      </c>
      <c r="G130">
        <f t="shared" si="31"/>
        <v>0</v>
      </c>
      <c r="H130">
        <f t="shared" si="32"/>
        <v>0</v>
      </c>
      <c r="I130">
        <f t="shared" si="33"/>
        <v>0</v>
      </c>
      <c r="J130">
        <f t="shared" si="34"/>
        <v>0</v>
      </c>
      <c r="K130">
        <f t="shared" si="18"/>
        <v>0</v>
      </c>
      <c r="L130">
        <f t="shared" si="18"/>
        <v>0</v>
      </c>
      <c r="M130">
        <f t="shared" si="29"/>
        <v>0</v>
      </c>
      <c r="N130" t="e">
        <f t="shared" si="30"/>
        <v>#REF!</v>
      </c>
    </row>
    <row r="131" spans="1:14" x14ac:dyDescent="0.15">
      <c r="A131">
        <f t="shared" si="28"/>
        <v>12000000000</v>
      </c>
      <c r="B131">
        <f t="shared" si="22"/>
        <v>0</v>
      </c>
      <c r="C131">
        <f t="shared" si="23"/>
        <v>0</v>
      </c>
      <c r="D131">
        <f t="shared" si="23"/>
        <v>0</v>
      </c>
      <c r="E131">
        <f t="shared" si="23"/>
        <v>0</v>
      </c>
      <c r="F131">
        <f t="shared" si="23"/>
        <v>0</v>
      </c>
      <c r="G131">
        <f t="shared" si="31"/>
        <v>0</v>
      </c>
      <c r="H131">
        <f t="shared" si="32"/>
        <v>0</v>
      </c>
      <c r="I131">
        <f t="shared" si="33"/>
        <v>0</v>
      </c>
      <c r="J131">
        <f t="shared" si="34"/>
        <v>0</v>
      </c>
      <c r="K131">
        <f t="shared" si="18"/>
        <v>0</v>
      </c>
      <c r="L131">
        <f t="shared" si="18"/>
        <v>0</v>
      </c>
      <c r="M131">
        <f t="shared" si="29"/>
        <v>0</v>
      </c>
      <c r="N131" t="e">
        <f t="shared" si="30"/>
        <v>#REF!</v>
      </c>
    </row>
    <row r="132" spans="1:14" x14ac:dyDescent="0.15">
      <c r="A132">
        <f t="shared" si="28"/>
        <v>15000000000</v>
      </c>
      <c r="B132">
        <f t="shared" si="22"/>
        <v>0</v>
      </c>
      <c r="C132">
        <f t="shared" si="23"/>
        <v>0</v>
      </c>
      <c r="D132">
        <f t="shared" si="23"/>
        <v>0</v>
      </c>
      <c r="E132">
        <f t="shared" si="23"/>
        <v>0</v>
      </c>
      <c r="F132">
        <f t="shared" si="23"/>
        <v>0</v>
      </c>
      <c r="G132">
        <f t="shared" si="31"/>
        <v>0</v>
      </c>
      <c r="H132">
        <f t="shared" si="32"/>
        <v>0</v>
      </c>
      <c r="I132">
        <f t="shared" si="33"/>
        <v>0</v>
      </c>
      <c r="J132">
        <f t="shared" si="34"/>
        <v>0</v>
      </c>
      <c r="K132">
        <f t="shared" si="18"/>
        <v>0</v>
      </c>
      <c r="L132">
        <f t="shared" si="18"/>
        <v>0</v>
      </c>
      <c r="M132">
        <f t="shared" si="29"/>
        <v>0</v>
      </c>
      <c r="N132" t="e">
        <f t="shared" si="30"/>
        <v>#REF!</v>
      </c>
    </row>
    <row r="133" spans="1:14" x14ac:dyDescent="0.15">
      <c r="A133">
        <f t="shared" si="28"/>
        <v>18000000000</v>
      </c>
      <c r="B133">
        <f t="shared" si="22"/>
        <v>0</v>
      </c>
      <c r="C133">
        <f t="shared" si="23"/>
        <v>0</v>
      </c>
      <c r="D133">
        <f t="shared" si="23"/>
        <v>0</v>
      </c>
      <c r="E133">
        <f t="shared" si="23"/>
        <v>0</v>
      </c>
      <c r="F133">
        <f t="shared" si="23"/>
        <v>0</v>
      </c>
      <c r="G133">
        <f t="shared" si="31"/>
        <v>0</v>
      </c>
      <c r="H133">
        <f t="shared" si="32"/>
        <v>0</v>
      </c>
      <c r="I133">
        <f t="shared" si="33"/>
        <v>0</v>
      </c>
      <c r="J133">
        <f t="shared" si="34"/>
        <v>0</v>
      </c>
      <c r="K133">
        <f>IF(IF((K$3*10^12-$A134)*(K$3*10^12-$A133)*-1&lt;0,0,1)*IF(ABS(K$3*10^12-$A134)&gt;(K$3*10^12-$A133),$A133,$A134)=K134,0,IF((K$3*10^12-$A134)*(K$3*10^12-$A133)*-1&lt;0,0,1)*IF(ABS(K$3*10^12-$A134)&gt;(K$3*10^12-$A133),$A133,$A134))</f>
        <v>0</v>
      </c>
      <c r="L133">
        <f>IF(IF((L$3*10^12-$A134)*(L$3*10^12-$A133)*-1&lt;0,0,1)*IF(ABS(L$3*10^12-$A134)&gt;(L$3*10^12-$A133),$A133,$A134)=L134,0,IF((L$3*10^12-$A134)*(L$3*10^12-$A133)*-1&lt;0,0,1)*IF(ABS(L$3*10^12-$A134)&gt;(L$3*10^12-$A133),$A133,$A134))</f>
        <v>0</v>
      </c>
      <c r="M133">
        <f t="shared" si="29"/>
        <v>0</v>
      </c>
      <c r="N133" t="e">
        <f t="shared" si="30"/>
        <v>#REF!</v>
      </c>
    </row>
    <row r="134" spans="1:14" x14ac:dyDescent="0.15">
      <c r="A134">
        <f t="shared" si="28"/>
        <v>22000000000</v>
      </c>
      <c r="B134">
        <f t="shared" si="22"/>
        <v>0</v>
      </c>
      <c r="C134">
        <f t="shared" si="23"/>
        <v>0</v>
      </c>
      <c r="D134">
        <f t="shared" si="23"/>
        <v>0</v>
      </c>
      <c r="E134">
        <f t="shared" si="23"/>
        <v>0</v>
      </c>
      <c r="F134">
        <f t="shared" ref="F134:L159" si="35">IF(IF((F$3*10^12-$A135)*(F$3*10^12-$A134)*-1&lt;0,0,1)*IF(ABS(F$3*10^12-$A135)&gt;(F$3*10^12-$A134),$A134,$A135)=F135,0,IF((F$3*10^12-$A135)*(F$3*10^12-$A134)*-1&lt;0,0,1)*IF(ABS(F$3*10^12-$A135)&gt;(F$3*10^12-$A134),$A134,$A135))</f>
        <v>0</v>
      </c>
      <c r="G134">
        <f t="shared" si="31"/>
        <v>0</v>
      </c>
      <c r="H134">
        <f t="shared" si="32"/>
        <v>0</v>
      </c>
      <c r="I134">
        <f t="shared" si="33"/>
        <v>0</v>
      </c>
      <c r="J134">
        <f t="shared" si="34"/>
        <v>0</v>
      </c>
      <c r="K134">
        <f>IF(IF((K$3*10^12-$A135)*(K$3*10^12-$A134)*-1&lt;0,0,1)*IF(ABS(K$3*10^12-$A135)&gt;(K$3*10^12-$A134),$A134,$A135)=K135,0,IF((K$3*10^12-$A135)*(K$3*10^12-$A134)*-1&lt;0,0,1)*IF(ABS(K$3*10^12-$A135)&gt;(K$3*10^12-$A134),$A134,$A135))</f>
        <v>0</v>
      </c>
      <c r="L134">
        <f>IF(IF((L$3*10^12-$A135)*(L$3*10^12-$A134)*-1&lt;0,0,1)*IF(ABS(L$3*10^12-$A135)&gt;(L$3*10^12-$A134),$A134,$A135)=L135,0,IF((L$3*10^12-$A135)*(L$3*10^12-$A134)*-1&lt;0,0,1)*IF(ABS(L$3*10^12-$A135)&gt;(L$3*10^12-$A134),$A134,$A135))</f>
        <v>0</v>
      </c>
      <c r="M134">
        <f t="shared" ref="M134:M159" si="36">IF(IF((M$3*10^12-$A135)*(M$3*10^12-$A134)*-1&lt;0,0,1)*IF(ABS(M$3*10^12-$A135)&gt;(M$3*10^12-$A134),$A134,$A135)=M135,0,IF((M$3*10^12-$A135)*(M$3*10^12-$A134)*-1&lt;0,0,1)*IF(ABS(M$3*10^12-$A135)&gt;(M$3*10^12-$A134),$A134,$A135))</f>
        <v>0</v>
      </c>
      <c r="N134" t="e">
        <f t="shared" ref="N134:N159" si="37">IF(IF((N$3*10^12-$A135)*(N$3*10^12-$A134)*-1&lt;0,0,1)*IF(ABS(N$3*10^12-$A135)&gt;(N$3*10^12-$A134),$A134,$A135)=N135,0,IF((N$3*10^12-$A135)*(N$3*10^12-$A134)*-1&lt;0,0,1)*IF(ABS(N$3*10^12-$A135)&gt;(N$3*10^12-$A134),$A134,$A135))</f>
        <v>#REF!</v>
      </c>
    </row>
    <row r="135" spans="1:14" x14ac:dyDescent="0.15">
      <c r="A135">
        <f t="shared" si="28"/>
        <v>27000000000</v>
      </c>
      <c r="B135">
        <f t="shared" ref="B135:B159" si="38">IF(IF((B$3*10^12-$A136)*(B$3*10^12-$A135)*-1&lt;0,0,1)*IF(ABS(B$3*10^12-$A136)&gt;(B$3*10^12-$A135),$A135,$A136)=B136,0,IF((B$3*10^12-$A136)*(B$3*10^12-$A135)*-1&lt;0,0,1)*IF(ABS(B$3*10^12-$A136)&gt;(B$3*10^12-$A135),$A135,$A136))</f>
        <v>0</v>
      </c>
      <c r="C135">
        <f t="shared" ref="C135:E159" si="39">IF(IF((C$3*10^12-$A136)*(C$3*10^12-$A135)*-1&lt;0,0,1)*IF(ABS(C$3*10^12-$A136)&gt;(C$3*10^12-$A135),$A135,$A136)=C136,0,IF((C$3*10^12-$A136)*(C$3*10^12-$A135)*-1&lt;0,0,1)*IF(ABS(C$3*10^12-$A136)&gt;(C$3*10^12-$A135),$A135,$A136))</f>
        <v>0</v>
      </c>
      <c r="D135">
        <f t="shared" si="39"/>
        <v>0</v>
      </c>
      <c r="E135">
        <f t="shared" si="39"/>
        <v>0</v>
      </c>
      <c r="F135">
        <f t="shared" si="35"/>
        <v>0</v>
      </c>
      <c r="G135">
        <f t="shared" si="35"/>
        <v>0</v>
      </c>
      <c r="H135">
        <f t="shared" si="35"/>
        <v>0</v>
      </c>
      <c r="I135">
        <f t="shared" si="35"/>
        <v>0</v>
      </c>
      <c r="J135">
        <f t="shared" si="35"/>
        <v>0</v>
      </c>
      <c r="K135">
        <f t="shared" si="35"/>
        <v>0</v>
      </c>
      <c r="L135">
        <f t="shared" si="35"/>
        <v>0</v>
      </c>
      <c r="M135">
        <f t="shared" si="36"/>
        <v>0</v>
      </c>
      <c r="N135" t="e">
        <f t="shared" si="37"/>
        <v>#REF!</v>
      </c>
    </row>
    <row r="136" spans="1:14" x14ac:dyDescent="0.15">
      <c r="A136">
        <f t="shared" si="28"/>
        <v>33000000000</v>
      </c>
      <c r="B136">
        <f t="shared" si="38"/>
        <v>0</v>
      </c>
      <c r="C136">
        <f t="shared" si="39"/>
        <v>0</v>
      </c>
      <c r="D136">
        <f t="shared" si="39"/>
        <v>0</v>
      </c>
      <c r="E136">
        <f t="shared" si="39"/>
        <v>0</v>
      </c>
      <c r="F136">
        <f t="shared" si="35"/>
        <v>0</v>
      </c>
      <c r="G136">
        <f t="shared" si="35"/>
        <v>0</v>
      </c>
      <c r="H136">
        <f t="shared" si="35"/>
        <v>0</v>
      </c>
      <c r="I136">
        <f t="shared" si="35"/>
        <v>0</v>
      </c>
      <c r="J136">
        <f t="shared" si="35"/>
        <v>0</v>
      </c>
      <c r="K136">
        <f t="shared" si="35"/>
        <v>0</v>
      </c>
      <c r="L136">
        <f t="shared" si="35"/>
        <v>0</v>
      </c>
      <c r="M136">
        <f t="shared" si="36"/>
        <v>0</v>
      </c>
      <c r="N136" t="e">
        <f t="shared" si="37"/>
        <v>#REF!</v>
      </c>
    </row>
    <row r="137" spans="1:14" x14ac:dyDescent="0.15">
      <c r="A137">
        <f t="shared" si="28"/>
        <v>39000000000</v>
      </c>
      <c r="B137">
        <f t="shared" si="38"/>
        <v>0</v>
      </c>
      <c r="C137">
        <f t="shared" si="39"/>
        <v>0</v>
      </c>
      <c r="D137">
        <f t="shared" si="39"/>
        <v>0</v>
      </c>
      <c r="E137">
        <f t="shared" si="39"/>
        <v>0</v>
      </c>
      <c r="F137">
        <f t="shared" si="35"/>
        <v>0</v>
      </c>
      <c r="G137">
        <f t="shared" si="35"/>
        <v>0</v>
      </c>
      <c r="H137">
        <f t="shared" si="35"/>
        <v>0</v>
      </c>
      <c r="I137">
        <f t="shared" si="35"/>
        <v>0</v>
      </c>
      <c r="J137">
        <f t="shared" si="35"/>
        <v>0</v>
      </c>
      <c r="K137">
        <f t="shared" si="35"/>
        <v>0</v>
      </c>
      <c r="L137">
        <f t="shared" si="35"/>
        <v>0</v>
      </c>
      <c r="M137">
        <f t="shared" si="36"/>
        <v>0</v>
      </c>
      <c r="N137" t="e">
        <f t="shared" si="37"/>
        <v>#REF!</v>
      </c>
    </row>
    <row r="138" spans="1:14" x14ac:dyDescent="0.15">
      <c r="A138">
        <f t="shared" si="28"/>
        <v>47000000000</v>
      </c>
      <c r="B138">
        <f t="shared" si="38"/>
        <v>0</v>
      </c>
      <c r="C138">
        <f t="shared" si="39"/>
        <v>0</v>
      </c>
      <c r="D138">
        <f t="shared" si="39"/>
        <v>0</v>
      </c>
      <c r="E138">
        <f t="shared" si="39"/>
        <v>0</v>
      </c>
      <c r="F138">
        <f t="shared" si="35"/>
        <v>0</v>
      </c>
      <c r="G138">
        <f t="shared" si="35"/>
        <v>0</v>
      </c>
      <c r="H138">
        <f t="shared" si="35"/>
        <v>0</v>
      </c>
      <c r="I138">
        <f t="shared" si="35"/>
        <v>0</v>
      </c>
      <c r="J138">
        <f t="shared" si="35"/>
        <v>0</v>
      </c>
      <c r="K138">
        <f t="shared" si="35"/>
        <v>0</v>
      </c>
      <c r="L138">
        <f t="shared" si="35"/>
        <v>0</v>
      </c>
      <c r="M138">
        <f t="shared" si="36"/>
        <v>0</v>
      </c>
      <c r="N138" t="e">
        <f t="shared" si="37"/>
        <v>#REF!</v>
      </c>
    </row>
    <row r="139" spans="1:14" x14ac:dyDescent="0.15">
      <c r="A139">
        <f t="shared" si="28"/>
        <v>56000000000</v>
      </c>
      <c r="B139">
        <f t="shared" si="38"/>
        <v>0</v>
      </c>
      <c r="C139">
        <f t="shared" si="39"/>
        <v>0</v>
      </c>
      <c r="D139">
        <f t="shared" si="39"/>
        <v>0</v>
      </c>
      <c r="E139">
        <f t="shared" si="39"/>
        <v>0</v>
      </c>
      <c r="F139">
        <f t="shared" si="35"/>
        <v>0</v>
      </c>
      <c r="G139">
        <f t="shared" si="35"/>
        <v>0</v>
      </c>
      <c r="H139">
        <f t="shared" si="35"/>
        <v>0</v>
      </c>
      <c r="I139">
        <f t="shared" si="35"/>
        <v>0</v>
      </c>
      <c r="J139">
        <f t="shared" si="35"/>
        <v>0</v>
      </c>
      <c r="K139">
        <f t="shared" si="35"/>
        <v>0</v>
      </c>
      <c r="L139">
        <f t="shared" si="35"/>
        <v>0</v>
      </c>
      <c r="M139">
        <f t="shared" si="36"/>
        <v>0</v>
      </c>
      <c r="N139" t="e">
        <f t="shared" si="37"/>
        <v>#REF!</v>
      </c>
    </row>
    <row r="140" spans="1:14" x14ac:dyDescent="0.15">
      <c r="A140">
        <f t="shared" si="28"/>
        <v>68000000000</v>
      </c>
      <c r="B140">
        <f t="shared" si="38"/>
        <v>0</v>
      </c>
      <c r="C140">
        <f t="shared" si="39"/>
        <v>0</v>
      </c>
      <c r="D140">
        <f t="shared" si="39"/>
        <v>0</v>
      </c>
      <c r="E140">
        <f t="shared" si="39"/>
        <v>0</v>
      </c>
      <c r="F140">
        <f t="shared" si="35"/>
        <v>0</v>
      </c>
      <c r="G140">
        <f t="shared" si="35"/>
        <v>0</v>
      </c>
      <c r="H140">
        <f t="shared" si="35"/>
        <v>0</v>
      </c>
      <c r="I140">
        <f t="shared" si="35"/>
        <v>0</v>
      </c>
      <c r="J140">
        <f t="shared" si="35"/>
        <v>0</v>
      </c>
      <c r="K140">
        <f t="shared" si="35"/>
        <v>0</v>
      </c>
      <c r="L140">
        <f t="shared" si="35"/>
        <v>0</v>
      </c>
      <c r="M140">
        <f t="shared" si="36"/>
        <v>0</v>
      </c>
      <c r="N140" t="e">
        <f t="shared" si="37"/>
        <v>#REF!</v>
      </c>
    </row>
    <row r="141" spans="1:14" x14ac:dyDescent="0.15">
      <c r="A141">
        <f t="shared" si="28"/>
        <v>82000000000</v>
      </c>
      <c r="B141">
        <f t="shared" si="38"/>
        <v>0</v>
      </c>
      <c r="C141">
        <f t="shared" si="39"/>
        <v>0</v>
      </c>
      <c r="D141">
        <f t="shared" si="39"/>
        <v>0</v>
      </c>
      <c r="E141">
        <f t="shared" si="39"/>
        <v>0</v>
      </c>
      <c r="F141">
        <f t="shared" si="35"/>
        <v>0</v>
      </c>
      <c r="G141">
        <f t="shared" si="35"/>
        <v>0</v>
      </c>
      <c r="H141">
        <f t="shared" si="35"/>
        <v>0</v>
      </c>
      <c r="I141">
        <f t="shared" si="35"/>
        <v>0</v>
      </c>
      <c r="J141">
        <f t="shared" si="35"/>
        <v>0</v>
      </c>
      <c r="K141">
        <f t="shared" si="35"/>
        <v>0</v>
      </c>
      <c r="L141">
        <f t="shared" si="35"/>
        <v>0</v>
      </c>
      <c r="M141">
        <f t="shared" si="36"/>
        <v>0</v>
      </c>
      <c r="N141" t="e">
        <f t="shared" si="37"/>
        <v>#REF!</v>
      </c>
    </row>
    <row r="142" spans="1:14" x14ac:dyDescent="0.15">
      <c r="A142">
        <f t="shared" si="28"/>
        <v>100000000000</v>
      </c>
      <c r="B142">
        <f t="shared" si="38"/>
        <v>0</v>
      </c>
      <c r="C142">
        <f t="shared" si="39"/>
        <v>0</v>
      </c>
      <c r="D142">
        <f t="shared" si="39"/>
        <v>0</v>
      </c>
      <c r="E142">
        <f t="shared" si="39"/>
        <v>0</v>
      </c>
      <c r="F142">
        <f t="shared" si="35"/>
        <v>0</v>
      </c>
      <c r="G142">
        <f t="shared" si="35"/>
        <v>0</v>
      </c>
      <c r="H142">
        <f t="shared" si="35"/>
        <v>0</v>
      </c>
      <c r="I142">
        <f t="shared" si="35"/>
        <v>0</v>
      </c>
      <c r="J142">
        <f t="shared" si="35"/>
        <v>0</v>
      </c>
      <c r="K142">
        <f t="shared" si="35"/>
        <v>0</v>
      </c>
      <c r="L142">
        <f t="shared" si="35"/>
        <v>0</v>
      </c>
      <c r="M142">
        <f t="shared" si="36"/>
        <v>0</v>
      </c>
      <c r="N142" t="e">
        <f t="shared" si="37"/>
        <v>#REF!</v>
      </c>
    </row>
    <row r="143" spans="1:14" x14ac:dyDescent="0.15">
      <c r="A143">
        <f t="shared" si="28"/>
        <v>120000000000</v>
      </c>
      <c r="B143">
        <f t="shared" si="38"/>
        <v>0</v>
      </c>
      <c r="C143">
        <f t="shared" si="39"/>
        <v>0</v>
      </c>
      <c r="D143">
        <f t="shared" si="39"/>
        <v>0</v>
      </c>
      <c r="E143">
        <f t="shared" si="39"/>
        <v>0</v>
      </c>
      <c r="F143">
        <f t="shared" si="35"/>
        <v>0</v>
      </c>
      <c r="G143">
        <f t="shared" si="35"/>
        <v>0</v>
      </c>
      <c r="H143">
        <f t="shared" si="35"/>
        <v>0</v>
      </c>
      <c r="I143">
        <f t="shared" si="35"/>
        <v>0</v>
      </c>
      <c r="J143">
        <f t="shared" si="35"/>
        <v>0</v>
      </c>
      <c r="K143">
        <f t="shared" si="35"/>
        <v>0</v>
      </c>
      <c r="L143">
        <f t="shared" si="35"/>
        <v>0</v>
      </c>
      <c r="M143">
        <f t="shared" si="36"/>
        <v>0</v>
      </c>
      <c r="N143" t="e">
        <f t="shared" si="37"/>
        <v>#REF!</v>
      </c>
    </row>
    <row r="144" spans="1:14" x14ac:dyDescent="0.15">
      <c r="A144">
        <f t="shared" si="28"/>
        <v>150000000000</v>
      </c>
      <c r="B144">
        <f t="shared" si="38"/>
        <v>0</v>
      </c>
      <c r="C144">
        <f t="shared" si="39"/>
        <v>0</v>
      </c>
      <c r="D144">
        <f t="shared" si="39"/>
        <v>0</v>
      </c>
      <c r="E144">
        <f t="shared" si="39"/>
        <v>0</v>
      </c>
      <c r="F144">
        <f t="shared" si="35"/>
        <v>0</v>
      </c>
      <c r="G144">
        <f t="shared" si="35"/>
        <v>0</v>
      </c>
      <c r="H144">
        <f t="shared" si="35"/>
        <v>0</v>
      </c>
      <c r="I144">
        <f t="shared" si="35"/>
        <v>0</v>
      </c>
      <c r="J144">
        <f t="shared" si="35"/>
        <v>0</v>
      </c>
      <c r="K144">
        <f t="shared" si="35"/>
        <v>0</v>
      </c>
      <c r="L144">
        <f t="shared" si="35"/>
        <v>0</v>
      </c>
      <c r="M144">
        <f t="shared" si="36"/>
        <v>0</v>
      </c>
      <c r="N144" t="e">
        <f t="shared" si="37"/>
        <v>#REF!</v>
      </c>
    </row>
    <row r="145" spans="1:14" x14ac:dyDescent="0.15">
      <c r="A145">
        <f t="shared" si="28"/>
        <v>180000000000</v>
      </c>
      <c r="B145">
        <f t="shared" si="38"/>
        <v>0</v>
      </c>
      <c r="C145">
        <f t="shared" si="39"/>
        <v>0</v>
      </c>
      <c r="D145">
        <f t="shared" si="39"/>
        <v>0</v>
      </c>
      <c r="E145">
        <f t="shared" si="39"/>
        <v>0</v>
      </c>
      <c r="F145">
        <f t="shared" si="35"/>
        <v>0</v>
      </c>
      <c r="G145">
        <f t="shared" si="35"/>
        <v>0</v>
      </c>
      <c r="H145">
        <f t="shared" si="35"/>
        <v>0</v>
      </c>
      <c r="I145">
        <f t="shared" si="35"/>
        <v>0</v>
      </c>
      <c r="J145">
        <f t="shared" si="35"/>
        <v>0</v>
      </c>
      <c r="K145">
        <f t="shared" si="35"/>
        <v>0</v>
      </c>
      <c r="L145">
        <f t="shared" si="35"/>
        <v>0</v>
      </c>
      <c r="M145">
        <f t="shared" si="36"/>
        <v>0</v>
      </c>
      <c r="N145" t="e">
        <f t="shared" si="37"/>
        <v>#REF!</v>
      </c>
    </row>
    <row r="146" spans="1:14" x14ac:dyDescent="0.15">
      <c r="A146">
        <f t="shared" si="28"/>
        <v>220000000000</v>
      </c>
      <c r="B146">
        <f t="shared" si="38"/>
        <v>0</v>
      </c>
      <c r="C146">
        <f t="shared" si="39"/>
        <v>0</v>
      </c>
      <c r="D146">
        <f t="shared" si="39"/>
        <v>0</v>
      </c>
      <c r="E146">
        <f t="shared" si="39"/>
        <v>0</v>
      </c>
      <c r="F146">
        <f t="shared" si="35"/>
        <v>0</v>
      </c>
      <c r="G146">
        <f t="shared" si="35"/>
        <v>0</v>
      </c>
      <c r="H146">
        <f t="shared" si="35"/>
        <v>0</v>
      </c>
      <c r="I146">
        <f t="shared" si="35"/>
        <v>0</v>
      </c>
      <c r="J146">
        <f t="shared" si="35"/>
        <v>0</v>
      </c>
      <c r="K146">
        <f t="shared" si="35"/>
        <v>0</v>
      </c>
      <c r="L146">
        <f t="shared" si="35"/>
        <v>0</v>
      </c>
      <c r="M146">
        <f t="shared" si="36"/>
        <v>0</v>
      </c>
      <c r="N146" t="e">
        <f t="shared" si="37"/>
        <v>#REF!</v>
      </c>
    </row>
    <row r="147" spans="1:14" x14ac:dyDescent="0.15">
      <c r="A147">
        <f t="shared" si="28"/>
        <v>270000000000</v>
      </c>
      <c r="B147">
        <f t="shared" si="38"/>
        <v>0</v>
      </c>
      <c r="C147">
        <f t="shared" si="39"/>
        <v>0</v>
      </c>
      <c r="D147">
        <f t="shared" si="39"/>
        <v>0</v>
      </c>
      <c r="E147">
        <f t="shared" si="39"/>
        <v>0</v>
      </c>
      <c r="F147">
        <f t="shared" si="35"/>
        <v>0</v>
      </c>
      <c r="G147">
        <f t="shared" si="35"/>
        <v>0</v>
      </c>
      <c r="H147">
        <f t="shared" si="35"/>
        <v>0</v>
      </c>
      <c r="I147">
        <f t="shared" si="35"/>
        <v>0</v>
      </c>
      <c r="J147">
        <f t="shared" si="35"/>
        <v>0</v>
      </c>
      <c r="K147">
        <f t="shared" si="35"/>
        <v>0</v>
      </c>
      <c r="L147">
        <f t="shared" si="35"/>
        <v>0</v>
      </c>
      <c r="M147">
        <f t="shared" si="36"/>
        <v>0</v>
      </c>
      <c r="N147" t="e">
        <f t="shared" si="37"/>
        <v>#REF!</v>
      </c>
    </row>
    <row r="148" spans="1:14" x14ac:dyDescent="0.15">
      <c r="A148">
        <f t="shared" si="28"/>
        <v>330000000000</v>
      </c>
      <c r="B148">
        <f t="shared" si="38"/>
        <v>0</v>
      </c>
      <c r="C148">
        <f t="shared" si="39"/>
        <v>0</v>
      </c>
      <c r="D148">
        <f t="shared" si="39"/>
        <v>0</v>
      </c>
      <c r="E148">
        <f t="shared" si="39"/>
        <v>0</v>
      </c>
      <c r="F148">
        <f t="shared" si="35"/>
        <v>0</v>
      </c>
      <c r="G148">
        <f t="shared" si="35"/>
        <v>0</v>
      </c>
      <c r="H148">
        <f t="shared" si="35"/>
        <v>0</v>
      </c>
      <c r="I148">
        <f t="shared" si="35"/>
        <v>0</v>
      </c>
      <c r="J148">
        <f t="shared" si="35"/>
        <v>0</v>
      </c>
      <c r="K148">
        <f t="shared" si="35"/>
        <v>0</v>
      </c>
      <c r="L148">
        <f t="shared" si="35"/>
        <v>0</v>
      </c>
      <c r="M148">
        <f t="shared" si="36"/>
        <v>0</v>
      </c>
      <c r="N148" t="e">
        <f t="shared" si="37"/>
        <v>#REF!</v>
      </c>
    </row>
    <row r="149" spans="1:14" x14ac:dyDescent="0.15">
      <c r="A149">
        <f t="shared" si="28"/>
        <v>390000000000</v>
      </c>
      <c r="B149">
        <f t="shared" si="38"/>
        <v>0</v>
      </c>
      <c r="C149">
        <f t="shared" si="39"/>
        <v>0</v>
      </c>
      <c r="D149">
        <f t="shared" si="39"/>
        <v>0</v>
      </c>
      <c r="E149">
        <f t="shared" si="39"/>
        <v>0</v>
      </c>
      <c r="F149">
        <f t="shared" si="35"/>
        <v>0</v>
      </c>
      <c r="G149">
        <f t="shared" si="35"/>
        <v>0</v>
      </c>
      <c r="H149">
        <f t="shared" si="35"/>
        <v>0</v>
      </c>
      <c r="I149">
        <f t="shared" si="35"/>
        <v>0</v>
      </c>
      <c r="J149">
        <f t="shared" si="35"/>
        <v>0</v>
      </c>
      <c r="K149">
        <f t="shared" si="35"/>
        <v>0</v>
      </c>
      <c r="L149">
        <f t="shared" si="35"/>
        <v>0</v>
      </c>
      <c r="M149">
        <f t="shared" si="36"/>
        <v>0</v>
      </c>
      <c r="N149" t="e">
        <f t="shared" si="37"/>
        <v>#REF!</v>
      </c>
    </row>
    <row r="150" spans="1:14" x14ac:dyDescent="0.15">
      <c r="A150">
        <f t="shared" si="28"/>
        <v>470000000000</v>
      </c>
      <c r="B150">
        <f t="shared" si="38"/>
        <v>0</v>
      </c>
      <c r="C150">
        <f t="shared" si="39"/>
        <v>0</v>
      </c>
      <c r="D150">
        <f t="shared" si="39"/>
        <v>0</v>
      </c>
      <c r="E150">
        <f t="shared" si="39"/>
        <v>0</v>
      </c>
      <c r="F150">
        <f t="shared" si="35"/>
        <v>0</v>
      </c>
      <c r="G150">
        <f t="shared" si="35"/>
        <v>0</v>
      </c>
      <c r="H150">
        <f t="shared" si="35"/>
        <v>0</v>
      </c>
      <c r="I150">
        <f t="shared" si="35"/>
        <v>0</v>
      </c>
      <c r="J150">
        <f t="shared" si="35"/>
        <v>0</v>
      </c>
      <c r="K150">
        <f t="shared" si="35"/>
        <v>0</v>
      </c>
      <c r="L150">
        <f t="shared" si="35"/>
        <v>0</v>
      </c>
      <c r="M150">
        <f t="shared" si="36"/>
        <v>0</v>
      </c>
      <c r="N150" t="e">
        <f t="shared" si="37"/>
        <v>#REF!</v>
      </c>
    </row>
    <row r="151" spans="1:14" x14ac:dyDescent="0.15">
      <c r="A151">
        <f t="shared" si="28"/>
        <v>560000000000</v>
      </c>
      <c r="B151">
        <f t="shared" si="38"/>
        <v>0</v>
      </c>
      <c r="C151">
        <f t="shared" si="39"/>
        <v>0</v>
      </c>
      <c r="D151">
        <f t="shared" si="39"/>
        <v>0</v>
      </c>
      <c r="E151">
        <f t="shared" si="39"/>
        <v>0</v>
      </c>
      <c r="F151">
        <f t="shared" si="35"/>
        <v>0</v>
      </c>
      <c r="G151">
        <f t="shared" si="35"/>
        <v>0</v>
      </c>
      <c r="H151">
        <f t="shared" si="35"/>
        <v>0</v>
      </c>
      <c r="I151">
        <f t="shared" si="35"/>
        <v>0</v>
      </c>
      <c r="J151">
        <f t="shared" si="35"/>
        <v>0</v>
      </c>
      <c r="K151">
        <f t="shared" si="35"/>
        <v>0</v>
      </c>
      <c r="L151">
        <f t="shared" si="35"/>
        <v>0</v>
      </c>
      <c r="M151">
        <f t="shared" si="36"/>
        <v>0</v>
      </c>
      <c r="N151" t="e">
        <f t="shared" si="37"/>
        <v>#REF!</v>
      </c>
    </row>
    <row r="152" spans="1:14" x14ac:dyDescent="0.15">
      <c r="A152">
        <f t="shared" si="28"/>
        <v>680000000000</v>
      </c>
      <c r="B152">
        <f t="shared" si="38"/>
        <v>0</v>
      </c>
      <c r="C152">
        <f t="shared" si="39"/>
        <v>0</v>
      </c>
      <c r="D152">
        <f t="shared" si="39"/>
        <v>0</v>
      </c>
      <c r="E152">
        <f t="shared" si="39"/>
        <v>0</v>
      </c>
      <c r="F152">
        <f t="shared" si="35"/>
        <v>0</v>
      </c>
      <c r="G152">
        <f t="shared" si="35"/>
        <v>0</v>
      </c>
      <c r="H152">
        <f t="shared" si="35"/>
        <v>0</v>
      </c>
      <c r="I152">
        <f t="shared" si="35"/>
        <v>0</v>
      </c>
      <c r="J152">
        <f t="shared" si="35"/>
        <v>0</v>
      </c>
      <c r="K152">
        <f t="shared" si="35"/>
        <v>0</v>
      </c>
      <c r="L152">
        <f t="shared" si="35"/>
        <v>0</v>
      </c>
      <c r="M152">
        <f t="shared" si="36"/>
        <v>0</v>
      </c>
      <c r="N152" t="e">
        <f t="shared" si="37"/>
        <v>#REF!</v>
      </c>
    </row>
    <row r="153" spans="1:14" x14ac:dyDescent="0.15">
      <c r="A153">
        <f t="shared" si="28"/>
        <v>820000000000</v>
      </c>
      <c r="B153">
        <f t="shared" si="38"/>
        <v>0</v>
      </c>
      <c r="C153">
        <f t="shared" si="39"/>
        <v>0</v>
      </c>
      <c r="D153">
        <f t="shared" si="39"/>
        <v>0</v>
      </c>
      <c r="E153">
        <f t="shared" si="39"/>
        <v>0</v>
      </c>
      <c r="F153">
        <f t="shared" si="35"/>
        <v>0</v>
      </c>
      <c r="G153">
        <f t="shared" si="35"/>
        <v>0</v>
      </c>
      <c r="H153">
        <f t="shared" si="35"/>
        <v>0</v>
      </c>
      <c r="I153">
        <f t="shared" si="35"/>
        <v>0</v>
      </c>
      <c r="J153">
        <f t="shared" si="35"/>
        <v>0</v>
      </c>
      <c r="K153">
        <f t="shared" si="35"/>
        <v>0</v>
      </c>
      <c r="L153">
        <f t="shared" si="35"/>
        <v>0</v>
      </c>
      <c r="M153">
        <f t="shared" si="36"/>
        <v>0</v>
      </c>
      <c r="N153" t="e">
        <f t="shared" si="37"/>
        <v>#REF!</v>
      </c>
    </row>
    <row r="154" spans="1:14" x14ac:dyDescent="0.15">
      <c r="A154">
        <f t="shared" si="28"/>
        <v>1000000000000</v>
      </c>
      <c r="B154">
        <f t="shared" si="38"/>
        <v>0</v>
      </c>
      <c r="C154">
        <f t="shared" si="39"/>
        <v>0</v>
      </c>
      <c r="D154">
        <f t="shared" si="39"/>
        <v>0</v>
      </c>
      <c r="E154">
        <f t="shared" si="39"/>
        <v>0</v>
      </c>
      <c r="F154">
        <f t="shared" si="35"/>
        <v>0</v>
      </c>
      <c r="G154">
        <f t="shared" si="35"/>
        <v>0</v>
      </c>
      <c r="H154">
        <f t="shared" si="35"/>
        <v>0</v>
      </c>
      <c r="I154">
        <f t="shared" si="35"/>
        <v>0</v>
      </c>
      <c r="J154">
        <f t="shared" si="35"/>
        <v>0</v>
      </c>
      <c r="K154">
        <f t="shared" si="35"/>
        <v>0</v>
      </c>
      <c r="L154">
        <f t="shared" si="35"/>
        <v>0</v>
      </c>
      <c r="M154">
        <f t="shared" si="36"/>
        <v>0</v>
      </c>
      <c r="N154" t="e">
        <f t="shared" si="37"/>
        <v>#REF!</v>
      </c>
    </row>
    <row r="155" spans="1:14" x14ac:dyDescent="0.15">
      <c r="A155">
        <f t="shared" si="28"/>
        <v>1200000000000</v>
      </c>
      <c r="B155">
        <f t="shared" si="38"/>
        <v>0</v>
      </c>
      <c r="C155">
        <f t="shared" si="39"/>
        <v>0</v>
      </c>
      <c r="D155">
        <f t="shared" si="39"/>
        <v>0</v>
      </c>
      <c r="E155">
        <f t="shared" si="39"/>
        <v>0</v>
      </c>
      <c r="F155">
        <f t="shared" si="35"/>
        <v>0</v>
      </c>
      <c r="G155">
        <f t="shared" si="35"/>
        <v>0</v>
      </c>
      <c r="H155">
        <f t="shared" si="35"/>
        <v>0</v>
      </c>
      <c r="I155">
        <f t="shared" si="35"/>
        <v>0</v>
      </c>
      <c r="J155">
        <f t="shared" si="35"/>
        <v>0</v>
      </c>
      <c r="K155">
        <f t="shared" si="35"/>
        <v>0</v>
      </c>
      <c r="L155">
        <f t="shared" si="35"/>
        <v>0</v>
      </c>
      <c r="M155">
        <f t="shared" si="36"/>
        <v>0</v>
      </c>
      <c r="N155" t="e">
        <f t="shared" si="37"/>
        <v>#REF!</v>
      </c>
    </row>
    <row r="156" spans="1:14" x14ac:dyDescent="0.15">
      <c r="A156">
        <f t="shared" si="28"/>
        <v>1500000000000</v>
      </c>
      <c r="B156">
        <f t="shared" si="38"/>
        <v>0</v>
      </c>
      <c r="C156">
        <f t="shared" si="39"/>
        <v>0</v>
      </c>
      <c r="D156">
        <f t="shared" si="39"/>
        <v>0</v>
      </c>
      <c r="E156">
        <f t="shared" si="39"/>
        <v>0</v>
      </c>
      <c r="F156">
        <f t="shared" si="35"/>
        <v>0</v>
      </c>
      <c r="G156">
        <f t="shared" si="35"/>
        <v>0</v>
      </c>
      <c r="H156">
        <f t="shared" si="35"/>
        <v>0</v>
      </c>
      <c r="I156">
        <f t="shared" si="35"/>
        <v>0</v>
      </c>
      <c r="J156">
        <f t="shared" si="35"/>
        <v>0</v>
      </c>
      <c r="K156">
        <f t="shared" si="35"/>
        <v>0</v>
      </c>
      <c r="L156">
        <f t="shared" si="35"/>
        <v>0</v>
      </c>
      <c r="M156">
        <f t="shared" si="36"/>
        <v>0</v>
      </c>
      <c r="N156" t="e">
        <f t="shared" si="37"/>
        <v>#REF!</v>
      </c>
    </row>
    <row r="157" spans="1:14" x14ac:dyDescent="0.15">
      <c r="A157">
        <f t="shared" si="28"/>
        <v>1800000000000</v>
      </c>
      <c r="B157">
        <f t="shared" si="38"/>
        <v>0</v>
      </c>
      <c r="C157">
        <f t="shared" si="39"/>
        <v>0</v>
      </c>
      <c r="D157">
        <f t="shared" si="39"/>
        <v>0</v>
      </c>
      <c r="E157">
        <f t="shared" si="39"/>
        <v>0</v>
      </c>
      <c r="F157">
        <f t="shared" si="35"/>
        <v>0</v>
      </c>
      <c r="G157">
        <f t="shared" si="35"/>
        <v>0</v>
      </c>
      <c r="H157">
        <f t="shared" si="35"/>
        <v>0</v>
      </c>
      <c r="I157">
        <f t="shared" si="35"/>
        <v>0</v>
      </c>
      <c r="J157">
        <f t="shared" si="35"/>
        <v>0</v>
      </c>
      <c r="K157">
        <f t="shared" si="35"/>
        <v>0</v>
      </c>
      <c r="L157">
        <f t="shared" si="35"/>
        <v>0</v>
      </c>
      <c r="M157">
        <f t="shared" si="36"/>
        <v>0</v>
      </c>
      <c r="N157" t="e">
        <f t="shared" si="37"/>
        <v>#REF!</v>
      </c>
    </row>
    <row r="158" spans="1:14" x14ac:dyDescent="0.15">
      <c r="A158">
        <f t="shared" si="28"/>
        <v>2200000000000</v>
      </c>
      <c r="B158">
        <f t="shared" si="38"/>
        <v>0</v>
      </c>
      <c r="C158">
        <f t="shared" si="39"/>
        <v>0</v>
      </c>
      <c r="D158">
        <f t="shared" si="39"/>
        <v>0</v>
      </c>
      <c r="E158">
        <f t="shared" si="39"/>
        <v>0</v>
      </c>
      <c r="F158">
        <f t="shared" si="35"/>
        <v>0</v>
      </c>
      <c r="G158">
        <f t="shared" si="35"/>
        <v>0</v>
      </c>
      <c r="H158">
        <f t="shared" si="35"/>
        <v>0</v>
      </c>
      <c r="I158">
        <f t="shared" si="35"/>
        <v>0</v>
      </c>
      <c r="J158">
        <f t="shared" si="35"/>
        <v>0</v>
      </c>
      <c r="K158">
        <f t="shared" si="35"/>
        <v>0</v>
      </c>
      <c r="L158">
        <f t="shared" si="35"/>
        <v>0</v>
      </c>
      <c r="M158">
        <f t="shared" si="36"/>
        <v>0</v>
      </c>
      <c r="N158" t="e">
        <f t="shared" si="37"/>
        <v>#REF!</v>
      </c>
    </row>
    <row r="159" spans="1:14" x14ac:dyDescent="0.15">
      <c r="A159" s="63">
        <f t="shared" si="28"/>
        <v>2700000000000</v>
      </c>
      <c r="B159">
        <f t="shared" si="38"/>
        <v>2700000000000</v>
      </c>
      <c r="C159">
        <f t="shared" si="39"/>
        <v>2700000000000</v>
      </c>
      <c r="D159">
        <f t="shared" si="39"/>
        <v>2700000000000</v>
      </c>
      <c r="E159">
        <f t="shared" si="39"/>
        <v>2700000000000</v>
      </c>
      <c r="F159">
        <f t="shared" si="35"/>
        <v>2700000000000</v>
      </c>
      <c r="G159">
        <f t="shared" si="35"/>
        <v>2700000000000</v>
      </c>
      <c r="H159">
        <f t="shared" si="35"/>
        <v>2700000000000</v>
      </c>
      <c r="I159">
        <f t="shared" si="35"/>
        <v>2700000000000</v>
      </c>
      <c r="J159">
        <f t="shared" si="35"/>
        <v>2700000000000</v>
      </c>
      <c r="K159">
        <f t="shared" si="35"/>
        <v>0</v>
      </c>
      <c r="L159">
        <f t="shared" si="35"/>
        <v>2700000000000</v>
      </c>
      <c r="M159">
        <f t="shared" si="36"/>
        <v>2700000000000</v>
      </c>
      <c r="N159" t="e">
        <f t="shared" si="37"/>
        <v>#REF!</v>
      </c>
    </row>
  </sheetData>
  <phoneticPr fontId="5"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CC692"/>
  <sheetViews>
    <sheetView topLeftCell="A663" workbookViewId="0">
      <selection activeCell="B691" sqref="B691:B692"/>
    </sheetView>
  </sheetViews>
  <sheetFormatPr defaultRowHeight="12.75" x14ac:dyDescent="0.15"/>
  <cols>
    <col min="1" max="1" width="10.3828125" customWidth="1"/>
    <col min="2" max="2" width="9.9765625" bestFit="1" customWidth="1"/>
    <col min="4" max="4" width="12.40625" bestFit="1" customWidth="1"/>
    <col min="7" max="7" width="11.19140625" customWidth="1"/>
    <col min="8" max="8" width="13.078125" bestFit="1" customWidth="1"/>
    <col min="13" max="14" width="12.40625" bestFit="1" customWidth="1"/>
    <col min="16" max="16" width="12.40625" bestFit="1" customWidth="1"/>
    <col min="18" max="18" width="13.078125" bestFit="1" customWidth="1"/>
    <col min="20" max="20" width="13.078125" bestFit="1" customWidth="1"/>
    <col min="22" max="22" width="13.078125" bestFit="1" customWidth="1"/>
    <col min="24" max="24" width="13.88671875" bestFit="1" customWidth="1"/>
    <col min="25" max="25" width="12.5390625" bestFit="1" customWidth="1"/>
    <col min="26" max="26" width="12.40625" bestFit="1" customWidth="1"/>
    <col min="28" max="28" width="3.1015625" style="6" customWidth="1"/>
    <col min="29" max="32" width="8.62890625" customWidth="1"/>
    <col min="33" max="33" width="13.078125" bestFit="1" customWidth="1"/>
    <col min="34" max="34" width="9.57421875" bestFit="1" customWidth="1"/>
    <col min="35" max="35" width="9.9765625" bestFit="1" customWidth="1"/>
    <col min="36" max="39" width="8.8984375" customWidth="1"/>
    <col min="43" max="43" width="12.40625" bestFit="1" customWidth="1"/>
    <col min="45" max="46" width="12.40625" bestFit="1" customWidth="1"/>
    <col min="47" max="47" width="13.078125" bestFit="1" customWidth="1"/>
    <col min="49" max="49" width="13.078125" bestFit="1" customWidth="1"/>
    <col min="50" max="50" width="11.0546875" bestFit="1" customWidth="1"/>
    <col min="54" max="54" width="12.40625" customWidth="1"/>
    <col min="55" max="55" width="10.11328125" customWidth="1"/>
    <col min="58" max="58" width="11.0546875" customWidth="1"/>
    <col min="59" max="59" width="12.9453125" customWidth="1"/>
    <col min="60" max="60" width="16.85546875" customWidth="1"/>
    <col min="62" max="62" width="12.26953125" customWidth="1"/>
    <col min="66" max="66" width="13.078125" bestFit="1" customWidth="1"/>
    <col min="72" max="72" width="10.515625" customWidth="1"/>
  </cols>
  <sheetData>
    <row r="1" spans="1:81" ht="38.25" customHeight="1" x14ac:dyDescent="0.3">
      <c r="A1" s="623" t="s">
        <v>45</v>
      </c>
      <c r="B1" s="623"/>
      <c r="C1" s="623"/>
      <c r="D1" s="623"/>
      <c r="E1" s="623"/>
      <c r="F1" s="623"/>
      <c r="G1" s="623"/>
      <c r="AC1" s="8" t="s">
        <v>106</v>
      </c>
      <c r="AD1" s="5"/>
      <c r="AE1" s="5"/>
      <c r="AF1" s="5"/>
      <c r="AG1" s="5"/>
    </row>
    <row r="3" spans="1:81" x14ac:dyDescent="0.15">
      <c r="AT3">
        <f>AT9/10000000000000</f>
        <v>-3.0164568806039004E-5</v>
      </c>
      <c r="AU3">
        <f>AU9/10000000000000</f>
        <v>-1.9060411979968529E-2</v>
      </c>
    </row>
    <row r="4" spans="1:81" x14ac:dyDescent="0.15">
      <c r="AT4">
        <f>AT3*1000</f>
        <v>-3.0164568806039002E-2</v>
      </c>
      <c r="AU4">
        <f>AU3*1000</f>
        <v>-19.060411979968528</v>
      </c>
      <c r="BJ4" s="5" t="s">
        <v>111</v>
      </c>
      <c r="BK4" s="5"/>
    </row>
    <row r="5" spans="1:81" x14ac:dyDescent="0.15">
      <c r="AC5" t="s">
        <v>93</v>
      </c>
      <c r="AD5" t="s">
        <v>94</v>
      </c>
      <c r="AE5" t="s">
        <v>95</v>
      </c>
      <c r="AF5" t="s">
        <v>96</v>
      </c>
      <c r="AJ5" t="s">
        <v>93</v>
      </c>
      <c r="AK5" t="s">
        <v>94</v>
      </c>
      <c r="AL5" t="s">
        <v>95</v>
      </c>
      <c r="AM5" t="s">
        <v>96</v>
      </c>
      <c r="BJ5" t="s">
        <v>84</v>
      </c>
      <c r="BK5">
        <f>SUM(BJ9:BJ626)/1000</f>
        <v>27.5</v>
      </c>
    </row>
    <row r="6" spans="1:81" x14ac:dyDescent="0.15">
      <c r="C6" s="624" t="s">
        <v>46</v>
      </c>
      <c r="D6" s="624"/>
      <c r="E6" s="624"/>
      <c r="F6" s="624"/>
      <c r="G6" s="624"/>
      <c r="H6" s="624"/>
      <c r="J6" s="7" t="s">
        <v>76</v>
      </c>
      <c r="M6" s="7" t="s">
        <v>37</v>
      </c>
      <c r="N6" s="5"/>
      <c r="O6" s="5"/>
      <c r="P6" s="5"/>
      <c r="Q6" s="5"/>
      <c r="R6" s="5"/>
      <c r="S6" s="5"/>
      <c r="T6" s="5"/>
      <c r="U6" s="5"/>
      <c r="V6" s="5"/>
      <c r="X6" s="7" t="s">
        <v>105</v>
      </c>
      <c r="Y6" s="5"/>
      <c r="Z6" s="5"/>
      <c r="AC6" s="5" t="s">
        <v>86</v>
      </c>
      <c r="AD6" s="5"/>
      <c r="AE6" s="5"/>
      <c r="AF6" s="5"/>
      <c r="AG6" s="5"/>
      <c r="AH6" s="5"/>
      <c r="AJ6" s="5" t="s">
        <v>87</v>
      </c>
      <c r="AK6" s="5"/>
      <c r="AL6" s="5"/>
      <c r="AM6" s="5"/>
      <c r="AN6" s="5"/>
      <c r="AO6" s="5"/>
      <c r="AQ6" s="5" t="s">
        <v>107</v>
      </c>
      <c r="AR6" s="5"/>
      <c r="AT6" s="5" t="s">
        <v>108</v>
      </c>
      <c r="AU6" s="5"/>
      <c r="AV6" s="5"/>
      <c r="AW6" s="5"/>
      <c r="AX6" s="5"/>
      <c r="AY6" s="5"/>
      <c r="BA6" s="5" t="s">
        <v>109</v>
      </c>
      <c r="BB6" s="5"/>
      <c r="BC6" s="5"/>
      <c r="BF6" s="5" t="s">
        <v>334</v>
      </c>
      <c r="BG6" s="5"/>
      <c r="BH6" s="5"/>
      <c r="BJ6" t="s">
        <v>85</v>
      </c>
      <c r="BK6" s="4">
        <f>SUM(BK10:BK627)</f>
        <v>65.012289841619932</v>
      </c>
      <c r="BM6" s="5" t="s">
        <v>335</v>
      </c>
      <c r="BN6" s="5"/>
      <c r="BU6" s="2"/>
    </row>
    <row r="7" spans="1:81" x14ac:dyDescent="0.15">
      <c r="A7" s="2"/>
      <c r="B7" s="2"/>
      <c r="C7" s="2" t="s">
        <v>47</v>
      </c>
      <c r="D7" s="2"/>
      <c r="E7" s="2"/>
      <c r="F7" s="2" t="s">
        <v>48</v>
      </c>
      <c r="G7" s="2"/>
      <c r="H7" s="2"/>
      <c r="I7" s="2"/>
      <c r="J7" s="2"/>
      <c r="M7" s="621" t="s">
        <v>50</v>
      </c>
      <c r="N7" s="621"/>
      <c r="O7" s="621" t="s">
        <v>64</v>
      </c>
      <c r="P7" s="621"/>
      <c r="Q7" s="621" t="s">
        <v>65</v>
      </c>
      <c r="R7" s="621"/>
      <c r="S7" s="621" t="s">
        <v>66</v>
      </c>
      <c r="T7" s="621"/>
      <c r="U7" s="621" t="s">
        <v>67</v>
      </c>
      <c r="V7" s="621"/>
      <c r="AC7" t="s">
        <v>90</v>
      </c>
      <c r="AE7" t="s">
        <v>91</v>
      </c>
      <c r="AG7" t="s">
        <v>92</v>
      </c>
      <c r="AJ7" t="s">
        <v>90</v>
      </c>
      <c r="AL7" t="s">
        <v>91</v>
      </c>
      <c r="AN7" t="s">
        <v>92</v>
      </c>
      <c r="AQ7" t="s">
        <v>83</v>
      </c>
      <c r="AT7" t="s">
        <v>90</v>
      </c>
      <c r="AW7" t="s">
        <v>91</v>
      </c>
      <c r="BU7" s="2"/>
    </row>
    <row r="8" spans="1:81" x14ac:dyDescent="0.15">
      <c r="A8" s="2" t="s">
        <v>44</v>
      </c>
      <c r="B8" s="2"/>
      <c r="C8" s="2" t="s">
        <v>68</v>
      </c>
      <c r="D8" s="2" t="s">
        <v>69</v>
      </c>
      <c r="E8" s="2"/>
      <c r="F8" s="2" t="s">
        <v>68</v>
      </c>
      <c r="G8" s="2"/>
      <c r="H8" s="2" t="s">
        <v>69</v>
      </c>
      <c r="I8" s="2"/>
      <c r="J8" s="2" t="s">
        <v>68</v>
      </c>
      <c r="M8" s="2" t="s">
        <v>68</v>
      </c>
      <c r="N8" s="2" t="s">
        <v>69</v>
      </c>
      <c r="O8" s="2" t="s">
        <v>68</v>
      </c>
      <c r="P8" s="2" t="s">
        <v>69</v>
      </c>
      <c r="Q8" s="2" t="s">
        <v>68</v>
      </c>
      <c r="R8" s="2" t="s">
        <v>69</v>
      </c>
      <c r="S8" s="2" t="s">
        <v>68</v>
      </c>
      <c r="T8" s="2" t="s">
        <v>69</v>
      </c>
      <c r="U8" s="2" t="s">
        <v>68</v>
      </c>
      <c r="V8" s="2" t="s">
        <v>69</v>
      </c>
      <c r="X8" s="2" t="s">
        <v>71</v>
      </c>
      <c r="Y8" s="2" t="s">
        <v>72</v>
      </c>
      <c r="Z8" s="2" t="s">
        <v>73</v>
      </c>
      <c r="AC8" t="s">
        <v>88</v>
      </c>
      <c r="AD8" t="s">
        <v>89</v>
      </c>
      <c r="AE8" t="s">
        <v>88</v>
      </c>
      <c r="AF8" t="s">
        <v>89</v>
      </c>
      <c r="AG8" t="s">
        <v>97</v>
      </c>
      <c r="AH8" t="s">
        <v>98</v>
      </c>
      <c r="AJ8" t="s">
        <v>88</v>
      </c>
      <c r="AK8" t="s">
        <v>89</v>
      </c>
      <c r="AL8" t="s">
        <v>88</v>
      </c>
      <c r="AM8" t="s">
        <v>89</v>
      </c>
      <c r="AN8" t="s">
        <v>100</v>
      </c>
      <c r="AO8" t="s">
        <v>99</v>
      </c>
      <c r="AQ8" t="s">
        <v>88</v>
      </c>
      <c r="AR8" t="s">
        <v>89</v>
      </c>
      <c r="AT8" t="s">
        <v>88</v>
      </c>
      <c r="AU8" t="s">
        <v>89</v>
      </c>
      <c r="AV8" t="s">
        <v>69</v>
      </c>
      <c r="AW8" t="s">
        <v>88</v>
      </c>
      <c r="AX8" t="s">
        <v>89</v>
      </c>
      <c r="AY8" t="s">
        <v>69</v>
      </c>
      <c r="BA8" t="s">
        <v>101</v>
      </c>
      <c r="BB8" t="s">
        <v>103</v>
      </c>
      <c r="BC8" t="s">
        <v>102</v>
      </c>
      <c r="BF8" t="s">
        <v>71</v>
      </c>
      <c r="BG8" t="s">
        <v>72</v>
      </c>
      <c r="BH8" t="s">
        <v>104</v>
      </c>
      <c r="BM8" t="s">
        <v>71</v>
      </c>
      <c r="BN8" t="s">
        <v>336</v>
      </c>
      <c r="BQ8" s="2"/>
      <c r="BR8" s="2"/>
      <c r="BS8" s="2"/>
      <c r="BT8" t="s">
        <v>342</v>
      </c>
      <c r="BY8" s="2"/>
      <c r="BZ8" s="2"/>
      <c r="CA8" s="2"/>
      <c r="CB8" s="2"/>
    </row>
    <row r="9" spans="1:81" x14ac:dyDescent="0.15">
      <c r="A9">
        <v>1</v>
      </c>
      <c r="B9">
        <f>A9/1000</f>
        <v>1E-3</v>
      </c>
      <c r="C9">
        <f t="shared" ref="C9:C72" si="0">SQRT((A9/Fesr)^2+1)</f>
        <v>1.0000000000085982</v>
      </c>
      <c r="D9">
        <f t="shared" ref="D9:D72" si="1">ATAN(A9/Fesr)</f>
        <v>4.1469022979762294E-6</v>
      </c>
      <c r="F9">
        <f t="shared" ref="F9:F72" si="2">(Ro/(Ro+Rdcr))/SQRT((A9/(Q*Fo))^2+(1-(A9^2/Fo^2))^2)</f>
        <v>0.98394182860459745</v>
      </c>
      <c r="G9">
        <f t="shared" ref="G9:G72" si="3">-ATAN(A9*Fo/(Q*(Fo^2-A9^2)))</f>
        <v>-6.6984543084420514E-5</v>
      </c>
      <c r="H9">
        <f t="shared" ref="H9:H72" si="4">IF(G9&gt;0,G9-Pi,G9)</f>
        <v>-6.6984543084420514E-5</v>
      </c>
      <c r="J9">
        <f t="shared" ref="J9:J72" si="5">Vin/Vramp</f>
        <v>15</v>
      </c>
      <c r="M9">
        <f t="shared" ref="M9:M72" si="6">1/(2*Pi*_Rfb1*(Cc1ea_u+Cc2ea_u)*A9)</f>
        <v>953.02361241770279</v>
      </c>
      <c r="N9">
        <f t="shared" ref="N9:N72" si="7">-Pi/2</f>
        <v>-1.5707963250000001</v>
      </c>
      <c r="O9">
        <f t="shared" ref="O9:O72" si="8">SQRT(1+(A9/Fz1_u)^2)</f>
        <v>1.000000090336929</v>
      </c>
      <c r="P9">
        <f t="shared" ref="P9:P72" si="9">ATAN2(Fz1_u,A9)</f>
        <v>4.250574599460764E-4</v>
      </c>
      <c r="Q9">
        <f t="shared" ref="Q9:Q72" si="10">SQRT(1+(A9/Fz2_u)^2)</f>
        <v>1.0000000185047564</v>
      </c>
      <c r="R9">
        <f t="shared" ref="R9:R72" si="11">ATAN2(Fz2_u,A9)</f>
        <v>1.9237856514212106E-4</v>
      </c>
      <c r="S9">
        <f t="shared" ref="S9:S72" si="12">1/SQRT(1+(A9/Fp1_u)^2)</f>
        <v>0.99999999999246114</v>
      </c>
      <c r="T9">
        <f t="shared" ref="T9:T72" si="13">-ATAN2(Fp1_u,A9)</f>
        <v>-3.8830085153804842E-6</v>
      </c>
      <c r="U9">
        <f t="shared" ref="U9:U72" si="14">1/SQRT(1+(A9/Fp2_u)^2)</f>
        <v>0.99999999997084754</v>
      </c>
      <c r="V9">
        <f t="shared" ref="V9:V72" si="15">-ATAN2(Fp2_u,A9)</f>
        <v>-7.6357632132348349E-6</v>
      </c>
      <c r="X9">
        <f>20*LOG(C9*J9*O9*Q9*F9*M9*S9*U9)</f>
        <v>82.963287813417708</v>
      </c>
      <c r="Y9">
        <f t="shared" ref="Y9:Y72" si="16">(180/Pi)*(D9+H9+N9+P9+R9+T9+V9)</f>
        <v>-89.968883830224414</v>
      </c>
      <c r="Z9">
        <f>Y9+180</f>
        <v>90.031116169775586</v>
      </c>
      <c r="AC9">
        <v>1</v>
      </c>
      <c r="AD9">
        <f t="shared" ref="AD9:AD72" si="17">Rcea1_u*Cc1ea_u*A9*2*Pi</f>
        <v>4.2505748554500005E-4</v>
      </c>
      <c r="AE9">
        <f t="shared" ref="AE9:AE72" si="18">-Rcea1_u*Cc1ea_u*Cc2ea_u*(A9*2*Pi)^2</f>
        <v>-4.0060724172469605E-13</v>
      </c>
      <c r="AF9">
        <f t="shared" ref="AF9:AF72" si="19">(Cc2ea_u+Cc1ea_u)*A9*2*Pi</f>
        <v>5.2464597255000004E-8</v>
      </c>
      <c r="AG9">
        <f>AC9*AE9/(AE9^2+AF9^2)+AD9*AF9/(AE9^2+AF9^2)</f>
        <v>7956.2551538980451</v>
      </c>
      <c r="AH9">
        <f>AD9*AE9/(AE9^2+AF9^2)-AC9*AF9/(AE9^2+AF9^2)</f>
        <v>-19060472.309106138</v>
      </c>
      <c r="AI9">
        <f>SQRT(AG9^2+AH9^2)</f>
        <v>19060473.969662923</v>
      </c>
      <c r="AJ9">
        <f t="shared" ref="AJ9:AJ72" si="20">_Rfb1</f>
        <v>20000</v>
      </c>
      <c r="AK9">
        <f t="shared" ref="AK9:AK72" si="21">_Rfb1*Rcea2_u*Cc3ea_u*A9*2*Pi</f>
        <v>7.7660170308000001E-2</v>
      </c>
      <c r="AL9">
        <v>1</v>
      </c>
      <c r="AM9">
        <f t="shared" ref="AM9:AM72" si="22">(_Rfb1+Rcea2_u)*Cc3ea_u*A9*2*Pi</f>
        <v>1.9237856751539998E-4</v>
      </c>
      <c r="AN9">
        <f>AJ9*AL9/(AL9^2+AM9^2)+AK9*AM9/(AL9^2+AM9^2)</f>
        <v>19999.999274749916</v>
      </c>
      <c r="AO9">
        <f>AK9*AL9/(AL9^2+AM9^2)-AJ9*AM9/(AL9^2+AM9^2)</f>
        <v>-3.7699110404774272</v>
      </c>
      <c r="AP9" s="60">
        <f>SQRT(AN9^2+AO9^2)</f>
        <v>19999.99963005566</v>
      </c>
      <c r="AQ9">
        <f t="shared" ref="AQ9:AQ72" si="23">Eadcg/(1+(Eadcg*A9/GBP)^2)</f>
        <v>9999.9600001600011</v>
      </c>
      <c r="AR9">
        <f t="shared" ref="AR9:AR72" si="24">-(A9*Eadcg*Eadcg/GBP)/(1+(Eadcg*A9/GBP)^2)</f>
        <v>-19.99992000032</v>
      </c>
      <c r="AT9">
        <f>-AR9*AH9+AG9*AQ9</f>
        <v>-301645688.06039006</v>
      </c>
      <c r="AU9">
        <f>AQ9*AH9+AG9*AR9</f>
        <v>-190604119799.6853</v>
      </c>
      <c r="AV9">
        <f>ATAN2(AT9,AU9)</f>
        <v>-1.5723789024315034</v>
      </c>
      <c r="AW9">
        <f t="shared" ref="AW9:AW73" si="25">AG9-AH9*AO9/_Rfb2+AG9*AN9/_Rfb2+AN9-AO9*AR9+AQ9*AN9</f>
        <v>200049981.67046976</v>
      </c>
      <c r="AX9">
        <f t="shared" ref="AX9:AX73" si="26">AH9+AH9*AN9/_Rfb2+AG9*AO9/_Rfb2+AO9+AO9*AQ9+AN9*AR9</f>
        <v>-119565657.29176062</v>
      </c>
      <c r="AY9">
        <f>ATAN2(AW9,AX9)</f>
        <v>-0.53871107713231714</v>
      </c>
      <c r="BA9" s="47">
        <f t="shared" ref="BA9:BA72" si="27">SQRT(AT9^2+AU9^2)/SQRT(AW9^2+AX9^2)</f>
        <v>817.8415503432409</v>
      </c>
      <c r="BB9" s="60">
        <f>20*LOG(BA9)</f>
        <v>58.253383421172259</v>
      </c>
      <c r="BC9">
        <f>AV9-AY9</f>
        <v>-1.0336678252991862</v>
      </c>
      <c r="BD9">
        <f t="shared" ref="BD9:BD72" si="28">BC9*180/Pi-180</f>
        <v>-239.22480387578366</v>
      </c>
      <c r="BF9">
        <f t="shared" ref="BF9:BF72" si="29">20*LOG(BA9*J9*F9*C9)</f>
        <v>81.634597069710708</v>
      </c>
      <c r="BG9">
        <f t="shared" ref="BG9:BG72" si="30">(180/Pi)*(D9+H9+BC9)</f>
        <v>-59.228404207399414</v>
      </c>
      <c r="BH9">
        <f>IF(BG9&gt;180,BG9-180,BG9+180)</f>
        <v>120.77159579260058</v>
      </c>
      <c r="BI9">
        <f>IF(BH9&gt;180,BH9-360,BH9)</f>
        <v>120.77159579260058</v>
      </c>
      <c r="BJ9">
        <f t="shared" ref="BJ9:BJ72" si="31">SUM((BF10&lt;0)*(BF9&gt;0))*A9</f>
        <v>0</v>
      </c>
      <c r="BK9">
        <f>IF(BJ9&gt;0,BI9,0)</f>
        <v>0</v>
      </c>
      <c r="BM9">
        <f>20*LOG(J9*F9*C9)</f>
        <v>23.381213648538463</v>
      </c>
      <c r="BN9">
        <f t="shared" ref="BN9:BN72" si="32">(H9+D9)*180/Pi</f>
        <v>-3.6003316157363595E-3</v>
      </c>
      <c r="BQ9" s="66">
        <f>20*LOG(BA9*7)</f>
        <v>75.155344221457398</v>
      </c>
      <c r="BR9" s="66"/>
      <c r="BS9" s="66"/>
      <c r="BT9" s="66" t="s">
        <v>44</v>
      </c>
      <c r="BU9" s="66" t="s">
        <v>68</v>
      </c>
      <c r="BV9" s="66" t="s">
        <v>69</v>
      </c>
      <c r="BW9" s="66"/>
      <c r="BY9" s="66"/>
      <c r="BZ9" s="66"/>
      <c r="CA9" s="66"/>
      <c r="CC9" s="66"/>
    </row>
    <row r="10" spans="1:81" x14ac:dyDescent="0.15">
      <c r="A10">
        <v>2</v>
      </c>
      <c r="B10">
        <f t="shared" ref="B10:B73" si="33">A10/1000</f>
        <v>2E-3</v>
      </c>
      <c r="C10">
        <f t="shared" si="0"/>
        <v>1.0000000000343936</v>
      </c>
      <c r="D10">
        <f t="shared" si="1"/>
        <v>8.2938045958098321E-6</v>
      </c>
      <c r="F10">
        <f t="shared" si="2"/>
        <v>0.98394194744867836</v>
      </c>
      <c r="G10">
        <f t="shared" si="3"/>
        <v>-1.3396910265067068E-4</v>
      </c>
      <c r="H10">
        <f t="shared" si="4"/>
        <v>-1.3396910265067068E-4</v>
      </c>
      <c r="J10">
        <f t="shared" si="5"/>
        <v>15</v>
      </c>
      <c r="M10">
        <f t="shared" si="6"/>
        <v>476.5118062088514</v>
      </c>
      <c r="N10">
        <f t="shared" si="7"/>
        <v>-1.5707963250000001</v>
      </c>
      <c r="O10">
        <f t="shared" si="8"/>
        <v>1.0000003613476667</v>
      </c>
      <c r="P10">
        <f t="shared" si="9"/>
        <v>8.5011476629867774E-4</v>
      </c>
      <c r="Q10">
        <f t="shared" si="10"/>
        <v>1.0000000740190238</v>
      </c>
      <c r="R10">
        <f t="shared" si="11"/>
        <v>3.8475711604456941E-4</v>
      </c>
      <c r="S10">
        <f t="shared" si="12"/>
        <v>0.99999999996984457</v>
      </c>
      <c r="T10">
        <f t="shared" si="13"/>
        <v>-7.7660170306438746E-6</v>
      </c>
      <c r="U10">
        <f t="shared" si="14"/>
        <v>0.99999999988339039</v>
      </c>
      <c r="V10">
        <f t="shared" si="15"/>
        <v>-1.5271526425579265E-5</v>
      </c>
      <c r="X10">
        <f t="shared" ref="X10:X73" si="34">20*LOG(C10*J10*O10*Q10*F10*M10*S10*U10)</f>
        <v>76.942691784678999</v>
      </c>
      <c r="Y10">
        <f t="shared" si="16"/>
        <v>-89.93776767100924</v>
      </c>
      <c r="Z10">
        <f t="shared" ref="Z10:Z73" si="35">Y10+180</f>
        <v>90.06223232899076</v>
      </c>
      <c r="AC10">
        <v>1</v>
      </c>
      <c r="AD10">
        <f t="shared" si="17"/>
        <v>8.5011497109000009E-4</v>
      </c>
      <c r="AE10">
        <f t="shared" si="18"/>
        <v>-1.6024289668987842E-12</v>
      </c>
      <c r="AF10">
        <f t="shared" si="19"/>
        <v>1.0492919451000001E-7</v>
      </c>
      <c r="AG10">
        <f t="shared" ref="AG10:AG73" si="36">AC10*AE10/(AE10^2+AF10^2)+AD10*AF10/(AE10^2+AF10^2)</f>
        <v>7956.2551525063809</v>
      </c>
      <c r="AH10">
        <f t="shared" ref="AH10:AH73" si="37">AD10*AE10/(AE10^2+AF10^2)-AC10*AF10/(AE10^2+AF10^2)</f>
        <v>-9530236.245681189</v>
      </c>
      <c r="AJ10">
        <f t="shared" si="20"/>
        <v>20000</v>
      </c>
      <c r="AK10">
        <f t="shared" si="21"/>
        <v>0.155320340616</v>
      </c>
      <c r="AL10">
        <v>1</v>
      </c>
      <c r="AM10">
        <f t="shared" si="22"/>
        <v>3.8475713503079997E-4</v>
      </c>
      <c r="AN10">
        <f t="shared" ref="AN10:AN73" si="38">AJ10*AL10/(AL10^2+AM10^2)+AK10*AM10/(AL10^2+AM10^2)</f>
        <v>19999.997098999982</v>
      </c>
      <c r="AO10">
        <f t="shared" ref="AO10:AO73" si="39">AK10*AL10/(AL10^2+AM10^2)-AJ10*AM10/(AL10^2+AM10^2)</f>
        <v>-7.5398212438195431</v>
      </c>
      <c r="AQ10">
        <f t="shared" si="23"/>
        <v>9999.8400025599585</v>
      </c>
      <c r="AR10">
        <f t="shared" si="24"/>
        <v>-39.999360010239833</v>
      </c>
      <c r="AT10">
        <f t="shared" ref="AT10:AT21" si="40">-AR10*AH10+AG10*AQ10</f>
        <v>-301642072.02903128</v>
      </c>
      <c r="AU10">
        <f t="shared" ref="AU10:AU21" si="41">AQ10*AH10+AG10*AR10</f>
        <v>-95301155888.523773</v>
      </c>
      <c r="AV10">
        <f t="shared" ref="AV10:AV73" si="42">ATAN2(AT10,AU10)</f>
        <v>-1.5739614622218949</v>
      </c>
      <c r="AW10">
        <f t="shared" si="25"/>
        <v>200047333.76648492</v>
      </c>
      <c r="AX10">
        <f t="shared" si="26"/>
        <v>-60439376.655232027</v>
      </c>
      <c r="AY10">
        <f>ATAN2(AW10,AX10)</f>
        <v>-0.29340554161239135</v>
      </c>
      <c r="BA10">
        <f t="shared" si="27"/>
        <v>456.03642121733554</v>
      </c>
      <c r="BB10">
        <f t="shared" ref="BB10:BB73" si="43">20*LOG(BA10)</f>
        <v>53.179990577063478</v>
      </c>
      <c r="BC10">
        <f t="shared" ref="BC10:BC73" si="44">AV10-AY10</f>
        <v>-1.2805559206095036</v>
      </c>
      <c r="BD10">
        <f t="shared" si="28"/>
        <v>-253.37044976525223</v>
      </c>
      <c r="BF10">
        <f t="shared" si="29"/>
        <v>76.56120527493934</v>
      </c>
      <c r="BG10">
        <f t="shared" si="30"/>
        <v>-73.377650429428058</v>
      </c>
      <c r="BH10">
        <f t="shared" ref="BH10:BH73" si="45">IF(BG10&gt;180,BG10-180,BG10+180)</f>
        <v>106.62234957057194</v>
      </c>
      <c r="BI10">
        <f t="shared" ref="BI10:BI73" si="46">IF(BH10&gt;180,BH10-360,BH10)</f>
        <v>106.62234957057194</v>
      </c>
      <c r="BJ10">
        <f t="shared" si="31"/>
        <v>0</v>
      </c>
      <c r="BK10">
        <f t="shared" ref="BK10:BK73" si="47">IF(BJ10&gt;0,BI10,0)</f>
        <v>0</v>
      </c>
      <c r="BM10">
        <f t="shared" ref="BM10:BM73" si="48">20*LOG(J10*F10*C10)</f>
        <v>23.381214697875869</v>
      </c>
      <c r="BN10">
        <f t="shared" si="32"/>
        <v>-7.2006641758201699E-3</v>
      </c>
      <c r="BQ10" s="66">
        <f t="shared" ref="BQ10:BQ73" si="49">20*LOG(BA10*7)</f>
        <v>70.081951377348602</v>
      </c>
      <c r="BR10" s="67"/>
      <c r="BS10" s="67"/>
      <c r="BT10" s="67">
        <v>100</v>
      </c>
      <c r="BU10" s="67">
        <v>35.359299999999998</v>
      </c>
      <c r="BV10" s="67">
        <v>-267.66769999999997</v>
      </c>
      <c r="BW10" s="75"/>
      <c r="BY10" s="67"/>
      <c r="BZ10" s="67"/>
      <c r="CA10" s="67"/>
      <c r="CC10" s="67"/>
    </row>
    <row r="11" spans="1:81" x14ac:dyDescent="0.15">
      <c r="A11">
        <v>3</v>
      </c>
      <c r="B11">
        <f t="shared" si="33"/>
        <v>3.0000000000000001E-3</v>
      </c>
      <c r="C11">
        <f t="shared" si="0"/>
        <v>1.0000000000773854</v>
      </c>
      <c r="D11">
        <f t="shared" si="1"/>
        <v>1.2440706893358181E-5</v>
      </c>
      <c r="F11">
        <f t="shared" si="2"/>
        <v>0.98394214552220693</v>
      </c>
      <c r="G11">
        <f t="shared" si="3"/>
        <v>-2.009536951805931E-4</v>
      </c>
      <c r="H11">
        <f t="shared" si="4"/>
        <v>-2.009536951805931E-4</v>
      </c>
      <c r="J11">
        <f t="shared" si="5"/>
        <v>15</v>
      </c>
      <c r="M11">
        <f t="shared" si="6"/>
        <v>317.67453747256758</v>
      </c>
      <c r="N11">
        <f t="shared" si="7"/>
        <v>-1.5707963250000001</v>
      </c>
      <c r="O11">
        <f t="shared" si="8"/>
        <v>1.0000008130320666</v>
      </c>
      <c r="P11">
        <f t="shared" si="9"/>
        <v>1.2751717654646618E-3</v>
      </c>
      <c r="Q11">
        <f t="shared" si="10"/>
        <v>1.0000001665427958</v>
      </c>
      <c r="R11">
        <f t="shared" si="11"/>
        <v>5.7713563846767868E-4</v>
      </c>
      <c r="S11">
        <f t="shared" si="12"/>
        <v>0.99999999993215005</v>
      </c>
      <c r="T11">
        <f t="shared" si="13"/>
        <v>-1.1649025545673075E-5</v>
      </c>
      <c r="U11">
        <f t="shared" si="14"/>
        <v>0.9999999997376281</v>
      </c>
      <c r="V11">
        <f t="shared" si="15"/>
        <v>-2.2907289636142885E-5</v>
      </c>
      <c r="X11">
        <f t="shared" si="34"/>
        <v>73.420873077797538</v>
      </c>
      <c r="Y11">
        <f t="shared" si="16"/>
        <v>-89.906651532914879</v>
      </c>
      <c r="Z11">
        <f t="shared" si="35"/>
        <v>90.093348467085121</v>
      </c>
      <c r="AC11">
        <v>1</v>
      </c>
      <c r="AD11">
        <f t="shared" si="17"/>
        <v>1.2751724566350002E-3</v>
      </c>
      <c r="AE11">
        <f t="shared" si="18"/>
        <v>-3.6054651755222644E-12</v>
      </c>
      <c r="AF11">
        <f t="shared" si="19"/>
        <v>1.5739379176500003E-7</v>
      </c>
      <c r="AG11">
        <f t="shared" si="36"/>
        <v>7956.2551501869384</v>
      </c>
      <c r="AH11">
        <f t="shared" si="37"/>
        <v>-6353490.9317075927</v>
      </c>
      <c r="AJ11">
        <f t="shared" si="20"/>
        <v>20000</v>
      </c>
      <c r="AK11">
        <f t="shared" si="21"/>
        <v>0.23298051092400002</v>
      </c>
      <c r="AL11">
        <v>1</v>
      </c>
      <c r="AM11">
        <f t="shared" si="22"/>
        <v>5.7713570254620003E-4</v>
      </c>
      <c r="AN11">
        <f t="shared" si="38"/>
        <v>19999.993472751165</v>
      </c>
      <c r="AO11">
        <f t="shared" si="39"/>
        <v>-11.309729772891657</v>
      </c>
      <c r="AQ11">
        <f t="shared" si="23"/>
        <v>9999.6400129595349</v>
      </c>
      <c r="AR11">
        <f t="shared" si="24"/>
        <v>-59.997840077757203</v>
      </c>
      <c r="AT11">
        <f t="shared" si="40"/>
        <v>-301636045.50294811</v>
      </c>
      <c r="AU11">
        <f t="shared" si="41"/>
        <v>-63533099500.802917</v>
      </c>
      <c r="AV11">
        <f t="shared" si="42"/>
        <v>-1.5755439903206232</v>
      </c>
      <c r="AW11">
        <f t="shared" si="25"/>
        <v>200042920.73451555</v>
      </c>
      <c r="AX11">
        <f t="shared" si="26"/>
        <v>-41022392.003682658</v>
      </c>
      <c r="AY11">
        <f t="shared" ref="AY11:AY74" si="50">ATAN2(AW11,AX11)</f>
        <v>-0.20226380719391165</v>
      </c>
      <c r="BA11">
        <f t="shared" si="27"/>
        <v>311.12640795506474</v>
      </c>
      <c r="BB11">
        <f t="shared" si="43"/>
        <v>49.858737499089557</v>
      </c>
      <c r="BC11">
        <f t="shared" si="44"/>
        <v>-1.3732801831267116</v>
      </c>
      <c r="BD11">
        <f t="shared" si="28"/>
        <v>-258.68315867202199</v>
      </c>
      <c r="BF11">
        <f t="shared" si="29"/>
        <v>73.239953945861359</v>
      </c>
      <c r="BG11">
        <f t="shared" si="30"/>
        <v>-78.693959670646592</v>
      </c>
      <c r="BH11">
        <f t="shared" si="45"/>
        <v>101.30604032935341</v>
      </c>
      <c r="BI11">
        <f t="shared" si="46"/>
        <v>101.30604032935341</v>
      </c>
      <c r="BJ11">
        <f t="shared" si="31"/>
        <v>0</v>
      </c>
      <c r="BK11">
        <f t="shared" si="47"/>
        <v>0</v>
      </c>
      <c r="BM11">
        <f t="shared" si="48"/>
        <v>23.381216446771795</v>
      </c>
      <c r="BN11">
        <f t="shared" si="32"/>
        <v>-1.0800998624599623E-2</v>
      </c>
      <c r="BQ11" s="66">
        <f t="shared" si="49"/>
        <v>66.760698299374695</v>
      </c>
      <c r="BR11" s="68"/>
      <c r="BS11" s="68"/>
      <c r="BT11" s="68">
        <v>102.32899999999999</v>
      </c>
      <c r="BU11" s="68">
        <v>34.936799999999998</v>
      </c>
      <c r="BV11" s="68">
        <v>-265.91489999999999</v>
      </c>
      <c r="BW11" s="75"/>
      <c r="BY11" s="68"/>
      <c r="BZ11" s="68"/>
      <c r="CA11" s="68"/>
      <c r="CC11" s="68"/>
    </row>
    <row r="12" spans="1:81" x14ac:dyDescent="0.15">
      <c r="A12">
        <v>4</v>
      </c>
      <c r="B12">
        <f t="shared" si="33"/>
        <v>4.0000000000000001E-3</v>
      </c>
      <c r="C12">
        <f t="shared" si="0"/>
        <v>1.0000000001375744</v>
      </c>
      <c r="D12">
        <f t="shared" si="1"/>
        <v>1.658760919047865E-5</v>
      </c>
      <c r="F12">
        <f t="shared" si="2"/>
        <v>0.98394242282527311</v>
      </c>
      <c r="G12">
        <f t="shared" si="3"/>
        <v>-2.679383371560565E-4</v>
      </c>
      <c r="H12">
        <f t="shared" si="4"/>
        <v>-2.679383371560565E-4</v>
      </c>
      <c r="J12">
        <f t="shared" si="5"/>
        <v>15</v>
      </c>
      <c r="M12">
        <f t="shared" si="6"/>
        <v>238.2559031044257</v>
      </c>
      <c r="N12">
        <f t="shared" si="7"/>
        <v>-1.5707963250000001</v>
      </c>
      <c r="O12">
        <f t="shared" si="8"/>
        <v>1.0000014453898836</v>
      </c>
      <c r="P12">
        <f t="shared" si="9"/>
        <v>1.7002283038515525E-3</v>
      </c>
      <c r="Q12">
        <f t="shared" si="10"/>
        <v>1.0000002960760621</v>
      </c>
      <c r="R12">
        <f t="shared" si="11"/>
        <v>7.6951411817179505E-4</v>
      </c>
      <c r="S12">
        <f t="shared" si="12"/>
        <v>0.99999999987937804</v>
      </c>
      <c r="T12">
        <f t="shared" si="13"/>
        <v>-1.5532034060350995E-5</v>
      </c>
      <c r="U12">
        <f t="shared" si="14"/>
        <v>0.99999999953356111</v>
      </c>
      <c r="V12">
        <f t="shared" si="15"/>
        <v>-3.0543052844035295E-5</v>
      </c>
      <c r="X12">
        <f t="shared" si="34"/>
        <v>70.92210740955089</v>
      </c>
      <c r="Y12">
        <f t="shared" si="16"/>
        <v>-89.875535426501699</v>
      </c>
      <c r="Z12">
        <f t="shared" si="35"/>
        <v>90.124464573498301</v>
      </c>
      <c r="AC12">
        <v>1</v>
      </c>
      <c r="AD12">
        <f t="shared" si="17"/>
        <v>1.7002299421800002E-3</v>
      </c>
      <c r="AE12">
        <f t="shared" si="18"/>
        <v>-6.4097158675951368E-12</v>
      </c>
      <c r="AF12">
        <f t="shared" si="19"/>
        <v>2.0985838902000002E-7</v>
      </c>
      <c r="AG12">
        <f t="shared" si="36"/>
        <v>7956.2551469397185</v>
      </c>
      <c r="AH12">
        <f t="shared" si="37"/>
        <v>-4765118.3050968358</v>
      </c>
      <c r="AJ12">
        <f t="shared" si="20"/>
        <v>20000</v>
      </c>
      <c r="AK12">
        <f t="shared" si="21"/>
        <v>0.310640681232</v>
      </c>
      <c r="AL12">
        <v>1</v>
      </c>
      <c r="AM12">
        <f t="shared" si="22"/>
        <v>7.6951427006159993E-4</v>
      </c>
      <c r="AN12">
        <f t="shared" si="38"/>
        <v>19999.988396005072</v>
      </c>
      <c r="AO12">
        <f t="shared" si="39"/>
        <v>-15.079635790560312</v>
      </c>
      <c r="AQ12">
        <f t="shared" si="23"/>
        <v>9999.3600409573774</v>
      </c>
      <c r="AR12">
        <f t="shared" si="24"/>
        <v>-79.994880327659018</v>
      </c>
      <c r="AT12">
        <f t="shared" si="40"/>
        <v>-301627608.77138829</v>
      </c>
      <c r="AU12">
        <f t="shared" si="41"/>
        <v>-47648770030.098183</v>
      </c>
      <c r="AV12">
        <f t="shared" si="42"/>
        <v>-1.5771264708837756</v>
      </c>
      <c r="AW12">
        <f t="shared" si="25"/>
        <v>200036742.78655145</v>
      </c>
      <c r="AX12">
        <f t="shared" si="26"/>
        <v>-31532704.8516334</v>
      </c>
      <c r="AY12">
        <f t="shared" si="50"/>
        <v>-0.15634802307729867</v>
      </c>
      <c r="BA12">
        <f t="shared" si="27"/>
        <v>235.29936418120988</v>
      </c>
      <c r="BB12">
        <f t="shared" si="43"/>
        <v>47.432415072805156</v>
      </c>
      <c r="BC12">
        <f t="shared" si="44"/>
        <v>-1.4207784478064769</v>
      </c>
      <c r="BD12">
        <f t="shared" si="28"/>
        <v>-261.40460877547753</v>
      </c>
      <c r="BF12">
        <f t="shared" si="29"/>
        <v>70.81363396803178</v>
      </c>
      <c r="BG12">
        <f t="shared" si="30"/>
        <v>-81.419010111383983</v>
      </c>
      <c r="BH12">
        <f t="shared" si="45"/>
        <v>98.580989888616017</v>
      </c>
      <c r="BI12">
        <f t="shared" si="46"/>
        <v>98.580989888616017</v>
      </c>
      <c r="BJ12">
        <f t="shared" si="31"/>
        <v>0</v>
      </c>
      <c r="BK12">
        <f t="shared" si="47"/>
        <v>0</v>
      </c>
      <c r="BM12">
        <f t="shared" si="48"/>
        <v>23.381218895226613</v>
      </c>
      <c r="BN12">
        <f t="shared" si="32"/>
        <v>-1.4401335906424409E-2</v>
      </c>
      <c r="BQ12" s="66">
        <f t="shared" si="49"/>
        <v>64.334375873090295</v>
      </c>
      <c r="BR12" s="67"/>
      <c r="BS12" s="67"/>
      <c r="BT12" s="67">
        <v>104.71299999999999</v>
      </c>
      <c r="BU12" s="67">
        <v>34.190800000000003</v>
      </c>
      <c r="BV12" s="67">
        <v>-264.93219999999997</v>
      </c>
      <c r="BW12" s="75"/>
      <c r="BY12" s="67"/>
      <c r="BZ12" s="67"/>
      <c r="CA12" s="67"/>
      <c r="CC12" s="67"/>
    </row>
    <row r="13" spans="1:81" x14ac:dyDescent="0.15">
      <c r="A13">
        <v>5</v>
      </c>
      <c r="B13">
        <f t="shared" si="33"/>
        <v>5.0000000000000001E-3</v>
      </c>
      <c r="C13">
        <f t="shared" si="0"/>
        <v>1.0000000002149598</v>
      </c>
      <c r="D13">
        <f t="shared" si="1"/>
        <v>2.0734511487028606E-5</v>
      </c>
      <c r="F13">
        <f t="shared" si="2"/>
        <v>0.98394277935800312</v>
      </c>
      <c r="G13">
        <f t="shared" si="3"/>
        <v>-3.3492304505896865E-4</v>
      </c>
      <c r="H13">
        <f t="shared" si="4"/>
        <v>-3.3492304505896865E-4</v>
      </c>
      <c r="J13">
        <f t="shared" si="5"/>
        <v>15</v>
      </c>
      <c r="M13">
        <f t="shared" si="6"/>
        <v>190.60472248354057</v>
      </c>
      <c r="N13">
        <f t="shared" si="7"/>
        <v>-1.5707963250000001</v>
      </c>
      <c r="O13">
        <f t="shared" si="8"/>
        <v>1.0000022584207751</v>
      </c>
      <c r="P13">
        <f t="shared" si="9"/>
        <v>2.125284227867872E-3</v>
      </c>
      <c r="Q13">
        <f t="shared" si="10"/>
        <v>1.0000004626188086</v>
      </c>
      <c r="R13">
        <f t="shared" si="11"/>
        <v>9.6189254091728394E-4</v>
      </c>
      <c r="S13">
        <f t="shared" si="12"/>
        <v>0.9999999998115281</v>
      </c>
      <c r="T13">
        <f t="shared" si="13"/>
        <v>-1.9415042574560539E-5</v>
      </c>
      <c r="U13">
        <f t="shared" si="14"/>
        <v>0.99999999927118899</v>
      </c>
      <c r="V13">
        <f t="shared" si="15"/>
        <v>-3.8178816048366081E-5</v>
      </c>
      <c r="X13">
        <f t="shared" si="34"/>
        <v>68.983918802990601</v>
      </c>
      <c r="Y13">
        <f t="shared" si="16"/>
        <v>-89.844419362330044</v>
      </c>
      <c r="Z13">
        <f t="shared" si="35"/>
        <v>90.155580637669956</v>
      </c>
      <c r="AC13">
        <v>1</v>
      </c>
      <c r="AD13">
        <f t="shared" si="17"/>
        <v>2.1252874277250004E-3</v>
      </c>
      <c r="AE13">
        <f t="shared" si="18"/>
        <v>-1.00151810431174E-11</v>
      </c>
      <c r="AF13">
        <f t="shared" si="19"/>
        <v>2.6232298627500001E-7</v>
      </c>
      <c r="AG13">
        <f t="shared" si="36"/>
        <v>7956.2551427647231</v>
      </c>
      <c r="AH13">
        <f t="shared" si="37"/>
        <v>-3812094.7534312136</v>
      </c>
      <c r="AJ13">
        <f t="shared" si="20"/>
        <v>20000</v>
      </c>
      <c r="AK13">
        <f t="shared" si="21"/>
        <v>0.38830085153999999</v>
      </c>
      <c r="AL13">
        <v>1</v>
      </c>
      <c r="AM13">
        <f t="shared" si="22"/>
        <v>9.6189283757699994E-4</v>
      </c>
      <c r="AN13">
        <f t="shared" si="38"/>
        <v>19999.981868763964</v>
      </c>
      <c r="AO13">
        <f t="shared" si="39"/>
        <v>-18.849538459693914</v>
      </c>
      <c r="AQ13">
        <f t="shared" si="23"/>
        <v>9999.0000999900003</v>
      </c>
      <c r="AR13">
        <f t="shared" si="24"/>
        <v>-99.990000999900005</v>
      </c>
      <c r="AT13">
        <f t="shared" si="40"/>
        <v>-301616762.23925018</v>
      </c>
      <c r="AU13">
        <f t="shared" si="41"/>
        <v>-38117931366.689735</v>
      </c>
      <c r="AV13">
        <f t="shared" si="42"/>
        <v>-1.5787088880697422</v>
      </c>
      <c r="AW13">
        <f t="shared" si="25"/>
        <v>200028800.21934325</v>
      </c>
      <c r="AX13">
        <f t="shared" si="26"/>
        <v>-26013907.026591212</v>
      </c>
      <c r="AY13">
        <f t="shared" si="50"/>
        <v>-0.12932496701792828</v>
      </c>
      <c r="BA13">
        <f t="shared" si="27"/>
        <v>188.97677973059604</v>
      </c>
      <c r="BB13">
        <f t="shared" si="43"/>
        <v>45.528168881940985</v>
      </c>
      <c r="BC13">
        <f t="shared" si="44"/>
        <v>-1.449383921051814</v>
      </c>
      <c r="BD13">
        <f t="shared" si="28"/>
        <v>-263.0435816652826</v>
      </c>
      <c r="BF13">
        <f t="shared" si="29"/>
        <v>68.909390925181839</v>
      </c>
      <c r="BG13">
        <f t="shared" si="30"/>
        <v>-83.061583342248227</v>
      </c>
      <c r="BH13">
        <f t="shared" si="45"/>
        <v>96.938416657751773</v>
      </c>
      <c r="BI13">
        <f t="shared" si="46"/>
        <v>96.938416657751773</v>
      </c>
      <c r="BJ13">
        <f t="shared" si="31"/>
        <v>0</v>
      </c>
      <c r="BK13">
        <f t="shared" si="47"/>
        <v>0</v>
      </c>
      <c r="BM13">
        <f t="shared" si="48"/>
        <v>23.38122204324085</v>
      </c>
      <c r="BN13">
        <f t="shared" si="32"/>
        <v>-1.8001676965646453E-2</v>
      </c>
      <c r="BQ13" s="66">
        <f t="shared" si="49"/>
        <v>62.430129682226124</v>
      </c>
      <c r="BR13" s="68"/>
      <c r="BS13" s="68"/>
      <c r="BT13" s="68">
        <v>107.152</v>
      </c>
      <c r="BU13" s="68">
        <v>34.477699999999999</v>
      </c>
      <c r="BV13" s="68">
        <v>-262.3057</v>
      </c>
      <c r="BW13" s="75"/>
      <c r="BY13" s="68"/>
      <c r="BZ13" s="68"/>
      <c r="CA13" s="68"/>
      <c r="CC13" s="68"/>
    </row>
    <row r="14" spans="1:81" x14ac:dyDescent="0.15">
      <c r="A14">
        <v>6</v>
      </c>
      <c r="B14">
        <f t="shared" si="33"/>
        <v>6.0000000000000001E-3</v>
      </c>
      <c r="C14">
        <f t="shared" si="0"/>
        <v>1.0000000003095424</v>
      </c>
      <c r="D14">
        <f t="shared" si="1"/>
        <v>2.4881413782865435E-5</v>
      </c>
      <c r="F14">
        <f t="shared" si="2"/>
        <v>0.9839432151205596</v>
      </c>
      <c r="G14">
        <f t="shared" si="3"/>
        <v>-4.0190783537128946E-4</v>
      </c>
      <c r="H14">
        <f t="shared" si="4"/>
        <v>-4.0190783537128946E-4</v>
      </c>
      <c r="J14">
        <f t="shared" si="5"/>
        <v>15</v>
      </c>
      <c r="M14">
        <f t="shared" si="6"/>
        <v>158.83726873628379</v>
      </c>
      <c r="N14">
        <f t="shared" si="7"/>
        <v>-1.5707963250000001</v>
      </c>
      <c r="O14">
        <f t="shared" si="8"/>
        <v>1.0000032521243001</v>
      </c>
      <c r="P14">
        <f t="shared" si="9"/>
        <v>2.5503393839234772E-3</v>
      </c>
      <c r="Q14">
        <f t="shared" si="10"/>
        <v>1.0000006661710164</v>
      </c>
      <c r="R14">
        <f t="shared" si="11"/>
        <v>1.1542708924645359E-3</v>
      </c>
      <c r="S14">
        <f t="shared" si="12"/>
        <v>0.99999999972860043</v>
      </c>
      <c r="T14">
        <f t="shared" si="13"/>
        <v>-2.3298051088184609E-5</v>
      </c>
      <c r="U14">
        <f t="shared" si="14"/>
        <v>0.99999999895051217</v>
      </c>
      <c r="V14">
        <f t="shared" si="15"/>
        <v>-4.5814579248244855E-5</v>
      </c>
      <c r="X14">
        <f t="shared" si="34"/>
        <v>67.40030812531316</v>
      </c>
      <c r="Y14">
        <f t="shared" si="16"/>
        <v>-89.813303350960098</v>
      </c>
      <c r="Z14">
        <f t="shared" si="35"/>
        <v>90.186696649039902</v>
      </c>
      <c r="AC14">
        <v>1</v>
      </c>
      <c r="AD14">
        <f t="shared" si="17"/>
        <v>2.5503449132700004E-3</v>
      </c>
      <c r="AE14">
        <f t="shared" si="18"/>
        <v>-1.4421860702089058E-11</v>
      </c>
      <c r="AF14">
        <f t="shared" si="19"/>
        <v>3.1478758353000005E-7</v>
      </c>
      <c r="AG14">
        <f t="shared" si="36"/>
        <v>7956.2551376619485</v>
      </c>
      <c r="AH14">
        <f t="shared" si="37"/>
        <v>-3176745.7392381574</v>
      </c>
      <c r="AJ14">
        <f t="shared" si="20"/>
        <v>20000</v>
      </c>
      <c r="AK14">
        <f t="shared" si="21"/>
        <v>0.46596102184800003</v>
      </c>
      <c r="AL14">
        <v>1</v>
      </c>
      <c r="AM14">
        <f t="shared" si="22"/>
        <v>1.1542714050924001E-3</v>
      </c>
      <c r="AN14">
        <f t="shared" si="38"/>
        <v>19999.973891030739</v>
      </c>
      <c r="AO14">
        <f t="shared" si="39"/>
        <v>-22.619436943163368</v>
      </c>
      <c r="AQ14">
        <f t="shared" si="23"/>
        <v>9998.5602073301452</v>
      </c>
      <c r="AR14">
        <f t="shared" si="24"/>
        <v>-119.98272248796174</v>
      </c>
      <c r="AT14">
        <f t="shared" si="40"/>
        <v>-301603506.4270339</v>
      </c>
      <c r="AU14">
        <f t="shared" si="41"/>
        <v>-31763838150.304451</v>
      </c>
      <c r="AV14">
        <f t="shared" si="42"/>
        <v>-1.5802912260399826</v>
      </c>
      <c r="AW14">
        <f t="shared" si="25"/>
        <v>200019093.41436616</v>
      </c>
      <c r="AX14">
        <f t="shared" si="26"/>
        <v>-22480522.077860888</v>
      </c>
      <c r="AY14">
        <f t="shared" si="50"/>
        <v>-0.11192219309265269</v>
      </c>
      <c r="BA14">
        <f t="shared" si="27"/>
        <v>157.81754638141217</v>
      </c>
      <c r="BB14">
        <f t="shared" si="43"/>
        <v>43.963105740838273</v>
      </c>
      <c r="BC14">
        <f t="shared" si="44"/>
        <v>-1.46836903294733</v>
      </c>
      <c r="BD14">
        <f t="shared" si="28"/>
        <v>-264.1313484517222</v>
      </c>
      <c r="BF14">
        <f t="shared" si="29"/>
        <v>67.344331631653446</v>
      </c>
      <c r="BG14">
        <f t="shared" si="30"/>
        <v>-84.152950474468824</v>
      </c>
      <c r="BH14">
        <f t="shared" si="45"/>
        <v>95.847049525531176</v>
      </c>
      <c r="BI14">
        <f t="shared" si="46"/>
        <v>95.847049525531176</v>
      </c>
      <c r="BJ14">
        <f t="shared" si="31"/>
        <v>0</v>
      </c>
      <c r="BK14">
        <f t="shared" si="47"/>
        <v>0</v>
      </c>
      <c r="BM14">
        <f t="shared" si="48"/>
        <v>23.381225890815177</v>
      </c>
      <c r="BN14">
        <f t="shared" si="32"/>
        <v>-2.1602022746620674E-2</v>
      </c>
      <c r="BQ14" s="66">
        <f t="shared" si="49"/>
        <v>60.865066541123412</v>
      </c>
      <c r="BR14" s="68"/>
      <c r="BS14" s="68"/>
      <c r="BT14" s="68">
        <v>109.648</v>
      </c>
      <c r="BU14" s="68">
        <v>34.114400000000003</v>
      </c>
      <c r="BV14" s="68">
        <v>-262.76620000000003</v>
      </c>
      <c r="BW14" s="75"/>
      <c r="BY14" s="68"/>
      <c r="BZ14" s="68"/>
      <c r="CA14" s="68"/>
      <c r="CC14" s="68"/>
    </row>
    <row r="15" spans="1:81" x14ac:dyDescent="0.15">
      <c r="A15">
        <v>7</v>
      </c>
      <c r="B15">
        <f t="shared" si="33"/>
        <v>7.0000000000000001E-3</v>
      </c>
      <c r="C15">
        <f t="shared" si="0"/>
        <v>1.0000000004213214</v>
      </c>
      <c r="D15">
        <f t="shared" si="1"/>
        <v>2.9028316077846497E-5</v>
      </c>
      <c r="F15">
        <f t="shared" si="2"/>
        <v>0.98394373011314107</v>
      </c>
      <c r="G15">
        <f t="shared" si="3"/>
        <v>-4.6889272457504379E-4</v>
      </c>
      <c r="H15">
        <f t="shared" si="4"/>
        <v>-4.6889272457504379E-4</v>
      </c>
      <c r="J15">
        <f t="shared" si="5"/>
        <v>15</v>
      </c>
      <c r="M15">
        <f t="shared" si="6"/>
        <v>136.1462303453861</v>
      </c>
      <c r="N15">
        <f t="shared" si="7"/>
        <v>-1.5707963250000001</v>
      </c>
      <c r="O15">
        <f t="shared" si="8"/>
        <v>1.0000044264999204</v>
      </c>
      <c r="P15">
        <f t="shared" si="9"/>
        <v>2.9753936184298856E-3</v>
      </c>
      <c r="Q15">
        <f t="shared" si="10"/>
        <v>1.0000009067326634</v>
      </c>
      <c r="R15">
        <f t="shared" si="11"/>
        <v>1.3466491585739726E-3</v>
      </c>
      <c r="S15">
        <f t="shared" si="12"/>
        <v>0.99999999963059505</v>
      </c>
      <c r="T15">
        <f t="shared" si="13"/>
        <v>-2.7181059601106117E-5</v>
      </c>
      <c r="U15">
        <f t="shared" si="14"/>
        <v>0.99999999857153044</v>
      </c>
      <c r="V15">
        <f t="shared" si="15"/>
        <v>-5.3450342442781188E-5</v>
      </c>
      <c r="X15">
        <f t="shared" si="34"/>
        <v>66.061389165641216</v>
      </c>
      <c r="Y15">
        <f t="shared" si="16"/>
        <v>-89.782187402952033</v>
      </c>
      <c r="Z15">
        <f t="shared" si="35"/>
        <v>90.217812597047967</v>
      </c>
      <c r="AC15">
        <v>1</v>
      </c>
      <c r="AD15">
        <f t="shared" si="17"/>
        <v>2.9754023988150004E-3</v>
      </c>
      <c r="AE15">
        <f t="shared" si="18"/>
        <v>-1.9629754844510106E-11</v>
      </c>
      <c r="AF15">
        <f t="shared" si="19"/>
        <v>3.6725218078500004E-7</v>
      </c>
      <c r="AG15">
        <f t="shared" si="36"/>
        <v>7956.2551316313984</v>
      </c>
      <c r="AH15">
        <f t="shared" si="37"/>
        <v>-2722925.0321722836</v>
      </c>
      <c r="AJ15">
        <f t="shared" si="20"/>
        <v>20000</v>
      </c>
      <c r="AK15">
        <f t="shared" si="21"/>
        <v>0.54362119215600002</v>
      </c>
      <c r="AL15">
        <v>1</v>
      </c>
      <c r="AM15">
        <f t="shared" si="22"/>
        <v>1.3466499726078E-3</v>
      </c>
      <c r="AN15">
        <f t="shared" si="38"/>
        <v>19999.964462808934</v>
      </c>
      <c r="AO15">
        <f t="shared" si="39"/>
        <v>-26.389330403842624</v>
      </c>
      <c r="AQ15">
        <f t="shared" si="23"/>
        <v>9998.0403840847193</v>
      </c>
      <c r="AR15">
        <f t="shared" si="24"/>
        <v>-139.97256537718607</v>
      </c>
      <c r="AT15">
        <f t="shared" si="40"/>
        <v>-301587841.97077942</v>
      </c>
      <c r="AU15">
        <f t="shared" si="41"/>
        <v>-27225028091.935246</v>
      </c>
      <c r="AV15">
        <f t="shared" si="42"/>
        <v>-1.5818734689597924</v>
      </c>
      <c r="AW15">
        <f t="shared" si="25"/>
        <v>200007622.83777428</v>
      </c>
      <c r="AX15">
        <f t="shared" si="26"/>
        <v>-20081625.478529479</v>
      </c>
      <c r="AY15">
        <f t="shared" si="50"/>
        <v>-0.1000689340348984</v>
      </c>
      <c r="BA15">
        <f t="shared" si="27"/>
        <v>135.44729230020968</v>
      </c>
      <c r="BB15">
        <f t="shared" si="43"/>
        <v>42.635406551232919</v>
      </c>
      <c r="BC15">
        <f t="shared" si="44"/>
        <v>-1.4818045349248941</v>
      </c>
      <c r="BD15">
        <f t="shared" si="28"/>
        <v>-264.90114601155591</v>
      </c>
      <c r="BF15">
        <f t="shared" si="29"/>
        <v>66.016636989183326</v>
      </c>
      <c r="BG15">
        <f t="shared" si="30"/>
        <v>-84.926348385749634</v>
      </c>
      <c r="BH15">
        <f t="shared" si="45"/>
        <v>95.073651614250366</v>
      </c>
      <c r="BI15">
        <f t="shared" si="46"/>
        <v>95.073651614250366</v>
      </c>
      <c r="BJ15">
        <f t="shared" si="31"/>
        <v>0</v>
      </c>
      <c r="BK15">
        <f t="shared" si="47"/>
        <v>0</v>
      </c>
      <c r="BM15">
        <f t="shared" si="48"/>
        <v>23.381230437950418</v>
      </c>
      <c r="BN15">
        <f t="shared" si="32"/>
        <v>-2.52023741937057E-2</v>
      </c>
      <c r="BQ15" s="66">
        <f t="shared" si="49"/>
        <v>59.537367351518043</v>
      </c>
      <c r="BR15" s="68"/>
      <c r="BS15" s="68"/>
      <c r="BT15" s="68">
        <v>112.202</v>
      </c>
      <c r="BU15" s="68">
        <v>34.297699999999999</v>
      </c>
      <c r="BV15" s="68">
        <v>-267.01279999999997</v>
      </c>
      <c r="BW15" s="75"/>
      <c r="BY15" s="68"/>
      <c r="BZ15" s="68"/>
      <c r="CA15" s="68"/>
      <c r="CC15" s="68"/>
    </row>
    <row r="16" spans="1:81" x14ac:dyDescent="0.15">
      <c r="A16">
        <v>8</v>
      </c>
      <c r="B16">
        <f t="shared" si="33"/>
        <v>8.0000000000000002E-3</v>
      </c>
      <c r="C16">
        <f t="shared" si="0"/>
        <v>1.0000000005502976</v>
      </c>
      <c r="D16">
        <f t="shared" si="1"/>
        <v>3.3175218371829178E-5</v>
      </c>
      <c r="F16">
        <f t="shared" si="2"/>
        <v>0.98394432433598178</v>
      </c>
      <c r="G16">
        <f t="shared" si="3"/>
        <v>-5.3587772915233468E-4</v>
      </c>
      <c r="H16">
        <f t="shared" si="4"/>
        <v>-5.3587772915233468E-4</v>
      </c>
      <c r="J16">
        <f t="shared" si="5"/>
        <v>15</v>
      </c>
      <c r="M16">
        <f t="shared" si="6"/>
        <v>119.12795155221285</v>
      </c>
      <c r="N16">
        <f t="shared" si="7"/>
        <v>-1.5707963250000001</v>
      </c>
      <c r="O16">
        <f t="shared" si="8"/>
        <v>1.0000057815469994</v>
      </c>
      <c r="P16">
        <f t="shared" si="9"/>
        <v>3.4004467778006161E-3</v>
      </c>
      <c r="Q16">
        <f t="shared" si="10"/>
        <v>1.0000011843037224</v>
      </c>
      <c r="R16">
        <f t="shared" si="11"/>
        <v>1.5390273250060549E-3</v>
      </c>
      <c r="S16">
        <f t="shared" si="12"/>
        <v>0.99999999951751195</v>
      </c>
      <c r="T16">
        <f t="shared" si="13"/>
        <v>-3.1064068113207971E-5</v>
      </c>
      <c r="U16">
        <f t="shared" si="14"/>
        <v>0.99999999813424401</v>
      </c>
      <c r="V16">
        <f t="shared" si="15"/>
        <v>-6.1086105631084694E-5</v>
      </c>
      <c r="X16">
        <f t="shared" si="34"/>
        <v>64.901569648682539</v>
      </c>
      <c r="Y16">
        <f t="shared" si="16"/>
        <v>-89.751071528865864</v>
      </c>
      <c r="Z16">
        <f t="shared" si="35"/>
        <v>90.248928471134136</v>
      </c>
      <c r="AC16">
        <v>1</v>
      </c>
      <c r="AD16">
        <f t="shared" si="17"/>
        <v>3.4004598843600004E-3</v>
      </c>
      <c r="AE16">
        <f t="shared" si="18"/>
        <v>-2.5638863470380547E-11</v>
      </c>
      <c r="AF16">
        <f t="shared" si="19"/>
        <v>4.1971677804000003E-7</v>
      </c>
      <c r="AG16">
        <f t="shared" si="36"/>
        <v>7956.25512467307</v>
      </c>
      <c r="AH16">
        <f t="shared" si="37"/>
        <v>-2382559.5170608987</v>
      </c>
      <c r="AJ16">
        <f t="shared" si="20"/>
        <v>20000</v>
      </c>
      <c r="AK16">
        <f t="shared" si="21"/>
        <v>0.62128136246400001</v>
      </c>
      <c r="AL16">
        <v>1</v>
      </c>
      <c r="AM16">
        <f t="shared" si="22"/>
        <v>1.5390285401231999E-3</v>
      </c>
      <c r="AN16">
        <f t="shared" si="38"/>
        <v>19999.953584102746</v>
      </c>
      <c r="AO16">
        <f t="shared" si="39"/>
        <v>-30.159218004609407</v>
      </c>
      <c r="AQ16">
        <f t="shared" si="23"/>
        <v>9997.4406551922712</v>
      </c>
      <c r="AR16">
        <f t="shared" si="24"/>
        <v>-159.95905048307634</v>
      </c>
      <c r="AT16">
        <f t="shared" si="40"/>
        <v>-301569769.62198991</v>
      </c>
      <c r="AU16">
        <f t="shared" si="41"/>
        <v>-23820770054.295036</v>
      </c>
      <c r="AV16">
        <f t="shared" si="42"/>
        <v>-1.5834556009990706</v>
      </c>
      <c r="AW16">
        <f t="shared" si="25"/>
        <v>199994389.04034522</v>
      </c>
      <c r="AX16">
        <f t="shared" si="26"/>
        <v>-18391749.676596589</v>
      </c>
      <c r="AY16">
        <f t="shared" si="50"/>
        <v>-9.1703400353251002E-2</v>
      </c>
      <c r="BA16">
        <f t="shared" si="27"/>
        <v>118.6162303202545</v>
      </c>
      <c r="BB16">
        <f t="shared" si="43"/>
        <v>41.482882356663147</v>
      </c>
      <c r="BC16">
        <f t="shared" si="44"/>
        <v>-1.4917522006458195</v>
      </c>
      <c r="BD16">
        <f t="shared" si="28"/>
        <v>-265.47110527402322</v>
      </c>
      <c r="BF16">
        <f t="shared" si="29"/>
        <v>64.864118041310689</v>
      </c>
      <c r="BG16">
        <f t="shared" si="30"/>
        <v>-85.499908006274453</v>
      </c>
      <c r="BH16">
        <f t="shared" si="45"/>
        <v>94.500091993725547</v>
      </c>
      <c r="BI16">
        <f t="shared" si="46"/>
        <v>94.500091993725547</v>
      </c>
      <c r="BJ16">
        <f t="shared" si="31"/>
        <v>0</v>
      </c>
      <c r="BK16">
        <f t="shared" si="47"/>
        <v>0</v>
      </c>
      <c r="BM16">
        <f t="shared" si="48"/>
        <v>23.381235684647542</v>
      </c>
      <c r="BN16">
        <f t="shared" si="32"/>
        <v>-2.8802732251264652E-2</v>
      </c>
      <c r="BQ16" s="66">
        <f t="shared" si="49"/>
        <v>58.384843156948286</v>
      </c>
      <c r="BR16" s="69"/>
      <c r="BS16" s="69"/>
      <c r="BT16" s="69">
        <v>114.815</v>
      </c>
      <c r="BU16" s="69">
        <v>33.346499999999999</v>
      </c>
      <c r="BV16" s="69">
        <v>-266.20479999999998</v>
      </c>
      <c r="BW16" s="75"/>
      <c r="BY16" s="69"/>
      <c r="BZ16" s="69"/>
      <c r="CA16" s="69"/>
      <c r="CC16" s="69"/>
    </row>
    <row r="17" spans="1:81" x14ac:dyDescent="0.15">
      <c r="A17">
        <v>9</v>
      </c>
      <c r="B17">
        <f t="shared" si="33"/>
        <v>8.9999999999999993E-3</v>
      </c>
      <c r="C17">
        <f t="shared" si="0"/>
        <v>1.0000000006964702</v>
      </c>
      <c r="D17">
        <f t="shared" si="1"/>
        <v>3.7322120664670834E-5</v>
      </c>
      <c r="F17">
        <f t="shared" si="2"/>
        <v>0.98394499778935252</v>
      </c>
      <c r="G17">
        <f t="shared" si="3"/>
        <v>-6.0286286558535666E-4</v>
      </c>
      <c r="H17">
        <f t="shared" si="4"/>
        <v>-6.0286286558535666E-4</v>
      </c>
      <c r="J17">
        <f t="shared" si="5"/>
        <v>15</v>
      </c>
      <c r="M17">
        <f t="shared" si="6"/>
        <v>105.89151249085586</v>
      </c>
      <c r="N17">
        <f t="shared" si="7"/>
        <v>-1.5707963250000001</v>
      </c>
      <c r="O17">
        <f t="shared" si="8"/>
        <v>1.0000073172648025</v>
      </c>
      <c r="P17">
        <f t="shared" si="9"/>
        <v>3.8254987084515176E-3</v>
      </c>
      <c r="Q17">
        <f t="shared" si="10"/>
        <v>1.0000014988841628</v>
      </c>
      <c r="R17">
        <f t="shared" si="11"/>
        <v>1.7314053775212867E-3</v>
      </c>
      <c r="S17">
        <f t="shared" si="12"/>
        <v>0.99999999938935091</v>
      </c>
      <c r="T17">
        <f t="shared" si="13"/>
        <v>-3.4947076624373062E-5</v>
      </c>
      <c r="U17">
        <f t="shared" si="14"/>
        <v>0.99999999763865244</v>
      </c>
      <c r="V17">
        <f t="shared" si="15"/>
        <v>-6.8721868812264965E-5</v>
      </c>
      <c r="X17">
        <f t="shared" si="34"/>
        <v>63.878541211972504</v>
      </c>
      <c r="Y17">
        <f t="shared" si="16"/>
        <v>-89.719955739261479</v>
      </c>
      <c r="Z17">
        <f t="shared" si="35"/>
        <v>90.280044260738521</v>
      </c>
      <c r="AC17">
        <v>1</v>
      </c>
      <c r="AD17">
        <f t="shared" si="17"/>
        <v>3.8255173699050008E-3</v>
      </c>
      <c r="AE17">
        <f t="shared" si="18"/>
        <v>-3.2449186579700378E-11</v>
      </c>
      <c r="AF17">
        <f t="shared" si="19"/>
        <v>4.7218137529500008E-7</v>
      </c>
      <c r="AG17">
        <f t="shared" si="36"/>
        <v>7956.2551167869669</v>
      </c>
      <c r="AH17">
        <f t="shared" si="37"/>
        <v>-2117830.7965858388</v>
      </c>
      <c r="AJ17">
        <f t="shared" si="20"/>
        <v>20000</v>
      </c>
      <c r="AK17">
        <f t="shared" si="21"/>
        <v>0.698941532772</v>
      </c>
      <c r="AL17">
        <v>1</v>
      </c>
      <c r="AM17">
        <f t="shared" si="22"/>
        <v>1.7314071076386E-3</v>
      </c>
      <c r="AN17">
        <f t="shared" si="38"/>
        <v>19999.94125491699</v>
      </c>
      <c r="AO17">
        <f t="shared" si="39"/>
        <v>-33.929098908345743</v>
      </c>
      <c r="AQ17">
        <f t="shared" si="23"/>
        <v>9996.7610494199889</v>
      </c>
      <c r="AR17">
        <f t="shared" si="24"/>
        <v>-179.94169888955977</v>
      </c>
      <c r="AT17">
        <f t="shared" si="40"/>
        <v>-301549290.24754107</v>
      </c>
      <c r="AU17">
        <f t="shared" si="41"/>
        <v>-21172880078.633938</v>
      </c>
      <c r="AV17">
        <f t="shared" si="42"/>
        <v>-1.5850376063330833</v>
      </c>
      <c r="AW17">
        <f t="shared" si="25"/>
        <v>199979392.65741324</v>
      </c>
      <c r="AX17">
        <f t="shared" si="26"/>
        <v>-17174519.112580903</v>
      </c>
      <c r="AY17">
        <f t="shared" si="50"/>
        <v>-8.5671230958462186E-2</v>
      </c>
      <c r="BA17">
        <f t="shared" si="27"/>
        <v>105.49770596516014</v>
      </c>
      <c r="BB17">
        <f t="shared" si="43"/>
        <v>40.464860321109448</v>
      </c>
      <c r="BC17">
        <f t="shared" si="44"/>
        <v>-1.4993663753746211</v>
      </c>
      <c r="BD17">
        <f t="shared" si="28"/>
        <v>-265.90736535095721</v>
      </c>
      <c r="BF17">
        <f t="shared" si="29"/>
        <v>63.846101952017122</v>
      </c>
      <c r="BG17">
        <f t="shared" si="30"/>
        <v>-85.939768448820857</v>
      </c>
      <c r="BH17">
        <f t="shared" si="45"/>
        <v>94.060231551179143</v>
      </c>
      <c r="BI17">
        <f t="shared" si="46"/>
        <v>94.060231551179143</v>
      </c>
      <c r="BJ17">
        <f t="shared" si="31"/>
        <v>0</v>
      </c>
      <c r="BK17">
        <f t="shared" si="47"/>
        <v>0</v>
      </c>
      <c r="BM17">
        <f t="shared" si="48"/>
        <v>23.381241630907674</v>
      </c>
      <c r="BN17">
        <f t="shared" si="32"/>
        <v>-3.2403097863665881E-2</v>
      </c>
      <c r="BQ17" s="66">
        <f t="shared" si="49"/>
        <v>57.366821121394587</v>
      </c>
      <c r="BR17" s="69"/>
      <c r="BS17" s="69"/>
      <c r="BT17" s="69">
        <v>117.49</v>
      </c>
      <c r="BU17" s="69">
        <v>33.0246</v>
      </c>
      <c r="BV17" s="69">
        <v>-264.9049</v>
      </c>
      <c r="BW17" s="75"/>
      <c r="BY17" s="69"/>
      <c r="BZ17" s="69"/>
      <c r="CA17" s="69"/>
      <c r="CC17" s="69"/>
    </row>
    <row r="18" spans="1:81" x14ac:dyDescent="0.15">
      <c r="A18">
        <v>10</v>
      </c>
      <c r="B18">
        <f t="shared" si="33"/>
        <v>0.01</v>
      </c>
      <c r="C18">
        <f t="shared" si="0"/>
        <v>1.00000000085984</v>
      </c>
      <c r="D18">
        <f t="shared" si="1"/>
        <v>4.1469022956228856E-5</v>
      </c>
      <c r="F18">
        <f t="shared" si="2"/>
        <v>0.98394575047356014</v>
      </c>
      <c r="G18">
        <f t="shared" si="3"/>
        <v>-6.6984815035640757E-4</v>
      </c>
      <c r="H18">
        <f t="shared" si="4"/>
        <v>-6.6984815035640757E-4</v>
      </c>
      <c r="J18">
        <f t="shared" si="5"/>
        <v>15</v>
      </c>
      <c r="M18">
        <f t="shared" si="6"/>
        <v>95.302361241770285</v>
      </c>
      <c r="N18">
        <f t="shared" si="7"/>
        <v>-1.5707963250000001</v>
      </c>
      <c r="O18">
        <f t="shared" si="8"/>
        <v>1.0000090336524974</v>
      </c>
      <c r="P18">
        <f t="shared" si="9"/>
        <v>4.2505492568011023E-3</v>
      </c>
      <c r="Q18">
        <f t="shared" si="10"/>
        <v>1.0000018504739498</v>
      </c>
      <c r="R18">
        <f t="shared" si="11"/>
        <v>1.9237833018802232E-3</v>
      </c>
      <c r="S18">
        <f t="shared" si="12"/>
        <v>0.99999999924611238</v>
      </c>
      <c r="T18">
        <f t="shared" si="13"/>
        <v>-3.8830085134484314E-5</v>
      </c>
      <c r="U18">
        <f t="shared" si="14"/>
        <v>0.99999999708475595</v>
      </c>
      <c r="V18">
        <f t="shared" si="15"/>
        <v>-7.6357631985431599E-5</v>
      </c>
      <c r="X18">
        <f t="shared" si="34"/>
        <v>62.963416002625365</v>
      </c>
      <c r="Y18">
        <f t="shared" si="16"/>
        <v>-89.688840044698651</v>
      </c>
      <c r="Z18">
        <f t="shared" si="35"/>
        <v>90.311159955301349</v>
      </c>
      <c r="AC18">
        <v>1</v>
      </c>
      <c r="AD18">
        <f t="shared" si="17"/>
        <v>4.2505748554500008E-3</v>
      </c>
      <c r="AE18">
        <f t="shared" si="18"/>
        <v>-4.00607241724696E-11</v>
      </c>
      <c r="AF18">
        <f t="shared" si="19"/>
        <v>5.2464597255000002E-7</v>
      </c>
      <c r="AG18">
        <f t="shared" si="36"/>
        <v>7956.2551079730865</v>
      </c>
      <c r="AH18">
        <f t="shared" si="37"/>
        <v>-1906047.8323562066</v>
      </c>
      <c r="AJ18">
        <f t="shared" si="20"/>
        <v>20000</v>
      </c>
      <c r="AK18">
        <f t="shared" si="21"/>
        <v>0.77660170307999998</v>
      </c>
      <c r="AL18">
        <v>1</v>
      </c>
      <c r="AM18">
        <f t="shared" si="22"/>
        <v>1.9237856751539999E-3</v>
      </c>
      <c r="AN18">
        <f t="shared" si="38"/>
        <v>19999.927475257165</v>
      </c>
      <c r="AO18">
        <f t="shared" si="39"/>
        <v>-37.698972277938637</v>
      </c>
      <c r="AQ18">
        <f t="shared" si="23"/>
        <v>9996.0015993602556</v>
      </c>
      <c r="AR18">
        <f t="shared" si="24"/>
        <v>-199.92003198720514</v>
      </c>
      <c r="AT18">
        <f t="shared" si="40"/>
        <v>-301526404.82957864</v>
      </c>
      <c r="AU18">
        <f t="shared" si="41"/>
        <v>-19054447795.465473</v>
      </c>
      <c r="AV18">
        <f t="shared" si="42"/>
        <v>-1.5866194691432314</v>
      </c>
      <c r="AW18">
        <f t="shared" si="25"/>
        <v>199962634.40879396</v>
      </c>
      <c r="AX18">
        <f t="shared" si="26"/>
        <v>-16288104.227068897</v>
      </c>
      <c r="AY18">
        <f t="shared" si="50"/>
        <v>-8.1276299199069285E-2</v>
      </c>
      <c r="BA18">
        <f t="shared" si="27"/>
        <v>94.987370640364432</v>
      </c>
      <c r="BB18">
        <f t="shared" si="43"/>
        <v>39.553317321395383</v>
      </c>
      <c r="BC18">
        <f t="shared" si="44"/>
        <v>-1.5053431699441622</v>
      </c>
      <c r="BD18">
        <f t="shared" si="28"/>
        <v>-266.24981045519991</v>
      </c>
      <c r="BF18">
        <f t="shared" si="29"/>
        <v>62.93456559812747</v>
      </c>
      <c r="BG18">
        <f t="shared" si="30"/>
        <v>-86.285813927175184</v>
      </c>
      <c r="BH18">
        <f t="shared" si="45"/>
        <v>93.714186072824816</v>
      </c>
      <c r="BI18">
        <f t="shared" si="46"/>
        <v>93.714186072824816</v>
      </c>
      <c r="BJ18">
        <f t="shared" si="31"/>
        <v>0</v>
      </c>
      <c r="BK18">
        <f t="shared" si="47"/>
        <v>0</v>
      </c>
      <c r="BM18">
        <f t="shared" si="48"/>
        <v>23.381248276732087</v>
      </c>
      <c r="BN18">
        <f t="shared" si="32"/>
        <v>-3.6003471975283668E-2</v>
      </c>
      <c r="BQ18" s="66">
        <f t="shared" si="49"/>
        <v>56.455278121680522</v>
      </c>
      <c r="BR18" s="69"/>
      <c r="BS18" s="69"/>
      <c r="BT18" s="69">
        <v>120.226</v>
      </c>
      <c r="BU18" s="69">
        <v>33.735999999999997</v>
      </c>
      <c r="BV18" s="69">
        <v>-269.98079999999999</v>
      </c>
      <c r="BW18" s="75"/>
      <c r="BY18" s="69"/>
      <c r="BZ18" s="69"/>
      <c r="CA18" s="69"/>
      <c r="CC18" s="69"/>
    </row>
    <row r="19" spans="1:81" x14ac:dyDescent="0.15">
      <c r="A19">
        <f>A10*10</f>
        <v>20</v>
      </c>
      <c r="B19">
        <f t="shared" si="33"/>
        <v>0.02</v>
      </c>
      <c r="C19">
        <f t="shared" si="0"/>
        <v>1.0000000034393597</v>
      </c>
      <c r="D19">
        <f t="shared" si="1"/>
        <v>8.2938045769830821E-5</v>
      </c>
      <c r="F19">
        <f t="shared" si="2"/>
        <v>0.98395763510494449</v>
      </c>
      <c r="G19">
        <f t="shared" si="3"/>
        <v>-1.339712782864734E-3</v>
      </c>
      <c r="H19">
        <f t="shared" si="4"/>
        <v>-1.339712782864734E-3</v>
      </c>
      <c r="J19">
        <f t="shared" si="5"/>
        <v>15</v>
      </c>
      <c r="M19">
        <f t="shared" si="6"/>
        <v>47.651180620885143</v>
      </c>
      <c r="N19">
        <f t="shared" si="7"/>
        <v>-1.5707963250000001</v>
      </c>
      <c r="O19">
        <f t="shared" si="8"/>
        <v>1.0000361341203663</v>
      </c>
      <c r="P19">
        <f t="shared" si="9"/>
        <v>8.5009449283684688E-3</v>
      </c>
      <c r="Q19">
        <f t="shared" si="10"/>
        <v>1.0000074018752538</v>
      </c>
      <c r="R19">
        <f t="shared" si="11"/>
        <v>3.847552364244263E-3</v>
      </c>
      <c r="S19">
        <f t="shared" si="12"/>
        <v>0.99999999698444908</v>
      </c>
      <c r="T19">
        <f t="shared" si="13"/>
        <v>-7.7660170151874536E-5</v>
      </c>
      <c r="U19">
        <f t="shared" si="14"/>
        <v>0.99999998833902415</v>
      </c>
      <c r="V19">
        <f t="shared" si="15"/>
        <v>-1.5271526308045869E-4</v>
      </c>
      <c r="X19">
        <f t="shared" si="34"/>
        <v>56.943204533396056</v>
      </c>
      <c r="Y19">
        <f t="shared" si="16"/>
        <v>-89.377690649355387</v>
      </c>
      <c r="Z19">
        <f t="shared" si="35"/>
        <v>90.622309350644613</v>
      </c>
      <c r="AC19">
        <v>1</v>
      </c>
      <c r="AD19">
        <f t="shared" si="17"/>
        <v>8.5011497109000016E-3</v>
      </c>
      <c r="AE19">
        <f t="shared" si="18"/>
        <v>-1.602428966898784E-10</v>
      </c>
      <c r="AF19">
        <f t="shared" si="19"/>
        <v>1.0492919451E-6</v>
      </c>
      <c r="AG19">
        <f t="shared" si="36"/>
        <v>7956.254968806541</v>
      </c>
      <c r="AH19">
        <f t="shared" si="37"/>
        <v>-953024.82745928317</v>
      </c>
      <c r="AJ19">
        <f t="shared" si="20"/>
        <v>20000</v>
      </c>
      <c r="AK19">
        <f t="shared" si="21"/>
        <v>1.55320340616</v>
      </c>
      <c r="AL19">
        <v>1</v>
      </c>
      <c r="AM19">
        <f t="shared" si="22"/>
        <v>3.8475713503079998E-3</v>
      </c>
      <c r="AN19">
        <f t="shared" si="38"/>
        <v>19999.709904249536</v>
      </c>
      <c r="AO19">
        <f t="shared" si="39"/>
        <v>-75.39710743590166</v>
      </c>
      <c r="AQ19">
        <f t="shared" si="23"/>
        <v>9984.0255591054301</v>
      </c>
      <c r="AR19">
        <f t="shared" si="24"/>
        <v>-399.36102236421721</v>
      </c>
      <c r="AT19">
        <f t="shared" si="40"/>
        <v>-301165516.46929693</v>
      </c>
      <c r="AU19">
        <f t="shared" si="41"/>
        <v>-9518201653.9340572</v>
      </c>
      <c r="AV19">
        <f t="shared" si="42"/>
        <v>-1.6024267842528985</v>
      </c>
      <c r="AW19">
        <f t="shared" si="25"/>
        <v>199698367.87013429</v>
      </c>
      <c r="AX19">
        <f t="shared" si="26"/>
        <v>-14696436.705965985</v>
      </c>
      <c r="AY19">
        <f t="shared" si="50"/>
        <v>-7.346074481909512E-2</v>
      </c>
      <c r="BA19">
        <f t="shared" si="27"/>
        <v>47.558132082040906</v>
      </c>
      <c r="BB19">
        <f t="shared" si="43"/>
        <v>33.54449577410837</v>
      </c>
      <c r="BC19">
        <f t="shared" si="44"/>
        <v>-1.5289660394338034</v>
      </c>
      <c r="BD19">
        <f t="shared" si="28"/>
        <v>-267.60330117849128</v>
      </c>
      <c r="BF19">
        <f t="shared" si="29"/>
        <v>56.925848985506668</v>
      </c>
      <c r="BG19">
        <f t="shared" si="30"/>
        <v>-87.67530906680777</v>
      </c>
      <c r="BH19">
        <f t="shared" si="45"/>
        <v>92.32469093319223</v>
      </c>
      <c r="BI19">
        <f t="shared" si="46"/>
        <v>92.32469093319223</v>
      </c>
      <c r="BJ19">
        <f t="shared" si="31"/>
        <v>0</v>
      </c>
      <c r="BK19">
        <f t="shared" si="47"/>
        <v>0</v>
      </c>
      <c r="BM19">
        <f t="shared" si="48"/>
        <v>23.381353211398299</v>
      </c>
      <c r="BN19">
        <f t="shared" si="32"/>
        <v>-7.2007888316482582E-2</v>
      </c>
      <c r="BQ19" s="66">
        <f t="shared" si="49"/>
        <v>50.446456574393508</v>
      </c>
      <c r="BR19" s="69"/>
      <c r="BS19" s="69"/>
      <c r="BT19" s="69">
        <v>123.027</v>
      </c>
      <c r="BU19" s="69">
        <v>32.764899999999997</v>
      </c>
      <c r="BV19" s="69">
        <v>-265.73410000000001</v>
      </c>
      <c r="BW19" s="75"/>
      <c r="BY19" s="69"/>
      <c r="BZ19" s="69"/>
      <c r="CA19" s="69"/>
      <c r="CC19" s="69"/>
    </row>
    <row r="20" spans="1:81" x14ac:dyDescent="0.15">
      <c r="A20">
        <f t="shared" ref="A20:A36" si="51">A11*10</f>
        <v>30</v>
      </c>
      <c r="B20">
        <f t="shared" si="33"/>
        <v>0.03</v>
      </c>
      <c r="C20">
        <f t="shared" si="0"/>
        <v>1.0000000077385593</v>
      </c>
      <c r="D20">
        <f t="shared" si="1"/>
        <v>1.2440706829817903E-4</v>
      </c>
      <c r="F20">
        <f t="shared" si="2"/>
        <v>0.98397744342538207</v>
      </c>
      <c r="G20">
        <f t="shared" si="3"/>
        <v>-2.0096103809791135E-3</v>
      </c>
      <c r="H20">
        <f t="shared" si="4"/>
        <v>-2.0096103809791135E-3</v>
      </c>
      <c r="J20">
        <f t="shared" si="5"/>
        <v>15</v>
      </c>
      <c r="M20">
        <f t="shared" si="6"/>
        <v>31.767453747256756</v>
      </c>
      <c r="N20">
        <f t="shared" si="7"/>
        <v>-1.5707963250000001</v>
      </c>
      <c r="O20">
        <f t="shared" si="8"/>
        <v>1.0000812999348683</v>
      </c>
      <c r="P20">
        <f t="shared" si="9"/>
        <v>1.2751033462762761E-2</v>
      </c>
      <c r="Q20">
        <f t="shared" si="10"/>
        <v>1.0000166541422775</v>
      </c>
      <c r="R20">
        <f t="shared" si="11"/>
        <v>5.7712929482083165E-3</v>
      </c>
      <c r="S20">
        <f t="shared" si="12"/>
        <v>0.99999999321501032</v>
      </c>
      <c r="T20">
        <f t="shared" si="13"/>
        <v>-1.1649025493507654E-4</v>
      </c>
      <c r="U20">
        <f t="shared" si="14"/>
        <v>0.99999997376280514</v>
      </c>
      <c r="V20">
        <f t="shared" si="15"/>
        <v>-2.2907289239467688E-4</v>
      </c>
      <c r="X20">
        <f t="shared" si="34"/>
        <v>53.422026731988083</v>
      </c>
      <c r="Y20">
        <f t="shared" si="16"/>
        <v>-89.066562372058996</v>
      </c>
      <c r="Z20">
        <f t="shared" si="35"/>
        <v>90.933437627941004</v>
      </c>
      <c r="AC20">
        <v>1</v>
      </c>
      <c r="AD20">
        <f t="shared" si="17"/>
        <v>1.2751724566350001E-2</v>
      </c>
      <c r="AE20">
        <f t="shared" si="18"/>
        <v>-3.6054651755222643E-10</v>
      </c>
      <c r="AF20">
        <f t="shared" si="19"/>
        <v>1.5739379176500003E-6</v>
      </c>
      <c r="AG20">
        <f t="shared" si="36"/>
        <v>7956.2547368623045</v>
      </c>
      <c r="AH20">
        <f t="shared" si="37"/>
        <v>-635350.89750745229</v>
      </c>
      <c r="AJ20">
        <f t="shared" si="20"/>
        <v>20000</v>
      </c>
      <c r="AK20">
        <f t="shared" si="21"/>
        <v>2.3298051092400001</v>
      </c>
      <c r="AL20">
        <v>1</v>
      </c>
      <c r="AM20">
        <f t="shared" si="22"/>
        <v>5.7713570254620001E-3</v>
      </c>
      <c r="AN20">
        <f t="shared" si="38"/>
        <v>19999.347296639389</v>
      </c>
      <c r="AO20">
        <f t="shared" si="39"/>
        <v>-113.0935684158742</v>
      </c>
      <c r="AQ20">
        <f t="shared" si="23"/>
        <v>9964.1291351135915</v>
      </c>
      <c r="AR20">
        <f t="shared" si="24"/>
        <v>-597.8477481068154</v>
      </c>
      <c r="AT20">
        <f t="shared" si="40"/>
        <v>-300565953.70251918</v>
      </c>
      <c r="AU20">
        <f t="shared" si="41"/>
        <v>-6335475017.8523722</v>
      </c>
      <c r="AV20">
        <f t="shared" si="42"/>
        <v>-1.6182025213457363</v>
      </c>
      <c r="AW20">
        <f t="shared" si="25"/>
        <v>199259329.22141576</v>
      </c>
      <c r="AX20">
        <f t="shared" si="26"/>
        <v>-17054627.208151583</v>
      </c>
      <c r="AY20">
        <f t="shared" si="50"/>
        <v>-8.5382018839949184E-2</v>
      </c>
      <c r="BA20">
        <f t="shared" si="27"/>
        <v>31.714929988374834</v>
      </c>
      <c r="BB20">
        <f t="shared" si="43"/>
        <v>30.025275140338238</v>
      </c>
      <c r="BC20">
        <f t="shared" si="44"/>
        <v>-1.5328205025057871</v>
      </c>
      <c r="BD20">
        <f t="shared" si="28"/>
        <v>-267.82414564505734</v>
      </c>
      <c r="BF20">
        <f t="shared" si="29"/>
        <v>53.406803245340299</v>
      </c>
      <c r="BG20">
        <f t="shared" si="30"/>
        <v>-87.932159838521457</v>
      </c>
      <c r="BH20">
        <f t="shared" si="45"/>
        <v>92.067840161478543</v>
      </c>
      <c r="BI20">
        <f t="shared" si="46"/>
        <v>92.067840161478543</v>
      </c>
      <c r="BJ20">
        <f t="shared" si="31"/>
        <v>0</v>
      </c>
      <c r="BK20">
        <f t="shared" si="47"/>
        <v>0</v>
      </c>
      <c r="BM20">
        <f t="shared" si="48"/>
        <v>23.381528105002062</v>
      </c>
      <c r="BN20">
        <f t="shared" si="32"/>
        <v>-0.10801419346412343</v>
      </c>
      <c r="BQ20" s="66">
        <f t="shared" si="49"/>
        <v>46.927235940623369</v>
      </c>
      <c r="BR20" s="70"/>
      <c r="BS20" s="70"/>
      <c r="BT20" s="70">
        <v>125.893</v>
      </c>
      <c r="BU20" s="70">
        <v>32.247199999999999</v>
      </c>
      <c r="BV20" s="70">
        <v>-266.37110000000001</v>
      </c>
      <c r="BW20" s="75"/>
      <c r="BY20" s="70"/>
      <c r="BZ20" s="70"/>
      <c r="CA20" s="70"/>
      <c r="CC20" s="70"/>
    </row>
    <row r="21" spans="1:81" x14ac:dyDescent="0.15">
      <c r="A21">
        <f t="shared" si="51"/>
        <v>40</v>
      </c>
      <c r="B21">
        <f t="shared" si="33"/>
        <v>0.04</v>
      </c>
      <c r="C21">
        <f t="shared" si="0"/>
        <v>1.000000013757439</v>
      </c>
      <c r="D21">
        <f t="shared" si="1"/>
        <v>1.6587609039864657E-4</v>
      </c>
      <c r="F21">
        <f t="shared" si="2"/>
        <v>0.98400517633713558</v>
      </c>
      <c r="G21">
        <f t="shared" si="3"/>
        <v>-2.6795574307583165E-3</v>
      </c>
      <c r="H21">
        <f t="shared" si="4"/>
        <v>-2.6795574307583165E-3</v>
      </c>
      <c r="J21">
        <f t="shared" si="5"/>
        <v>15</v>
      </c>
      <c r="M21">
        <f t="shared" si="6"/>
        <v>23.825590310442571</v>
      </c>
      <c r="N21">
        <f t="shared" si="7"/>
        <v>-1.5707963250000001</v>
      </c>
      <c r="O21">
        <f t="shared" si="8"/>
        <v>1.0001445286485491</v>
      </c>
      <c r="P21">
        <f t="shared" si="9"/>
        <v>1.7000661374615384E-2</v>
      </c>
      <c r="Q21">
        <f t="shared" si="10"/>
        <v>1.0000296071722992</v>
      </c>
      <c r="R21">
        <f t="shared" si="11"/>
        <v>7.6949908161532713E-3</v>
      </c>
      <c r="S21">
        <f t="shared" si="12"/>
        <v>0.99999998793779599</v>
      </c>
      <c r="T21">
        <f t="shared" si="13"/>
        <v>-1.5532033936699625E-4</v>
      </c>
      <c r="U21">
        <f t="shared" si="14"/>
        <v>0.99999995335609948</v>
      </c>
      <c r="V21">
        <f t="shared" si="15"/>
        <v>-3.0543051903768179E-4</v>
      </c>
      <c r="X21">
        <f t="shared" si="34"/>
        <v>50.924158274626798</v>
      </c>
      <c r="Y21">
        <f t="shared" si="16"/>
        <v>-88.755465767160871</v>
      </c>
      <c r="Z21">
        <f t="shared" si="35"/>
        <v>91.244534232839129</v>
      </c>
      <c r="AC21">
        <v>1</v>
      </c>
      <c r="AD21">
        <f t="shared" si="17"/>
        <v>1.7002299421800003E-2</v>
      </c>
      <c r="AE21">
        <f t="shared" si="18"/>
        <v>-6.409715867595136E-10</v>
      </c>
      <c r="AF21">
        <f t="shared" si="19"/>
        <v>2.0985838902000001E-6</v>
      </c>
      <c r="AG21">
        <f t="shared" si="36"/>
        <v>7956.2544121404044</v>
      </c>
      <c r="AH21">
        <f t="shared" si="37"/>
        <v>-476514.23629184172</v>
      </c>
      <c r="AJ21">
        <f t="shared" si="20"/>
        <v>20000</v>
      </c>
      <c r="AK21">
        <f t="shared" si="21"/>
        <v>3.1064068123199999</v>
      </c>
      <c r="AL21">
        <v>1</v>
      </c>
      <c r="AM21">
        <f t="shared" si="22"/>
        <v>7.6951427006159995E-3</v>
      </c>
      <c r="AN21">
        <f t="shared" si="38"/>
        <v>19998.839668529334</v>
      </c>
      <c r="AO21">
        <f t="shared" si="39"/>
        <v>-150.78751828375317</v>
      </c>
      <c r="AQ21">
        <f t="shared" si="23"/>
        <v>9936.4069952305254</v>
      </c>
      <c r="AR21">
        <f t="shared" si="24"/>
        <v>-794.91255961844195</v>
      </c>
      <c r="AT21">
        <f t="shared" si="40"/>
        <v>-299730569.2687493</v>
      </c>
      <c r="AU21">
        <f t="shared" si="41"/>
        <v>-4741163917.3769169</v>
      </c>
      <c r="AV21">
        <f t="shared" si="42"/>
        <v>-1.6339310816515562</v>
      </c>
      <c r="AW21">
        <f t="shared" si="25"/>
        <v>198647609.23835549</v>
      </c>
      <c r="AX21">
        <f t="shared" si="26"/>
        <v>-20374149.528335594</v>
      </c>
      <c r="AY21">
        <f t="shared" si="50"/>
        <v>-0.10220689625204905</v>
      </c>
      <c r="BA21">
        <f t="shared" si="27"/>
        <v>23.790053418723179</v>
      </c>
      <c r="BB21">
        <f t="shared" si="43"/>
        <v>27.527908344259963</v>
      </c>
      <c r="BC21">
        <f t="shared" si="44"/>
        <v>-1.5317241853995072</v>
      </c>
      <c r="BD21">
        <f t="shared" si="28"/>
        <v>-267.76133130178772</v>
      </c>
      <c r="BF21">
        <f t="shared" si="29"/>
        <v>50.9096813055436</v>
      </c>
      <c r="BG21">
        <f t="shared" si="30"/>
        <v>-87.905354633795696</v>
      </c>
      <c r="BH21">
        <f t="shared" si="45"/>
        <v>92.094645366204304</v>
      </c>
      <c r="BI21">
        <f t="shared" si="46"/>
        <v>92.094645366204304</v>
      </c>
      <c r="BJ21">
        <f t="shared" si="31"/>
        <v>0</v>
      </c>
      <c r="BK21">
        <f t="shared" si="47"/>
        <v>0</v>
      </c>
      <c r="BM21">
        <f t="shared" si="48"/>
        <v>23.381772961283644</v>
      </c>
      <c r="BN21">
        <f t="shared" si="32"/>
        <v>-0.14402333200796755</v>
      </c>
      <c r="BQ21" s="66">
        <f t="shared" si="49"/>
        <v>44.429869144545094</v>
      </c>
      <c r="BR21" s="70"/>
      <c r="BS21" s="70"/>
      <c r="BT21" s="70">
        <v>128.82499999999999</v>
      </c>
      <c r="BU21" s="70">
        <v>32.3142</v>
      </c>
      <c r="BV21" s="70">
        <v>-268.05959999999999</v>
      </c>
      <c r="BW21" s="75"/>
      <c r="BY21" s="70"/>
      <c r="BZ21" s="70"/>
      <c r="CA21" s="70"/>
      <c r="CC21" s="70"/>
    </row>
    <row r="22" spans="1:81" x14ac:dyDescent="0.15">
      <c r="A22">
        <f t="shared" si="51"/>
        <v>50</v>
      </c>
      <c r="B22">
        <f t="shared" si="33"/>
        <v>0.05</v>
      </c>
      <c r="C22">
        <f t="shared" si="0"/>
        <v>1.0000000214959981</v>
      </c>
      <c r="D22">
        <f t="shared" si="1"/>
        <v>2.073451119286066E-4</v>
      </c>
      <c r="F22">
        <f t="shared" si="2"/>
        <v>0.98404083510350671</v>
      </c>
      <c r="G22">
        <f t="shared" si="3"/>
        <v>-3.3495704221685914E-3</v>
      </c>
      <c r="H22">
        <f t="shared" si="4"/>
        <v>-3.3495704221685914E-3</v>
      </c>
      <c r="J22">
        <f t="shared" si="5"/>
        <v>15</v>
      </c>
      <c r="M22">
        <f t="shared" si="6"/>
        <v>19.060472248354056</v>
      </c>
      <c r="N22">
        <f t="shared" si="7"/>
        <v>-1.5707963250000001</v>
      </c>
      <c r="O22">
        <f t="shared" si="8"/>
        <v>1.0002258168359006</v>
      </c>
      <c r="P22">
        <f t="shared" si="9"/>
        <v>2.1249675278368782E-2</v>
      </c>
      <c r="Q22">
        <f t="shared" si="10"/>
        <v>1.0000462608215173</v>
      </c>
      <c r="R22">
        <f t="shared" si="11"/>
        <v>9.6186317323568773E-3</v>
      </c>
      <c r="S22">
        <f t="shared" si="12"/>
        <v>0.99999998115280653</v>
      </c>
      <c r="T22">
        <f t="shared" si="13"/>
        <v>-1.9415042333053957E-4</v>
      </c>
      <c r="U22">
        <f t="shared" si="14"/>
        <v>0.99999992711890817</v>
      </c>
      <c r="V22">
        <f t="shared" si="15"/>
        <v>-3.8178814211906937E-4</v>
      </c>
      <c r="X22">
        <f t="shared" si="34"/>
        <v>48.987123127612605</v>
      </c>
      <c r="Y22">
        <f t="shared" si="16"/>
        <v>-88.44441138340882</v>
      </c>
      <c r="Z22">
        <f t="shared" si="35"/>
        <v>91.55558861659118</v>
      </c>
      <c r="AC22">
        <v>1</v>
      </c>
      <c r="AD22">
        <f t="shared" si="17"/>
        <v>2.1252874277250002E-2</v>
      </c>
      <c r="AE22">
        <f t="shared" si="18"/>
        <v>-1.00151810431174E-9</v>
      </c>
      <c r="AF22">
        <f t="shared" si="19"/>
        <v>2.6232298627500005E-6</v>
      </c>
      <c r="AG22">
        <f t="shared" si="36"/>
        <v>7956.2539946408506</v>
      </c>
      <c r="AH22">
        <f t="shared" si="37"/>
        <v>-381212.48257065949</v>
      </c>
      <c r="AJ22">
        <f t="shared" si="20"/>
        <v>20000</v>
      </c>
      <c r="AK22">
        <f t="shared" si="21"/>
        <v>3.8830085154000002</v>
      </c>
      <c r="AL22">
        <v>1</v>
      </c>
      <c r="AM22">
        <f t="shared" si="22"/>
        <v>9.6189283757700007E-3</v>
      </c>
      <c r="AN22">
        <f t="shared" si="38"/>
        <v>19998.187042460519</v>
      </c>
      <c r="AO22">
        <f t="shared" si="39"/>
        <v>-188.47812029127945</v>
      </c>
      <c r="AQ22">
        <f t="shared" si="23"/>
        <v>9900.9900990099013</v>
      </c>
      <c r="AR22">
        <f t="shared" si="24"/>
        <v>-990.09900990099004</v>
      </c>
      <c r="AT22">
        <f t="shared" ref="AT22:AT85" si="52">-AR22*AH22+AG22*AQ22</f>
        <v>-298663309.5289613</v>
      </c>
      <c r="AU22">
        <f t="shared" ref="AU22:AU85" si="53">AQ22*AH22+AG22*AR22</f>
        <v>-3782258494.7536988</v>
      </c>
      <c r="AV22">
        <f t="shared" si="42"/>
        <v>-1.6495970921498089</v>
      </c>
      <c r="AW22">
        <f t="shared" si="25"/>
        <v>197866100.21268976</v>
      </c>
      <c r="AX22">
        <f t="shared" si="26"/>
        <v>-24049283.907786012</v>
      </c>
      <c r="AY22">
        <f t="shared" si="50"/>
        <v>-0.12094996503691374</v>
      </c>
      <c r="BA22">
        <f t="shared" si="27"/>
        <v>19.034663342616827</v>
      </c>
      <c r="BB22">
        <f t="shared" si="43"/>
        <v>25.590904001009555</v>
      </c>
      <c r="BC22">
        <f t="shared" si="44"/>
        <v>-1.5286471271128952</v>
      </c>
      <c r="BD22">
        <f t="shared" si="28"/>
        <v>-267.58502884844768</v>
      </c>
      <c r="BF22">
        <f t="shared" si="29"/>
        <v>48.972991786489295</v>
      </c>
      <c r="BG22">
        <f t="shared" si="30"/>
        <v>-87.765065097209302</v>
      </c>
      <c r="BH22">
        <f t="shared" si="45"/>
        <v>92.234934902790698</v>
      </c>
      <c r="BI22">
        <f t="shared" si="46"/>
        <v>92.234934902790698</v>
      </c>
      <c r="BJ22">
        <f t="shared" si="31"/>
        <v>0</v>
      </c>
      <c r="BK22">
        <f t="shared" si="47"/>
        <v>0</v>
      </c>
      <c r="BM22">
        <f t="shared" si="48"/>
        <v>23.38208778547974</v>
      </c>
      <c r="BN22">
        <f t="shared" si="32"/>
        <v>-0.1800362487616583</v>
      </c>
      <c r="BQ22" s="66">
        <f t="shared" si="49"/>
        <v>42.492864801294694</v>
      </c>
      <c r="BR22" s="69"/>
      <c r="BS22" s="69"/>
      <c r="BT22" s="69">
        <v>131.82599999999999</v>
      </c>
      <c r="BU22" s="69">
        <v>32.155799999999999</v>
      </c>
      <c r="BV22" s="69">
        <v>-263.3605</v>
      </c>
      <c r="BW22" s="75"/>
      <c r="BY22" s="69"/>
      <c r="BZ22" s="69"/>
      <c r="CA22" s="69"/>
      <c r="CC22" s="69"/>
    </row>
    <row r="23" spans="1:81" x14ac:dyDescent="0.15">
      <c r="A23">
        <f t="shared" si="51"/>
        <v>60</v>
      </c>
      <c r="B23">
        <f t="shared" si="33"/>
        <v>0.06</v>
      </c>
      <c r="C23">
        <f t="shared" si="0"/>
        <v>1.0000000309542372</v>
      </c>
      <c r="D23">
        <f t="shared" si="1"/>
        <v>2.4881413274543225E-4</v>
      </c>
      <c r="F23">
        <f t="shared" si="2"/>
        <v>0.98408442134897023</v>
      </c>
      <c r="G23">
        <f t="shared" si="3"/>
        <v>-4.019665850387117E-3</v>
      </c>
      <c r="H23">
        <f t="shared" si="4"/>
        <v>-4.019665850387117E-3</v>
      </c>
      <c r="J23">
        <f t="shared" si="5"/>
        <v>15</v>
      </c>
      <c r="M23">
        <f t="shared" si="6"/>
        <v>15.883726873628378</v>
      </c>
      <c r="N23">
        <f t="shared" si="7"/>
        <v>-1.5707963250000001</v>
      </c>
      <c r="O23">
        <f t="shared" si="8"/>
        <v>1.0003251600942886</v>
      </c>
      <c r="P23">
        <f t="shared" si="9"/>
        <v>2.5497921921462666E-2</v>
      </c>
      <c r="Q23">
        <f t="shared" si="10"/>
        <v>1.0000666149050579</v>
      </c>
      <c r="R23">
        <f t="shared" si="11"/>
        <v>1.1542201463625706E-2</v>
      </c>
      <c r="S23">
        <f t="shared" si="12"/>
        <v>0.99999997286004183</v>
      </c>
      <c r="T23">
        <f t="shared" si="13"/>
        <v>-2.3298050670861242E-4</v>
      </c>
      <c r="U23">
        <f t="shared" si="14"/>
        <v>0.99999989505123266</v>
      </c>
      <c r="V23">
        <f t="shared" si="15"/>
        <v>-4.5814576074843568E-4</v>
      </c>
      <c r="X23">
        <f t="shared" si="34"/>
        <v>47.404922085213919</v>
      </c>
      <c r="Y23">
        <f t="shared" si="16"/>
        <v>-88.133409762084156</v>
      </c>
      <c r="Z23">
        <f t="shared" si="35"/>
        <v>91.866590237915844</v>
      </c>
      <c r="AC23">
        <v>1</v>
      </c>
      <c r="AD23">
        <f t="shared" si="17"/>
        <v>2.5503449132700001E-2</v>
      </c>
      <c r="AE23">
        <f t="shared" si="18"/>
        <v>-1.4421860702089057E-9</v>
      </c>
      <c r="AF23">
        <f t="shared" si="19"/>
        <v>3.1478758353000005E-6</v>
      </c>
      <c r="AG23">
        <f t="shared" si="36"/>
        <v>7956.2534843636804</v>
      </c>
      <c r="AH23">
        <f t="shared" si="37"/>
        <v>-317678.18259662791</v>
      </c>
      <c r="AJ23">
        <f t="shared" si="20"/>
        <v>20000</v>
      </c>
      <c r="AK23">
        <f t="shared" si="21"/>
        <v>4.6596102184800001</v>
      </c>
      <c r="AL23">
        <v>1</v>
      </c>
      <c r="AM23">
        <f t="shared" si="22"/>
        <v>1.1542714050924E-2</v>
      </c>
      <c r="AN23">
        <f t="shared" si="38"/>
        <v>19997.389447410125</v>
      </c>
      <c r="AO23">
        <f t="shared" si="39"/>
        <v>-226.16453793794017</v>
      </c>
      <c r="AQ23">
        <f t="shared" si="23"/>
        <v>9858.0441640378558</v>
      </c>
      <c r="AR23">
        <f t="shared" si="24"/>
        <v>-1182.9652996845425</v>
      </c>
      <c r="AT23">
        <f t="shared" si="52"/>
        <v>-297369168.24952352</v>
      </c>
      <c r="AU23">
        <f t="shared" si="53"/>
        <v>-3141097525.7763367</v>
      </c>
      <c r="AV23">
        <f t="shared" si="42"/>
        <v>-1.6651854766525207</v>
      </c>
      <c r="AW23">
        <f t="shared" si="25"/>
        <v>196918462.080089</v>
      </c>
      <c r="AX23">
        <f t="shared" si="26"/>
        <v>-27871727.262694873</v>
      </c>
      <c r="AY23">
        <f t="shared" si="50"/>
        <v>-0.14060546035762597</v>
      </c>
      <c r="BA23">
        <f t="shared" si="27"/>
        <v>15.864460175663782</v>
      </c>
      <c r="BB23">
        <f t="shared" si="43"/>
        <v>24.008505976608742</v>
      </c>
      <c r="BC23">
        <f t="shared" si="44"/>
        <v>-1.5245800162948948</v>
      </c>
      <c r="BD23">
        <f t="shared" si="28"/>
        <v>-267.352000563498</v>
      </c>
      <c r="BF23">
        <f t="shared" si="29"/>
        <v>47.390978560932524</v>
      </c>
      <c r="BG23">
        <f t="shared" si="30"/>
        <v>-87.568054452335346</v>
      </c>
      <c r="BH23">
        <f t="shared" si="45"/>
        <v>92.431945547664654</v>
      </c>
      <c r="BI23">
        <f t="shared" si="46"/>
        <v>92.431945547664654</v>
      </c>
      <c r="BJ23">
        <f t="shared" si="31"/>
        <v>0</v>
      </c>
      <c r="BK23">
        <f t="shared" si="47"/>
        <v>0</v>
      </c>
      <c r="BM23">
        <f t="shared" si="48"/>
        <v>23.382472584323786</v>
      </c>
      <c r="BN23">
        <f t="shared" si="32"/>
        <v>-0.21605388883740329</v>
      </c>
      <c r="BQ23" s="66">
        <f t="shared" si="49"/>
        <v>40.910466776893877</v>
      </c>
      <c r="BR23" s="68"/>
      <c r="BS23" s="68"/>
      <c r="BT23" s="68">
        <v>134.89599999999999</v>
      </c>
      <c r="BU23" s="68">
        <v>32.875300000000003</v>
      </c>
      <c r="BV23" s="68">
        <v>-269.46539999999999</v>
      </c>
      <c r="BW23" s="75"/>
      <c r="BY23" s="68"/>
      <c r="BZ23" s="68"/>
      <c r="CA23" s="68"/>
      <c r="CC23" s="68"/>
    </row>
    <row r="24" spans="1:81" x14ac:dyDescent="0.15">
      <c r="A24">
        <f t="shared" si="51"/>
        <v>70</v>
      </c>
      <c r="B24">
        <f t="shared" si="33"/>
        <v>7.0000000000000007E-2</v>
      </c>
      <c r="C24">
        <f t="shared" si="0"/>
        <v>1.000000042132156</v>
      </c>
      <c r="D24">
        <f t="shared" si="1"/>
        <v>2.9028315270649671E-4</v>
      </c>
      <c r="F24">
        <f t="shared" si="2"/>
        <v>0.98413593705934654</v>
      </c>
      <c r="G24">
        <f t="shared" si="3"/>
        <v>-4.6898602171063005E-3</v>
      </c>
      <c r="H24">
        <f t="shared" si="4"/>
        <v>-4.6898602171063005E-3</v>
      </c>
      <c r="J24">
        <f t="shared" si="5"/>
        <v>15</v>
      </c>
      <c r="M24">
        <f t="shared" si="6"/>
        <v>13.614623034538612</v>
      </c>
      <c r="N24">
        <f t="shared" si="7"/>
        <v>-1.5707963250000001</v>
      </c>
      <c r="O24">
        <f t="shared" si="8"/>
        <v>1.0004425530451448</v>
      </c>
      <c r="P24">
        <f t="shared" si="9"/>
        <v>2.9745248217448263E-2</v>
      </c>
      <c r="Q24">
        <f t="shared" si="10"/>
        <v>1.0000906691969846</v>
      </c>
      <c r="R24">
        <f t="shared" si="11"/>
        <v>1.3465685779926824E-2</v>
      </c>
      <c r="S24">
        <f t="shared" si="12"/>
        <v>0.99999996305950201</v>
      </c>
      <c r="T24">
        <f t="shared" si="13"/>
        <v>-2.7181058938412071E-4</v>
      </c>
      <c r="U24">
        <f t="shared" si="14"/>
        <v>0.99999985715307504</v>
      </c>
      <c r="V24">
        <f t="shared" si="15"/>
        <v>-5.3450337403537719E-4</v>
      </c>
      <c r="X24">
        <f t="shared" si="34"/>
        <v>46.067668847476668</v>
      </c>
      <c r="Y24">
        <f t="shared" si="16"/>
        <v>-87.822471435142916</v>
      </c>
      <c r="Z24">
        <f t="shared" si="35"/>
        <v>92.177528564857084</v>
      </c>
      <c r="AC24">
        <v>1</v>
      </c>
      <c r="AD24">
        <f t="shared" si="17"/>
        <v>2.9754023988150004E-2</v>
      </c>
      <c r="AE24">
        <f t="shared" si="18"/>
        <v>-1.9629754844510108E-9</v>
      </c>
      <c r="AF24">
        <f t="shared" si="19"/>
        <v>3.6725218078500001E-6</v>
      </c>
      <c r="AG24">
        <f t="shared" si="36"/>
        <v>7956.2528813089311</v>
      </c>
      <c r="AH24">
        <f t="shared" si="37"/>
        <v>-272296.713335187</v>
      </c>
      <c r="AJ24">
        <f t="shared" si="20"/>
        <v>20000</v>
      </c>
      <c r="AK24">
        <f t="shared" si="21"/>
        <v>5.43621192156</v>
      </c>
      <c r="AL24">
        <v>1</v>
      </c>
      <c r="AM24">
        <f t="shared" si="22"/>
        <v>1.3466499726078E-2</v>
      </c>
      <c r="AN24">
        <f t="shared" si="38"/>
        <v>19996.446918788151</v>
      </c>
      <c r="AO24">
        <f t="shared" si="39"/>
        <v>-263.84593503283384</v>
      </c>
      <c r="AQ24">
        <f t="shared" si="23"/>
        <v>9807.7677520596299</v>
      </c>
      <c r="AR24">
        <f t="shared" si="24"/>
        <v>-1373.0874852883483</v>
      </c>
      <c r="AT24">
        <f t="shared" si="52"/>
        <v>-295854128.92916095</v>
      </c>
      <c r="AU24">
        <f t="shared" si="53"/>
        <v>-2681547555.3017869</v>
      </c>
      <c r="AV24">
        <f t="shared" si="42"/>
        <v>-1.680681523433555</v>
      </c>
      <c r="AW24">
        <f t="shared" si="25"/>
        <v>195809080.15118766</v>
      </c>
      <c r="AX24">
        <f t="shared" si="26"/>
        <v>-31747026.051646978</v>
      </c>
      <c r="AY24">
        <f t="shared" si="50"/>
        <v>-0.16073388992872376</v>
      </c>
      <c r="BA24">
        <f t="shared" si="27"/>
        <v>13.60020840471279</v>
      </c>
      <c r="BB24">
        <f t="shared" si="43"/>
        <v>22.670911267879788</v>
      </c>
      <c r="BC24">
        <f t="shared" si="44"/>
        <v>-1.5199476335048312</v>
      </c>
      <c r="BD24">
        <f t="shared" si="28"/>
        <v>-267.08658458023501</v>
      </c>
      <c r="BF24">
        <f t="shared" si="29"/>
        <v>46.053838633926119</v>
      </c>
      <c r="BG24">
        <f t="shared" si="30"/>
        <v>-87.338661777955693</v>
      </c>
      <c r="BH24">
        <f t="shared" si="45"/>
        <v>92.661338222044307</v>
      </c>
      <c r="BI24">
        <f t="shared" si="46"/>
        <v>92.661338222044307</v>
      </c>
      <c r="BJ24">
        <f t="shared" si="31"/>
        <v>0</v>
      </c>
      <c r="BK24">
        <f t="shared" si="47"/>
        <v>0</v>
      </c>
      <c r="BM24">
        <f t="shared" si="48"/>
        <v>23.382927366046339</v>
      </c>
      <c r="BN24">
        <f t="shared" si="32"/>
        <v>-0.25207719772070536</v>
      </c>
      <c r="BQ24" s="66">
        <f t="shared" si="49"/>
        <v>39.572872068164926</v>
      </c>
      <c r="BR24" s="68"/>
      <c r="BS24" s="68"/>
      <c r="BT24" s="68">
        <v>138.03800000000001</v>
      </c>
      <c r="BU24" s="68">
        <v>32.538699999999999</v>
      </c>
      <c r="BV24" s="68">
        <v>-267.95069999999998</v>
      </c>
      <c r="BW24" s="75"/>
      <c r="BY24" s="68"/>
      <c r="BZ24" s="68"/>
      <c r="CA24" s="68"/>
      <c r="CC24" s="68"/>
    </row>
    <row r="25" spans="1:81" x14ac:dyDescent="0.15">
      <c r="A25">
        <f t="shared" si="51"/>
        <v>80</v>
      </c>
      <c r="B25">
        <f t="shared" si="33"/>
        <v>0.08</v>
      </c>
      <c r="C25">
        <f t="shared" si="0"/>
        <v>1.0000000550297543</v>
      </c>
      <c r="D25">
        <f t="shared" si="1"/>
        <v>3.3175217166917306E-4</v>
      </c>
      <c r="F25">
        <f t="shared" si="2"/>
        <v>0.9841953845820125</v>
      </c>
      <c r="G25">
        <f t="shared" si="3"/>
        <v>-5.3601700318390965E-3</v>
      </c>
      <c r="H25">
        <f t="shared" si="4"/>
        <v>-5.3601700318390965E-3</v>
      </c>
      <c r="J25">
        <f t="shared" si="5"/>
        <v>15</v>
      </c>
      <c r="M25">
        <f t="shared" si="6"/>
        <v>11.912795155221286</v>
      </c>
      <c r="N25">
        <f t="shared" si="7"/>
        <v>-1.5707963250000001</v>
      </c>
      <c r="O25">
        <f t="shared" si="8"/>
        <v>1.0005779893354212</v>
      </c>
      <c r="P25">
        <f t="shared" si="9"/>
        <v>3.3991501279012723E-2</v>
      </c>
      <c r="Q25">
        <f t="shared" si="10"/>
        <v>1.0001184234303113</v>
      </c>
      <c r="R25">
        <f t="shared" si="11"/>
        <v>1.5389070455019135E-2</v>
      </c>
      <c r="S25">
        <f t="shared" si="12"/>
        <v>0.99999995175118717</v>
      </c>
      <c r="T25">
        <f t="shared" si="13"/>
        <v>-3.1064067123997045E-4</v>
      </c>
      <c r="U25">
        <f t="shared" si="14"/>
        <v>0.99999981342443678</v>
      </c>
      <c r="V25">
        <f t="shared" si="15"/>
        <v>-6.1086098108949064E-4</v>
      </c>
      <c r="X25">
        <f t="shared" si="34"/>
        <v>44.909771033917593</v>
      </c>
      <c r="Y25">
        <f t="shared" si="16"/>
        <v>-87.511606923362308</v>
      </c>
      <c r="Z25">
        <f t="shared" si="35"/>
        <v>92.488393076637692</v>
      </c>
      <c r="AC25">
        <v>1</v>
      </c>
      <c r="AD25">
        <f t="shared" si="17"/>
        <v>3.4004598843600006E-2</v>
      </c>
      <c r="AE25">
        <f t="shared" si="18"/>
        <v>-2.5638863470380544E-9</v>
      </c>
      <c r="AF25">
        <f t="shared" si="19"/>
        <v>4.1971677804000001E-6</v>
      </c>
      <c r="AG25">
        <f t="shared" si="36"/>
        <v>7956.2521854766392</v>
      </c>
      <c r="AH25">
        <f t="shared" si="37"/>
        <v>-238260.76326904609</v>
      </c>
      <c r="AJ25">
        <f t="shared" si="20"/>
        <v>20000</v>
      </c>
      <c r="AK25">
        <f t="shared" si="21"/>
        <v>6.2128136246399999</v>
      </c>
      <c r="AL25">
        <v>1</v>
      </c>
      <c r="AM25">
        <f t="shared" si="22"/>
        <v>1.5390285401231999E-2</v>
      </c>
      <c r="AN25">
        <f t="shared" si="38"/>
        <v>19995.359498433507</v>
      </c>
      <c r="AO25">
        <f t="shared" si="39"/>
        <v>-301.52147575648672</v>
      </c>
      <c r="AQ25">
        <f t="shared" si="23"/>
        <v>9750.3900156006239</v>
      </c>
      <c r="AR25">
        <f t="shared" si="24"/>
        <v>-1560.0624024960998</v>
      </c>
      <c r="AT25">
        <f t="shared" si="52"/>
        <v>-294125096.89519048</v>
      </c>
      <c r="AU25">
        <f t="shared" si="53"/>
        <v>-2335547617.1872306</v>
      </c>
      <c r="AV25">
        <f t="shared" si="42"/>
        <v>-1.6960709486833747</v>
      </c>
      <c r="AW25">
        <f t="shared" si="25"/>
        <v>194543015.3444424</v>
      </c>
      <c r="AX25">
        <f t="shared" si="26"/>
        <v>-35623731.356018901</v>
      </c>
      <c r="AY25">
        <f t="shared" si="50"/>
        <v>-0.18110846853280083</v>
      </c>
      <c r="BA25">
        <f t="shared" si="27"/>
        <v>11.902223858752825</v>
      </c>
      <c r="BB25">
        <f t="shared" si="43"/>
        <v>21.512562285584089</v>
      </c>
      <c r="BC25">
        <f t="shared" si="44"/>
        <v>-1.5149624801505739</v>
      </c>
      <c r="BD25">
        <f t="shared" si="28"/>
        <v>-266.80095633248419</v>
      </c>
      <c r="BF25">
        <f t="shared" si="29"/>
        <v>44.896014425959663</v>
      </c>
      <c r="BG25">
        <f t="shared" si="30"/>
        <v>-87.089063453829326</v>
      </c>
      <c r="BH25">
        <f t="shared" si="45"/>
        <v>92.910936546170674</v>
      </c>
      <c r="BI25">
        <f t="shared" si="46"/>
        <v>92.910936546170674</v>
      </c>
      <c r="BJ25">
        <f t="shared" si="31"/>
        <v>0</v>
      </c>
      <c r="BK25">
        <f t="shared" si="47"/>
        <v>0</v>
      </c>
      <c r="BM25">
        <f t="shared" si="48"/>
        <v>23.383452140375582</v>
      </c>
      <c r="BN25">
        <f t="shared" si="32"/>
        <v>-0.28810712134515154</v>
      </c>
      <c r="BQ25" s="66">
        <f t="shared" si="49"/>
        <v>38.414523085869227</v>
      </c>
      <c r="BR25" s="68"/>
      <c r="BS25" s="68"/>
      <c r="BT25" s="68">
        <v>141.25399999999999</v>
      </c>
      <c r="BU25" s="68">
        <v>32.377000000000002</v>
      </c>
      <c r="BV25" s="68">
        <v>-263.11430000000001</v>
      </c>
      <c r="BW25" s="75"/>
      <c r="BY25" s="68"/>
      <c r="BZ25" s="68"/>
      <c r="CA25" s="68"/>
      <c r="CC25" s="68"/>
    </row>
    <row r="26" spans="1:81" x14ac:dyDescent="0.15">
      <c r="A26">
        <f t="shared" si="51"/>
        <v>90</v>
      </c>
      <c r="B26">
        <f t="shared" si="33"/>
        <v>0.09</v>
      </c>
      <c r="C26">
        <f t="shared" si="0"/>
        <v>1.0000000696470321</v>
      </c>
      <c r="D26">
        <f t="shared" si="1"/>
        <v>3.7322118949083461E-4</v>
      </c>
      <c r="F26">
        <f t="shared" si="2"/>
        <v>0.98426276662615064</v>
      </c>
      <c r="G26">
        <f t="shared" si="3"/>
        <v>-6.0306118132255901E-3</v>
      </c>
      <c r="H26">
        <f t="shared" si="4"/>
        <v>-6.0306118132255901E-3</v>
      </c>
      <c r="J26">
        <f t="shared" si="5"/>
        <v>15</v>
      </c>
      <c r="M26">
        <f t="shared" si="6"/>
        <v>10.589151249085587</v>
      </c>
      <c r="N26">
        <f t="shared" si="7"/>
        <v>-1.5707963250000001</v>
      </c>
      <c r="O26">
        <f t="shared" si="8"/>
        <v>1.0007314616393075</v>
      </c>
      <c r="P26">
        <f t="shared" si="9"/>
        <v>3.8236528450895917E-2</v>
      </c>
      <c r="Q26">
        <f t="shared" si="10"/>
        <v>1.000149877297017</v>
      </c>
      <c r="R26">
        <f t="shared" si="11"/>
        <v>1.7312341267084266E-2</v>
      </c>
      <c r="S26">
        <f t="shared" si="12"/>
        <v>0.99999993893509731</v>
      </c>
      <c r="T26">
        <f t="shared" si="13"/>
        <v>-3.4947075215906745E-4</v>
      </c>
      <c r="U26">
        <f t="shared" si="14"/>
        <v>0.99999976386532019</v>
      </c>
      <c r="V26">
        <f t="shared" si="15"/>
        <v>-6.8721858102037349E-4</v>
      </c>
      <c r="X26">
        <f t="shared" si="34"/>
        <v>43.88892016080753</v>
      </c>
      <c r="Y26">
        <f t="shared" si="16"/>
        <v>-87.200826734493432</v>
      </c>
      <c r="Z26">
        <f t="shared" si="35"/>
        <v>92.799173265506568</v>
      </c>
      <c r="AC26">
        <v>1</v>
      </c>
      <c r="AD26">
        <f t="shared" si="17"/>
        <v>3.8255173699050002E-2</v>
      </c>
      <c r="AE26">
        <f t="shared" si="18"/>
        <v>-3.2449186579700374E-9</v>
      </c>
      <c r="AF26">
        <f t="shared" si="19"/>
        <v>4.7218137529500001E-6</v>
      </c>
      <c r="AG26">
        <f t="shared" si="36"/>
        <v>7956.2513968668536</v>
      </c>
      <c r="AH26">
        <f t="shared" si="37"/>
        <v>-211788.49266636767</v>
      </c>
      <c r="AJ26">
        <f t="shared" si="20"/>
        <v>20000</v>
      </c>
      <c r="AK26">
        <f t="shared" si="21"/>
        <v>6.9894153277200006</v>
      </c>
      <c r="AL26">
        <v>1</v>
      </c>
      <c r="AM26">
        <f t="shared" si="22"/>
        <v>1.7314071076385999E-2</v>
      </c>
      <c r="AN26">
        <f t="shared" si="38"/>
        <v>19994.127234609328</v>
      </c>
      <c r="AO26">
        <f t="shared" si="39"/>
        <v>-339.19032472261097</v>
      </c>
      <c r="AQ26">
        <f t="shared" si="23"/>
        <v>9686.1681518791174</v>
      </c>
      <c r="AR26">
        <f t="shared" si="24"/>
        <v>-1743.510267338241</v>
      </c>
      <c r="AT26">
        <f t="shared" si="52"/>
        <v>-292189822.57922632</v>
      </c>
      <c r="AU26">
        <f t="shared" si="53"/>
        <v>-2065290758.5994163</v>
      </c>
      <c r="AV26">
        <f t="shared" si="42"/>
        <v>-1.7113399551562185</v>
      </c>
      <c r="AW26">
        <f t="shared" si="25"/>
        <v>193125947.95436171</v>
      </c>
      <c r="AX26">
        <f t="shared" si="26"/>
        <v>-39469819.82133504</v>
      </c>
      <c r="AY26">
        <f t="shared" si="50"/>
        <v>-0.20159725933302927</v>
      </c>
      <c r="BA26">
        <f t="shared" si="27"/>
        <v>10.581770983548543</v>
      </c>
      <c r="BB26">
        <f t="shared" si="43"/>
        <v>20.491167161200259</v>
      </c>
      <c r="BC26">
        <f t="shared" si="44"/>
        <v>-1.5097426958231892</v>
      </c>
      <c r="BD26">
        <f t="shared" si="28"/>
        <v>-266.50188472021478</v>
      </c>
      <c r="BF26">
        <f t="shared" si="29"/>
        <v>43.875214079738186</v>
      </c>
      <c r="BG26">
        <f t="shared" si="30"/>
        <v>-86.826029326382042</v>
      </c>
      <c r="BH26">
        <f t="shared" si="45"/>
        <v>93.173970673617958</v>
      </c>
      <c r="BI26">
        <f t="shared" si="46"/>
        <v>93.173970673617958</v>
      </c>
      <c r="BJ26">
        <f t="shared" si="31"/>
        <v>0</v>
      </c>
      <c r="BK26">
        <f t="shared" si="47"/>
        <v>0</v>
      </c>
      <c r="BM26">
        <f t="shared" si="48"/>
        <v>23.384046918537926</v>
      </c>
      <c r="BN26">
        <f t="shared" si="32"/>
        <v>-0.32414460616727503</v>
      </c>
      <c r="BQ26" s="66">
        <f t="shared" si="49"/>
        <v>37.393127961485398</v>
      </c>
      <c r="BR26" s="68"/>
      <c r="BS26" s="68"/>
      <c r="BT26" s="68">
        <v>144.54400000000001</v>
      </c>
      <c r="BU26" s="68">
        <v>31.499099999999999</v>
      </c>
      <c r="BV26" s="68">
        <v>-266.2885</v>
      </c>
      <c r="BW26" s="75"/>
      <c r="BY26" s="68"/>
      <c r="BZ26" s="68"/>
      <c r="CA26" s="68"/>
      <c r="CC26" s="68"/>
    </row>
    <row r="27" spans="1:81" x14ac:dyDescent="0.15">
      <c r="A27">
        <f t="shared" si="51"/>
        <v>100</v>
      </c>
      <c r="B27">
        <f t="shared" si="33"/>
        <v>0.1</v>
      </c>
      <c r="C27">
        <f t="shared" si="0"/>
        <v>1.0000000859839897</v>
      </c>
      <c r="D27">
        <f t="shared" si="1"/>
        <v>4.1469020602885452E-4</v>
      </c>
      <c r="F27">
        <f t="shared" si="2"/>
        <v>0.98433808626303609</v>
      </c>
      <c r="G27">
        <f t="shared" si="3"/>
        <v>-6.7012020903410175E-3</v>
      </c>
      <c r="H27">
        <f t="shared" si="4"/>
        <v>-6.7012020903410175E-3</v>
      </c>
      <c r="J27">
        <f t="shared" si="5"/>
        <v>15</v>
      </c>
      <c r="M27">
        <f t="shared" si="6"/>
        <v>9.5302361241770281</v>
      </c>
      <c r="N27">
        <f t="shared" si="7"/>
        <v>-1.5707963250000001</v>
      </c>
      <c r="O27">
        <f t="shared" si="8"/>
        <v>1.0009029616602092</v>
      </c>
      <c r="P27">
        <f t="shared" si="9"/>
        <v>4.2480177342681918E-2</v>
      </c>
      <c r="Q27">
        <f t="shared" si="10"/>
        <v>1.0001850304480631</v>
      </c>
      <c r="R27">
        <f t="shared" si="11"/>
        <v>1.9235483999357001E-2</v>
      </c>
      <c r="S27">
        <f t="shared" si="12"/>
        <v>0.99999992461123288</v>
      </c>
      <c r="T27">
        <f t="shared" si="13"/>
        <v>-3.8830083202431788E-4</v>
      </c>
      <c r="U27">
        <f t="shared" si="14"/>
        <v>0.99999970847572806</v>
      </c>
      <c r="V27">
        <f t="shared" si="15"/>
        <v>-7.6357617293762317E-4</v>
      </c>
      <c r="X27">
        <f t="shared" si="34"/>
        <v>42.976228237969408</v>
      </c>
      <c r="Y27">
        <f t="shared" si="16"/>
        <v>-86.890141361421342</v>
      </c>
      <c r="Z27">
        <f t="shared" si="35"/>
        <v>93.109858638578658</v>
      </c>
      <c r="AC27">
        <v>1</v>
      </c>
      <c r="AD27">
        <f t="shared" si="17"/>
        <v>4.2505748554500004E-2</v>
      </c>
      <c r="AE27">
        <f t="shared" si="18"/>
        <v>-4.0060724172469601E-9</v>
      </c>
      <c r="AF27">
        <f t="shared" si="19"/>
        <v>5.246459725500001E-6</v>
      </c>
      <c r="AG27">
        <f t="shared" si="36"/>
        <v>7956.2505154796299</v>
      </c>
      <c r="AH27">
        <f t="shared" si="37"/>
        <v>-190610.7976880408</v>
      </c>
      <c r="AJ27">
        <f t="shared" si="20"/>
        <v>20000</v>
      </c>
      <c r="AK27">
        <f t="shared" si="21"/>
        <v>7.7660170308000005</v>
      </c>
      <c r="AL27">
        <v>1</v>
      </c>
      <c r="AM27">
        <f t="shared" si="22"/>
        <v>1.9237856751540001E-2</v>
      </c>
      <c r="AN27">
        <f t="shared" si="38"/>
        <v>19992.750181997664</v>
      </c>
      <c r="AO27">
        <f t="shared" si="39"/>
        <v>-376.85164703979638</v>
      </c>
      <c r="AQ27">
        <f t="shared" si="23"/>
        <v>9615.3846153846152</v>
      </c>
      <c r="AR27">
        <f t="shared" si="24"/>
        <v>-1923.0769230769231</v>
      </c>
      <c r="AT27">
        <f t="shared" si="52"/>
        <v>-290056817.52046669</v>
      </c>
      <c r="AU27">
        <f t="shared" si="53"/>
        <v>-1848096613.3763146</v>
      </c>
      <c r="AV27">
        <f t="shared" si="42"/>
        <v>-1.7264752854750329</v>
      </c>
      <c r="AW27">
        <f t="shared" si="25"/>
        <v>191564116.08973092</v>
      </c>
      <c r="AX27">
        <f t="shared" si="26"/>
        <v>-43263288.683803871</v>
      </c>
      <c r="AY27">
        <f t="shared" si="50"/>
        <v>-0.22211605112504762</v>
      </c>
      <c r="BA27">
        <f t="shared" si="27"/>
        <v>9.5255998210017943</v>
      </c>
      <c r="BB27">
        <f t="shared" si="43"/>
        <v>19.577846649156413</v>
      </c>
      <c r="BC27">
        <f t="shared" si="44"/>
        <v>-1.5043592343499852</v>
      </c>
      <c r="BD27">
        <f t="shared" si="28"/>
        <v>-266.19343509827644</v>
      </c>
      <c r="BF27">
        <f t="shared" si="29"/>
        <v>42.962558362415059</v>
      </c>
      <c r="BG27">
        <f t="shared" si="30"/>
        <v>-86.55362569751793</v>
      </c>
      <c r="BH27">
        <f t="shared" si="45"/>
        <v>93.44637430248207</v>
      </c>
      <c r="BI27">
        <f t="shared" si="46"/>
        <v>93.44637430248207</v>
      </c>
      <c r="BJ27">
        <f t="shared" si="31"/>
        <v>0</v>
      </c>
      <c r="BK27">
        <f t="shared" si="47"/>
        <v>0</v>
      </c>
      <c r="BM27">
        <f t="shared" si="48"/>
        <v>23.384711713258643</v>
      </c>
      <c r="BN27">
        <f t="shared" si="32"/>
        <v>-0.36019059924149921</v>
      </c>
      <c r="BQ27" s="66">
        <f t="shared" si="49"/>
        <v>36.479807449441552</v>
      </c>
      <c r="BR27" s="68"/>
      <c r="BS27" s="68"/>
      <c r="BT27" s="68">
        <v>147.911</v>
      </c>
      <c r="BU27" s="68">
        <v>31.4819</v>
      </c>
      <c r="BV27" s="68">
        <v>-266.34629999999999</v>
      </c>
      <c r="BW27" s="75"/>
      <c r="BY27" s="68"/>
      <c r="BZ27" s="68"/>
      <c r="CA27" s="68"/>
      <c r="CC27" s="68"/>
    </row>
    <row r="28" spans="1:81" x14ac:dyDescent="0.15">
      <c r="A28">
        <f t="shared" si="51"/>
        <v>200</v>
      </c>
      <c r="B28">
        <f t="shared" si="33"/>
        <v>0.2</v>
      </c>
      <c r="C28">
        <f t="shared" si="0"/>
        <v>1.0000003439359142</v>
      </c>
      <c r="D28">
        <f t="shared" si="1"/>
        <v>8.2938026943089481E-4</v>
      </c>
      <c r="F28">
        <f t="shared" si="2"/>
        <v>0.98552878557940127</v>
      </c>
      <c r="G28">
        <f t="shared" si="3"/>
        <v>-1.3418918612624302E-2</v>
      </c>
      <c r="H28">
        <f t="shared" si="4"/>
        <v>-1.3418918612624302E-2</v>
      </c>
      <c r="J28">
        <f t="shared" si="5"/>
        <v>15</v>
      </c>
      <c r="M28">
        <f t="shared" si="6"/>
        <v>4.7651180620885141</v>
      </c>
      <c r="N28">
        <f t="shared" si="7"/>
        <v>-1.5707963250000001</v>
      </c>
      <c r="O28">
        <f t="shared" si="8"/>
        <v>1.0036069721961449</v>
      </c>
      <c r="P28">
        <f t="shared" si="9"/>
        <v>8.480758915036625E-2</v>
      </c>
      <c r="Q28">
        <f t="shared" si="10"/>
        <v>1.0007399165265525</v>
      </c>
      <c r="R28">
        <f t="shared" si="11"/>
        <v>3.8456744117000292E-2</v>
      </c>
      <c r="S28">
        <f t="shared" si="12"/>
        <v>0.99999969844503378</v>
      </c>
      <c r="T28">
        <f t="shared" si="13"/>
        <v>-7.766015469545856E-4</v>
      </c>
      <c r="U28">
        <f t="shared" si="14"/>
        <v>0.99999883390444255</v>
      </c>
      <c r="V28">
        <f t="shared" si="15"/>
        <v>-1.5271514554722903E-3</v>
      </c>
      <c r="X28">
        <f t="shared" si="34"/>
        <v>36.994372854838574</v>
      </c>
      <c r="Y28">
        <f t="shared" si="16"/>
        <v>-83.790796669353554</v>
      </c>
      <c r="Z28">
        <f t="shared" si="35"/>
        <v>96.209203330646446</v>
      </c>
      <c r="AC28">
        <v>1</v>
      </c>
      <c r="AD28">
        <f t="shared" si="17"/>
        <v>8.5011497109000009E-2</v>
      </c>
      <c r="AE28">
        <f t="shared" si="18"/>
        <v>-1.6024289668987841E-8</v>
      </c>
      <c r="AF28">
        <f t="shared" si="19"/>
        <v>1.0492919451000002E-5</v>
      </c>
      <c r="AG28">
        <f t="shared" si="36"/>
        <v>7956.2365988651763</v>
      </c>
      <c r="AH28">
        <f t="shared" si="37"/>
        <v>-95314.511629517991</v>
      </c>
      <c r="AJ28">
        <f t="shared" si="20"/>
        <v>20000</v>
      </c>
      <c r="AK28">
        <f t="shared" si="21"/>
        <v>15.532034061600001</v>
      </c>
      <c r="AL28">
        <v>1</v>
      </c>
      <c r="AM28">
        <f t="shared" si="22"/>
        <v>3.8475713503080003E-2</v>
      </c>
      <c r="AN28">
        <f t="shared" si="38"/>
        <v>19971.032877864862</v>
      </c>
      <c r="AO28">
        <f t="shared" si="39"/>
        <v>-752.86770530771969</v>
      </c>
      <c r="AQ28">
        <f t="shared" si="23"/>
        <v>8620.689655172413</v>
      </c>
      <c r="AR28">
        <f t="shared" si="24"/>
        <v>-3448.2758620689651</v>
      </c>
      <c r="AT28">
        <f t="shared" si="52"/>
        <v>-260082483.21501738</v>
      </c>
      <c r="AU28">
        <f t="shared" si="53"/>
        <v>-849112123.00917292</v>
      </c>
      <c r="AV28">
        <f t="shared" si="42"/>
        <v>-1.8680222662123673</v>
      </c>
      <c r="AW28">
        <f t="shared" si="25"/>
        <v>169618781.21657544</v>
      </c>
      <c r="AX28">
        <f t="shared" si="26"/>
        <v>-75953185.63178055</v>
      </c>
      <c r="AY28">
        <f t="shared" si="50"/>
        <v>-0.42101256352487881</v>
      </c>
      <c r="BA28">
        <f t="shared" si="27"/>
        <v>4.7783760627642673</v>
      </c>
      <c r="BB28">
        <f t="shared" si="43"/>
        <v>13.585606522996327</v>
      </c>
      <c r="BC28">
        <f t="shared" si="44"/>
        <v>-1.4470097026874886</v>
      </c>
      <c r="BD28">
        <f t="shared" si="28"/>
        <v>-262.90754897320886</v>
      </c>
      <c r="BF28">
        <f t="shared" si="29"/>
        <v>36.980820967221938</v>
      </c>
      <c r="BG28">
        <f t="shared" si="30"/>
        <v>-83.628876387116165</v>
      </c>
      <c r="BH28">
        <f t="shared" si="45"/>
        <v>96.371123612883835</v>
      </c>
      <c r="BI28">
        <f t="shared" si="46"/>
        <v>96.371123612883835</v>
      </c>
      <c r="BJ28">
        <f t="shared" si="31"/>
        <v>0</v>
      </c>
      <c r="BK28">
        <f t="shared" si="47"/>
        <v>0</v>
      </c>
      <c r="BM28">
        <f t="shared" si="48"/>
        <v>23.395214444225608</v>
      </c>
      <c r="BN28">
        <f t="shared" si="32"/>
        <v>-0.7213274139073419</v>
      </c>
      <c r="BQ28" s="66">
        <f t="shared" si="49"/>
        <v>30.487567323281468</v>
      </c>
      <c r="BR28" s="68"/>
      <c r="BS28" s="68"/>
      <c r="BT28" s="68">
        <v>151.35599999999999</v>
      </c>
      <c r="BU28" s="68">
        <v>31.0519</v>
      </c>
      <c r="BV28" s="68">
        <v>-267.0283</v>
      </c>
      <c r="BW28" s="75"/>
      <c r="BY28" s="68"/>
      <c r="BZ28" s="68"/>
      <c r="CA28" s="68"/>
      <c r="CC28" s="68"/>
    </row>
    <row r="29" spans="1:81" x14ac:dyDescent="0.15">
      <c r="A29">
        <f t="shared" si="51"/>
        <v>300</v>
      </c>
      <c r="B29">
        <f t="shared" si="33"/>
        <v>0.3</v>
      </c>
      <c r="C29">
        <f t="shared" si="0"/>
        <v>1.0000007738556407</v>
      </c>
      <c r="D29">
        <f t="shared" si="1"/>
        <v>1.2440700475796007E-3</v>
      </c>
      <c r="F29">
        <f t="shared" si="2"/>
        <v>0.98751932866131964</v>
      </c>
      <c r="G29">
        <f t="shared" si="3"/>
        <v>-2.0169794907219367E-2</v>
      </c>
      <c r="H29">
        <f t="shared" si="4"/>
        <v>-2.0169794907219367E-2</v>
      </c>
      <c r="J29">
        <f t="shared" si="5"/>
        <v>15</v>
      </c>
      <c r="M29">
        <f t="shared" si="6"/>
        <v>3.1767453747256762</v>
      </c>
      <c r="N29">
        <f t="shared" si="7"/>
        <v>-1.5707963250000001</v>
      </c>
      <c r="O29">
        <f t="shared" si="8"/>
        <v>1.0080975389026627</v>
      </c>
      <c r="P29">
        <f t="shared" si="9"/>
        <v>0.1268327406392995</v>
      </c>
      <c r="Q29">
        <f t="shared" si="10"/>
        <v>1.0016640435752573</v>
      </c>
      <c r="R29">
        <f t="shared" si="11"/>
        <v>5.7649619478281518E-2</v>
      </c>
      <c r="S29">
        <f t="shared" si="12"/>
        <v>0.99999932150170967</v>
      </c>
      <c r="T29">
        <f t="shared" si="13"/>
        <v>-1.1649020276969647E-3</v>
      </c>
      <c r="U29">
        <f t="shared" si="14"/>
        <v>0.9999973762907326</v>
      </c>
      <c r="V29">
        <f t="shared" si="15"/>
        <v>-2.2907249572072753E-3</v>
      </c>
      <c r="X29">
        <f t="shared" si="34"/>
        <v>33.536856217729117</v>
      </c>
      <c r="Y29">
        <f t="shared" si="16"/>
        <v>-80.712296360526977</v>
      </c>
      <c r="Z29">
        <f t="shared" si="35"/>
        <v>99.287703639473023</v>
      </c>
      <c r="AC29">
        <v>1</v>
      </c>
      <c r="AD29">
        <f t="shared" si="17"/>
        <v>0.12751724566350001</v>
      </c>
      <c r="AE29">
        <f t="shared" si="18"/>
        <v>-3.6054651755222641E-8</v>
      </c>
      <c r="AF29">
        <f t="shared" si="19"/>
        <v>1.5739379176500002E-5</v>
      </c>
      <c r="AG29">
        <f t="shared" si="36"/>
        <v>7956.2134046159381</v>
      </c>
      <c r="AH29">
        <f t="shared" si="37"/>
        <v>-63553.133023003356</v>
      </c>
      <c r="AJ29">
        <f t="shared" si="20"/>
        <v>20000</v>
      </c>
      <c r="AK29">
        <f t="shared" si="21"/>
        <v>23.298051092400001</v>
      </c>
      <c r="AL29">
        <v>1</v>
      </c>
      <c r="AM29">
        <f t="shared" si="22"/>
        <v>5.7713570254620004E-2</v>
      </c>
      <c r="AN29">
        <f t="shared" si="38"/>
        <v>19934.944181453815</v>
      </c>
      <c r="AO29">
        <f t="shared" si="39"/>
        <v>-1127.2187504458632</v>
      </c>
      <c r="AQ29">
        <f t="shared" si="23"/>
        <v>7352.9411764705892</v>
      </c>
      <c r="AR29">
        <f t="shared" si="24"/>
        <v>-4411.7647058823532</v>
      </c>
      <c r="AT29">
        <f t="shared" si="52"/>
        <v>-221879900.0675447</v>
      </c>
      <c r="AU29">
        <f t="shared" si="53"/>
        <v>-502403390.18950683</v>
      </c>
      <c r="AV29">
        <f t="shared" si="42"/>
        <v>-1.9866738113833884</v>
      </c>
      <c r="AW29">
        <f t="shared" si="25"/>
        <v>141658168.38258219</v>
      </c>
      <c r="AX29">
        <f t="shared" si="26"/>
        <v>-96636259.515268639</v>
      </c>
      <c r="AY29">
        <f t="shared" si="50"/>
        <v>-0.59866531874342299</v>
      </c>
      <c r="BA29">
        <f t="shared" si="27"/>
        <v>3.2027962813467097</v>
      </c>
      <c r="BB29">
        <f t="shared" si="43"/>
        <v>10.110586311829779</v>
      </c>
      <c r="BC29">
        <f t="shared" si="44"/>
        <v>-1.3880084926399654</v>
      </c>
      <c r="BD29">
        <f t="shared" si="28"/>
        <v>-259.52702864745811</v>
      </c>
      <c r="BF29">
        <f t="shared" si="29"/>
        <v>33.523330310637775</v>
      </c>
      <c r="BG29">
        <f t="shared" si="30"/>
        <v>-80.611392807380327</v>
      </c>
      <c r="BH29">
        <f t="shared" si="45"/>
        <v>99.388607192619673</v>
      </c>
      <c r="BI29">
        <f t="shared" si="46"/>
        <v>99.388607192619673</v>
      </c>
      <c r="BJ29">
        <f t="shared" si="31"/>
        <v>0</v>
      </c>
      <c r="BK29">
        <f t="shared" si="47"/>
        <v>0</v>
      </c>
      <c r="BM29">
        <f t="shared" si="48"/>
        <v>23.412743998807994</v>
      </c>
      <c r="BN29">
        <f t="shared" si="32"/>
        <v>-1.0843641599222478</v>
      </c>
      <c r="BQ29" s="66">
        <f t="shared" si="49"/>
        <v>27.012547112114916</v>
      </c>
      <c r="BR29" s="68"/>
      <c r="BS29" s="68"/>
      <c r="BT29" s="68">
        <v>154.88200000000001</v>
      </c>
      <c r="BU29" s="68">
        <v>31.248699999999999</v>
      </c>
      <c r="BV29" s="68">
        <v>-260.69729999999998</v>
      </c>
      <c r="BW29" s="75"/>
      <c r="BY29" s="68"/>
      <c r="BZ29" s="68"/>
      <c r="CA29" s="68"/>
      <c r="CC29" s="68"/>
    </row>
    <row r="30" spans="1:81" x14ac:dyDescent="0.15">
      <c r="A30">
        <f t="shared" si="51"/>
        <v>400</v>
      </c>
      <c r="B30">
        <f t="shared" si="33"/>
        <v>0.4</v>
      </c>
      <c r="C30">
        <f t="shared" si="0"/>
        <v>1.0000013757429473</v>
      </c>
      <c r="D30">
        <f t="shared" si="1"/>
        <v>1.6587593978490416E-3</v>
      </c>
      <c r="F30">
        <f t="shared" si="2"/>
        <v>0.99031884949801707</v>
      </c>
      <c r="G30">
        <f t="shared" si="3"/>
        <v>-2.6970740227595342E-2</v>
      </c>
      <c r="H30">
        <f t="shared" si="4"/>
        <v>-2.6970740227595342E-2</v>
      </c>
      <c r="J30">
        <f t="shared" si="5"/>
        <v>15</v>
      </c>
      <c r="M30">
        <f t="shared" si="6"/>
        <v>2.382559031044257</v>
      </c>
      <c r="N30">
        <f t="shared" si="7"/>
        <v>-1.5707963250000001</v>
      </c>
      <c r="O30">
        <f t="shared" si="8"/>
        <v>1.0143509346192046</v>
      </c>
      <c r="P30">
        <f t="shared" si="9"/>
        <v>0.16841250541328598</v>
      </c>
      <c r="Q30">
        <f t="shared" si="10"/>
        <v>1.0029563909354606</v>
      </c>
      <c r="R30">
        <f t="shared" si="11"/>
        <v>7.6800074526559237E-2</v>
      </c>
      <c r="S30">
        <f t="shared" si="12"/>
        <v>0.99999879378177192</v>
      </c>
      <c r="T30">
        <f t="shared" si="13"/>
        <v>-1.553202157158041E-3</v>
      </c>
      <c r="U30">
        <f t="shared" si="14"/>
        <v>0.99999533564224663</v>
      </c>
      <c r="V30">
        <f t="shared" si="15"/>
        <v>-3.0542957877583111E-3</v>
      </c>
      <c r="X30">
        <f t="shared" si="34"/>
        <v>31.127566115965003</v>
      </c>
      <c r="Y30">
        <f t="shared" si="16"/>
        <v>-77.66461393085676</v>
      </c>
      <c r="Z30">
        <f t="shared" si="35"/>
        <v>102.33538606914324</v>
      </c>
      <c r="AC30">
        <v>1</v>
      </c>
      <c r="AD30">
        <f t="shared" si="17"/>
        <v>0.17002299421800002</v>
      </c>
      <c r="AE30">
        <f t="shared" si="18"/>
        <v>-6.4097158675951362E-8</v>
      </c>
      <c r="AF30">
        <f t="shared" si="19"/>
        <v>2.0985838902000004E-5</v>
      </c>
      <c r="AG30">
        <f t="shared" si="36"/>
        <v>7956.1809328941963</v>
      </c>
      <c r="AH30">
        <f t="shared" si="37"/>
        <v>-47675.481226359698</v>
      </c>
      <c r="AJ30">
        <f t="shared" si="20"/>
        <v>20000</v>
      </c>
      <c r="AK30">
        <f t="shared" si="21"/>
        <v>31.064068123200002</v>
      </c>
      <c r="AL30">
        <v>1</v>
      </c>
      <c r="AM30">
        <f t="shared" si="22"/>
        <v>7.6951427006160006E-2</v>
      </c>
      <c r="AN30">
        <f t="shared" si="38"/>
        <v>19884.643070613867</v>
      </c>
      <c r="AO30">
        <f t="shared" si="39"/>
        <v>-1499.0875916686882</v>
      </c>
      <c r="AQ30">
        <f t="shared" si="23"/>
        <v>6097.5609756097556</v>
      </c>
      <c r="AR30">
        <f t="shared" si="24"/>
        <v>-4878.0487804878048</v>
      </c>
      <c r="AT30">
        <f t="shared" si="52"/>
        <v>-184050024.6841071</v>
      </c>
      <c r="AU30">
        <f t="shared" si="53"/>
        <v>-329514792.51631129</v>
      </c>
      <c r="AV30">
        <f t="shared" si="42"/>
        <v>-2.0801790593929215</v>
      </c>
      <c r="AW30">
        <f t="shared" si="25"/>
        <v>113985810.25205089</v>
      </c>
      <c r="AX30">
        <f t="shared" si="26"/>
        <v>-106440194.89446495</v>
      </c>
      <c r="AY30">
        <f t="shared" si="50"/>
        <v>-0.7511795600310216</v>
      </c>
      <c r="BA30">
        <f t="shared" si="27"/>
        <v>2.4201139060530288</v>
      </c>
      <c r="BB30">
        <f t="shared" si="43"/>
        <v>7.6767161427996093</v>
      </c>
      <c r="BC30">
        <f t="shared" si="44"/>
        <v>-1.3289994993618999</v>
      </c>
      <c r="BD30">
        <f t="shared" si="28"/>
        <v>-256.14606237544575</v>
      </c>
      <c r="BF30">
        <f t="shared" si="29"/>
        <v>31.114054181226933</v>
      </c>
      <c r="BG30">
        <f t="shared" si="30"/>
        <v>-77.596332049763447</v>
      </c>
      <c r="BH30">
        <f t="shared" si="45"/>
        <v>102.40366795023655</v>
      </c>
      <c r="BI30">
        <f t="shared" si="46"/>
        <v>102.40366795023655</v>
      </c>
      <c r="BJ30">
        <f t="shared" si="31"/>
        <v>0</v>
      </c>
      <c r="BK30">
        <f t="shared" si="47"/>
        <v>0</v>
      </c>
      <c r="BM30">
        <f t="shared" si="48"/>
        <v>23.437338038427328</v>
      </c>
      <c r="BN30">
        <f t="shared" si="32"/>
        <v>-1.4502696743176853</v>
      </c>
      <c r="BQ30" s="66">
        <f t="shared" si="49"/>
        <v>24.578676943084744</v>
      </c>
      <c r="BR30" s="68"/>
      <c r="BS30" s="68"/>
      <c r="BT30" s="68">
        <v>158.489</v>
      </c>
      <c r="BU30" s="68">
        <v>31.003699999999998</v>
      </c>
      <c r="BV30" s="68">
        <v>-259.86900000000003</v>
      </c>
      <c r="BW30" s="75"/>
      <c r="BY30" s="68"/>
      <c r="BZ30" s="68"/>
      <c r="CA30" s="68"/>
      <c r="CC30" s="68"/>
    </row>
    <row r="31" spans="1:81" x14ac:dyDescent="0.15">
      <c r="A31">
        <f t="shared" si="51"/>
        <v>500</v>
      </c>
      <c r="B31">
        <f t="shared" si="33"/>
        <v>0.5</v>
      </c>
      <c r="C31">
        <f t="shared" si="0"/>
        <v>1.0000021495975233</v>
      </c>
      <c r="D31">
        <f t="shared" si="1"/>
        <v>2.0734481776141685E-3</v>
      </c>
      <c r="F31">
        <f t="shared" si="2"/>
        <v>0.9939402722485956</v>
      </c>
      <c r="G31">
        <f t="shared" si="3"/>
        <v>-3.3839064992488531E-2</v>
      </c>
      <c r="H31">
        <f t="shared" si="4"/>
        <v>-3.3839064992488531E-2</v>
      </c>
      <c r="J31">
        <f t="shared" si="5"/>
        <v>15</v>
      </c>
      <c r="M31">
        <f t="shared" si="6"/>
        <v>1.9060472248354055</v>
      </c>
      <c r="N31">
        <f t="shared" si="7"/>
        <v>-1.5707963250000001</v>
      </c>
      <c r="O31">
        <f t="shared" si="8"/>
        <v>1.0223348113531394</v>
      </c>
      <c r="P31">
        <f t="shared" si="9"/>
        <v>0.20941289372624836</v>
      </c>
      <c r="Q31">
        <f t="shared" si="10"/>
        <v>1.0046155375614192</v>
      </c>
      <c r="R31">
        <f t="shared" si="11"/>
        <v>9.5894259956205763E-2</v>
      </c>
      <c r="S31">
        <f t="shared" si="12"/>
        <v>0.99999811528593685</v>
      </c>
      <c r="T31">
        <f t="shared" si="13"/>
        <v>-1.9415018182450353E-3</v>
      </c>
      <c r="U31">
        <f t="shared" si="14"/>
        <v>0.99999271196969231</v>
      </c>
      <c r="V31">
        <f t="shared" si="15"/>
        <v>-3.8178630567598198E-3</v>
      </c>
      <c r="X31">
        <f t="shared" si="34"/>
        <v>29.303503861474262</v>
      </c>
      <c r="Y31">
        <f t="shared" si="16"/>
        <v>-74.657211698447441</v>
      </c>
      <c r="Z31">
        <f t="shared" si="35"/>
        <v>105.34278830155256</v>
      </c>
      <c r="AC31">
        <v>1</v>
      </c>
      <c r="AD31">
        <f t="shared" si="17"/>
        <v>0.21252874277250003</v>
      </c>
      <c r="AE31">
        <f t="shared" si="18"/>
        <v>-1.0015181043117399E-7</v>
      </c>
      <c r="AF31">
        <f t="shared" si="19"/>
        <v>2.6232298627499999E-5</v>
      </c>
      <c r="AG31">
        <f t="shared" si="36"/>
        <v>7956.1391839271373</v>
      </c>
      <c r="AH31">
        <f t="shared" si="37"/>
        <v>-38151.320094158713</v>
      </c>
      <c r="AJ31">
        <f t="shared" si="20"/>
        <v>20000</v>
      </c>
      <c r="AK31">
        <f t="shared" si="21"/>
        <v>38.830085154000002</v>
      </c>
      <c r="AL31">
        <v>1</v>
      </c>
      <c r="AM31">
        <f t="shared" si="22"/>
        <v>9.61892837577E-2</v>
      </c>
      <c r="AN31">
        <f t="shared" si="38"/>
        <v>19820.349664748064</v>
      </c>
      <c r="AO31">
        <f t="shared" si="39"/>
        <v>-1867.6751529252856</v>
      </c>
      <c r="AQ31">
        <f t="shared" si="23"/>
        <v>5000</v>
      </c>
      <c r="AR31">
        <f t="shared" si="24"/>
        <v>-5000</v>
      </c>
      <c r="AT31">
        <f t="shared" si="52"/>
        <v>-150975904.55115789</v>
      </c>
      <c r="AU31">
        <f t="shared" si="53"/>
        <v>-230537296.39042926</v>
      </c>
      <c r="AV31">
        <f t="shared" si="42"/>
        <v>-2.1505994595228564</v>
      </c>
      <c r="AW31">
        <f t="shared" si="25"/>
        <v>89813839.334816679</v>
      </c>
      <c r="AX31">
        <f t="shared" si="26"/>
        <v>-108682538.98043889</v>
      </c>
      <c r="AY31">
        <f t="shared" si="50"/>
        <v>-0.88017154465869529</v>
      </c>
      <c r="BA31">
        <f t="shared" si="27"/>
        <v>1.9545541512154594</v>
      </c>
      <c r="BB31">
        <f t="shared" si="43"/>
        <v>5.8209541425720772</v>
      </c>
      <c r="BC31">
        <f t="shared" si="44"/>
        <v>-1.2704279148641611</v>
      </c>
      <c r="BD31">
        <f t="shared" si="28"/>
        <v>-252.79015778049677</v>
      </c>
      <c r="BF31">
        <f t="shared" si="29"/>
        <v>29.290003746919385</v>
      </c>
      <c r="BG31">
        <f t="shared" si="30"/>
        <v>-74.610193559698558</v>
      </c>
      <c r="BH31">
        <f t="shared" si="45"/>
        <v>105.38980644030144</v>
      </c>
      <c r="BI31">
        <f t="shared" si="46"/>
        <v>105.38980644030144</v>
      </c>
      <c r="BJ31">
        <f t="shared" si="31"/>
        <v>0</v>
      </c>
      <c r="BK31">
        <f t="shared" si="47"/>
        <v>0</v>
      </c>
      <c r="BM31">
        <f t="shared" si="48"/>
        <v>23.469049604347308</v>
      </c>
      <c r="BN31">
        <f t="shared" si="32"/>
        <v>-1.8200357792017958</v>
      </c>
      <c r="BQ31" s="66">
        <f t="shared" si="49"/>
        <v>22.722914942857212</v>
      </c>
      <c r="BR31" s="68"/>
      <c r="BS31" s="68"/>
      <c r="BT31" s="68">
        <v>162.18100000000001</v>
      </c>
      <c r="BU31" s="68">
        <v>30.429300000000001</v>
      </c>
      <c r="BV31" s="68">
        <v>-262.39859999999999</v>
      </c>
      <c r="BW31" s="75"/>
      <c r="BY31" s="68"/>
      <c r="BZ31" s="68"/>
      <c r="CA31" s="68"/>
      <c r="CC31" s="68"/>
    </row>
    <row r="32" spans="1:81" x14ac:dyDescent="0.15">
      <c r="A32">
        <f t="shared" si="51"/>
        <v>600</v>
      </c>
      <c r="B32">
        <f t="shared" si="33"/>
        <v>0.6</v>
      </c>
      <c r="C32">
        <f t="shared" si="0"/>
        <v>1.0000030954189696</v>
      </c>
      <c r="D32">
        <f t="shared" si="1"/>
        <v>2.4881362442511104E-3</v>
      </c>
      <c r="F32">
        <f t="shared" si="2"/>
        <v>0.99840045078726813</v>
      </c>
      <c r="G32">
        <f t="shared" si="3"/>
        <v>-4.0792624548907648E-2</v>
      </c>
      <c r="H32">
        <f t="shared" si="4"/>
        <v>-4.0792624548907648E-2</v>
      </c>
      <c r="J32">
        <f t="shared" si="5"/>
        <v>15</v>
      </c>
      <c r="M32">
        <f t="shared" si="6"/>
        <v>1.5883726873628381</v>
      </c>
      <c r="N32">
        <f t="shared" si="7"/>
        <v>-1.5707963250000001</v>
      </c>
      <c r="O32">
        <f t="shared" si="8"/>
        <v>1.0320090075994597</v>
      </c>
      <c r="P32">
        <f t="shared" si="9"/>
        <v>0.24971136623316328</v>
      </c>
      <c r="Q32">
        <f t="shared" si="10"/>
        <v>1.0066396697757047</v>
      </c>
      <c r="R32">
        <f t="shared" si="11"/>
        <v>0.11491857161402204</v>
      </c>
      <c r="S32">
        <f t="shared" si="12"/>
        <v>0.99999728601512505</v>
      </c>
      <c r="T32">
        <f t="shared" si="13"/>
        <v>-2.3298008938660159E-3</v>
      </c>
      <c r="U32">
        <f t="shared" si="14"/>
        <v>0.99998950528683772</v>
      </c>
      <c r="V32">
        <f t="shared" si="15"/>
        <v>-4.5814258738711413E-3</v>
      </c>
      <c r="X32">
        <f t="shared" si="34"/>
        <v>27.858031499433288</v>
      </c>
      <c r="Y32">
        <f t="shared" si="16"/>
        <v>-71.69891309764094</v>
      </c>
      <c r="Z32">
        <f t="shared" si="35"/>
        <v>108.30108690235906</v>
      </c>
      <c r="AC32">
        <v>1</v>
      </c>
      <c r="AD32">
        <f t="shared" si="17"/>
        <v>0.25503449132700001</v>
      </c>
      <c r="AE32">
        <f t="shared" si="18"/>
        <v>-1.4421860702089057E-7</v>
      </c>
      <c r="AF32">
        <f t="shared" si="19"/>
        <v>3.1478758353000004E-5</v>
      </c>
      <c r="AG32">
        <f t="shared" si="36"/>
        <v>7956.0881580068444</v>
      </c>
      <c r="AH32">
        <f t="shared" si="37"/>
        <v>-31803.904230424363</v>
      </c>
      <c r="AJ32">
        <f t="shared" si="20"/>
        <v>20000</v>
      </c>
      <c r="AK32">
        <f t="shared" si="21"/>
        <v>46.596102184800003</v>
      </c>
      <c r="AL32">
        <v>1</v>
      </c>
      <c r="AM32">
        <f t="shared" si="22"/>
        <v>0.11542714050924001</v>
      </c>
      <c r="AN32">
        <f t="shared" si="38"/>
        <v>19742.342835359814</v>
      </c>
      <c r="AO32">
        <f t="shared" si="39"/>
        <v>-2232.2060782538651</v>
      </c>
      <c r="AQ32">
        <f t="shared" si="23"/>
        <v>4098.3606557377052</v>
      </c>
      <c r="AR32">
        <f t="shared" si="24"/>
        <v>-4918.0327868852464</v>
      </c>
      <c r="AT32">
        <f t="shared" si="52"/>
        <v>-123805725.07582949</v>
      </c>
      <c r="AU32">
        <f t="shared" si="53"/>
        <v>-169472172.21324825</v>
      </c>
      <c r="AV32">
        <f t="shared" si="42"/>
        <v>-2.2017244370337981</v>
      </c>
      <c r="AW32">
        <f t="shared" si="25"/>
        <v>69983472.6044036</v>
      </c>
      <c r="AX32">
        <f t="shared" si="26"/>
        <v>-106445392.3735574</v>
      </c>
      <c r="AY32">
        <f t="shared" si="50"/>
        <v>-0.98919543624152417</v>
      </c>
      <c r="BA32">
        <f t="shared" si="27"/>
        <v>1.6475166125061658</v>
      </c>
      <c r="BB32">
        <f t="shared" si="43"/>
        <v>4.3365960487307698</v>
      </c>
      <c r="BC32">
        <f t="shared" si="44"/>
        <v>-1.2125290007922738</v>
      </c>
      <c r="BD32">
        <f t="shared" si="28"/>
        <v>-249.47279436199636</v>
      </c>
      <c r="BF32">
        <f t="shared" si="29"/>
        <v>27.844543484799708</v>
      </c>
      <c r="BG32">
        <f t="shared" si="30"/>
        <v>-71.667479880769207</v>
      </c>
      <c r="BH32">
        <f t="shared" si="45"/>
        <v>108.33252011923079</v>
      </c>
      <c r="BI32">
        <f t="shared" si="46"/>
        <v>108.33252011923079</v>
      </c>
      <c r="BJ32">
        <f t="shared" si="31"/>
        <v>0</v>
      </c>
      <c r="BK32">
        <f t="shared" si="47"/>
        <v>0</v>
      </c>
      <c r="BM32">
        <f t="shared" si="48"/>
        <v>23.507947436068939</v>
      </c>
      <c r="BN32">
        <f t="shared" si="32"/>
        <v>-2.1946855187728351</v>
      </c>
      <c r="BQ32" s="66">
        <f t="shared" si="49"/>
        <v>21.238556849015904</v>
      </c>
      <c r="BR32" s="68"/>
      <c r="BS32" s="68"/>
      <c r="BT32" s="68">
        <v>165.959</v>
      </c>
      <c r="BU32" s="68">
        <v>29.9194</v>
      </c>
      <c r="BV32" s="68">
        <v>-264.8295</v>
      </c>
      <c r="BW32" s="75"/>
      <c r="BY32" s="68"/>
      <c r="BZ32" s="68"/>
      <c r="CA32" s="68"/>
      <c r="CC32" s="68"/>
    </row>
    <row r="33" spans="1:81" x14ac:dyDescent="0.15">
      <c r="A33">
        <f t="shared" si="51"/>
        <v>700</v>
      </c>
      <c r="B33">
        <f t="shared" si="33"/>
        <v>0.7</v>
      </c>
      <c r="C33">
        <f t="shared" si="0"/>
        <v>1.0000042132067983</v>
      </c>
      <c r="D33">
        <f t="shared" si="1"/>
        <v>2.9028234551374686E-3</v>
      </c>
      <c r="F33">
        <f t="shared" si="2"/>
        <v>1.0037203524456566</v>
      </c>
      <c r="G33">
        <f t="shared" si="3"/>
        <v>-4.7849971882768114E-2</v>
      </c>
      <c r="H33">
        <f t="shared" si="4"/>
        <v>-4.7849971882768114E-2</v>
      </c>
      <c r="J33">
        <f t="shared" si="5"/>
        <v>15</v>
      </c>
      <c r="M33">
        <f t="shared" si="6"/>
        <v>1.3614623034538611</v>
      </c>
      <c r="N33">
        <f t="shared" si="7"/>
        <v>-1.5707963250000001</v>
      </c>
      <c r="O33">
        <f t="shared" si="8"/>
        <v>1.0433265041916364</v>
      </c>
      <c r="P33">
        <f t="shared" si="9"/>
        <v>0.28919860886697885</v>
      </c>
      <c r="Q33">
        <f t="shared" si="10"/>
        <v>1.0090265910704463</v>
      </c>
      <c r="R33">
        <f t="shared" si="11"/>
        <v>0.13385970675647987</v>
      </c>
      <c r="S33">
        <f t="shared" si="12"/>
        <v>0.99999630597046185</v>
      </c>
      <c r="T33">
        <f t="shared" si="13"/>
        <v>-2.7180992669301107E-3</v>
      </c>
      <c r="U33">
        <f t="shared" si="14"/>
        <v>0.99998571561050797</v>
      </c>
      <c r="V33">
        <f t="shared" si="15"/>
        <v>-5.3449833487827624E-3</v>
      </c>
      <c r="X33">
        <f t="shared" si="34"/>
        <v>26.680529676632215</v>
      </c>
      <c r="Y33">
        <f t="shared" si="16"/>
        <v>-68.797806512432231</v>
      </c>
      <c r="Z33">
        <f t="shared" si="35"/>
        <v>111.20219348756777</v>
      </c>
      <c r="AC33">
        <v>1</v>
      </c>
      <c r="AD33">
        <f t="shared" si="17"/>
        <v>0.29754023988150002</v>
      </c>
      <c r="AE33">
        <f t="shared" si="18"/>
        <v>-1.9629754844510107E-7</v>
      </c>
      <c r="AF33">
        <f t="shared" si="19"/>
        <v>3.6725218078499999E-5</v>
      </c>
      <c r="AG33">
        <f t="shared" si="36"/>
        <v>7956.0278554903161</v>
      </c>
      <c r="AH33">
        <f t="shared" si="37"/>
        <v>-27271.771310453754</v>
      </c>
      <c r="AJ33">
        <f t="shared" si="20"/>
        <v>20000</v>
      </c>
      <c r="AK33">
        <f t="shared" si="21"/>
        <v>54.362119215599996</v>
      </c>
      <c r="AL33">
        <v>1</v>
      </c>
      <c r="AM33">
        <f t="shared" si="22"/>
        <v>0.13466499726078002</v>
      </c>
      <c r="AN33">
        <f t="shared" si="38"/>
        <v>19650.957217593841</v>
      </c>
      <c r="AO33">
        <f t="shared" si="39"/>
        <v>-2591.9339806633802</v>
      </c>
      <c r="AQ33">
        <f t="shared" si="23"/>
        <v>3378.3783783783783</v>
      </c>
      <c r="AR33">
        <f t="shared" si="24"/>
        <v>-4729.72972972973</v>
      </c>
      <c r="AT33">
        <f t="shared" si="52"/>
        <v>-102109635.06467886</v>
      </c>
      <c r="AU33">
        <f t="shared" si="53"/>
        <v>-129764224.01398715</v>
      </c>
      <c r="AV33">
        <f t="shared" si="42"/>
        <v>-2.2374895420887757</v>
      </c>
      <c r="AW33">
        <f t="shared" si="25"/>
        <v>54179313.702302754</v>
      </c>
      <c r="AX33">
        <f t="shared" si="26"/>
        <v>-101876205.19488169</v>
      </c>
      <c r="AY33">
        <f t="shared" si="50"/>
        <v>-1.0820216888822132</v>
      </c>
      <c r="BA33">
        <f t="shared" si="27"/>
        <v>1.4310240231359705</v>
      </c>
      <c r="BB33">
        <f t="shared" si="43"/>
        <v>3.1129384897003103</v>
      </c>
      <c r="BC33">
        <f t="shared" si="44"/>
        <v>-1.1554678532065625</v>
      </c>
      <c r="BD33">
        <f t="shared" si="28"/>
        <v>-246.20343142742621</v>
      </c>
      <c r="BF33">
        <f t="shared" si="29"/>
        <v>26.667054874821755</v>
      </c>
      <c r="BG33">
        <f t="shared" si="30"/>
        <v>-68.778713336420225</v>
      </c>
      <c r="BH33">
        <f t="shared" si="45"/>
        <v>111.22128666357978</v>
      </c>
      <c r="BI33">
        <f t="shared" si="46"/>
        <v>111.22128666357978</v>
      </c>
      <c r="BJ33">
        <f t="shared" si="31"/>
        <v>0</v>
      </c>
      <c r="BK33">
        <f t="shared" si="47"/>
        <v>0</v>
      </c>
      <c r="BM33">
        <f t="shared" si="48"/>
        <v>23.554116385121446</v>
      </c>
      <c r="BN33">
        <f t="shared" si="32"/>
        <v>-2.5752819089939987</v>
      </c>
      <c r="BQ33" s="66">
        <f t="shared" si="49"/>
        <v>20.014899289985447</v>
      </c>
      <c r="BR33" s="68"/>
      <c r="BS33" s="68"/>
      <c r="BT33" s="68">
        <v>169.82400000000001</v>
      </c>
      <c r="BU33" s="68">
        <v>29.808900000000001</v>
      </c>
      <c r="BV33" s="68">
        <v>-267.72770000000003</v>
      </c>
      <c r="BW33" s="75"/>
      <c r="BY33" s="68"/>
      <c r="BZ33" s="68"/>
      <c r="CA33" s="68"/>
      <c r="CC33" s="68"/>
    </row>
    <row r="34" spans="1:81" x14ac:dyDescent="0.15">
      <c r="A34">
        <f t="shared" si="51"/>
        <v>800</v>
      </c>
      <c r="B34">
        <f t="shared" si="33"/>
        <v>0.8</v>
      </c>
      <c r="C34">
        <f t="shared" si="0"/>
        <v>1.0000055029604329</v>
      </c>
      <c r="D34">
        <f t="shared" si="1"/>
        <v>3.3175096676526083E-3</v>
      </c>
      <c r="F34">
        <f t="shared" si="2"/>
        <v>1.0099252893441737</v>
      </c>
      <c r="G34">
        <f t="shared" si="3"/>
        <v>-5.503052195541918E-2</v>
      </c>
      <c r="H34">
        <f t="shared" si="4"/>
        <v>-5.503052195541918E-2</v>
      </c>
      <c r="J34">
        <f t="shared" si="5"/>
        <v>15</v>
      </c>
      <c r="M34">
        <f t="shared" si="6"/>
        <v>1.1912795155221285</v>
      </c>
      <c r="N34">
        <f t="shared" si="7"/>
        <v>-1.5707963250000001</v>
      </c>
      <c r="O34">
        <f t="shared" si="8"/>
        <v>1.0562344788215428</v>
      </c>
      <c r="P34">
        <f t="shared" si="9"/>
        <v>0.32777972925403748</v>
      </c>
      <c r="Q34">
        <f t="shared" si="10"/>
        <v>1.0117737338323909</v>
      </c>
      <c r="R34">
        <f t="shared" si="11"/>
        <v>0.15270471710288372</v>
      </c>
      <c r="S34">
        <f t="shared" si="12"/>
        <v>0.99999517515327707</v>
      </c>
      <c r="T34">
        <f t="shared" si="13"/>
        <v>-3.1063968203477181E-3</v>
      </c>
      <c r="U34">
        <f t="shared" si="14"/>
        <v>0.99998134296058849</v>
      </c>
      <c r="V34">
        <f t="shared" si="15"/>
        <v>-6.1085345912225437E-3</v>
      </c>
      <c r="X34">
        <f t="shared" si="34"/>
        <v>25.704602261478996</v>
      </c>
      <c r="Y34">
        <f t="shared" si="16"/>
        <v>-65.961183102982758</v>
      </c>
      <c r="Z34">
        <f t="shared" si="35"/>
        <v>114.03881689701724</v>
      </c>
      <c r="AC34">
        <v>1</v>
      </c>
      <c r="AD34">
        <f t="shared" si="17"/>
        <v>0.34004598843600004</v>
      </c>
      <c r="AE34">
        <f t="shared" si="18"/>
        <v>-2.5638863470380545E-7</v>
      </c>
      <c r="AF34">
        <f t="shared" si="19"/>
        <v>4.1971677804000008E-5</v>
      </c>
      <c r="AG34">
        <f t="shared" si="36"/>
        <v>7955.9582767994207</v>
      </c>
      <c r="AH34">
        <f t="shared" si="37"/>
        <v>-23874.190161272327</v>
      </c>
      <c r="AJ34">
        <f t="shared" si="20"/>
        <v>20000</v>
      </c>
      <c r="AK34">
        <f t="shared" si="21"/>
        <v>62.128136246400004</v>
      </c>
      <c r="AL34">
        <v>1</v>
      </c>
      <c r="AM34">
        <f t="shared" si="22"/>
        <v>0.15390285401232001</v>
      </c>
      <c r="AN34">
        <f t="shared" si="38"/>
        <v>19546.579681792613</v>
      </c>
      <c r="AO34">
        <f t="shared" si="39"/>
        <v>-2946.1462629607095</v>
      </c>
      <c r="AQ34">
        <f t="shared" si="23"/>
        <v>2808.9887640449433</v>
      </c>
      <c r="AR34">
        <f t="shared" si="24"/>
        <v>-4494.3820224719093</v>
      </c>
      <c r="AT34">
        <f t="shared" si="52"/>
        <v>-84951533.655158132</v>
      </c>
      <c r="AU34">
        <f t="shared" si="53"/>
        <v>-102819447.7644702</v>
      </c>
      <c r="AV34">
        <f t="shared" si="42"/>
        <v>-2.2613221435834157</v>
      </c>
      <c r="AW34">
        <f t="shared" si="25"/>
        <v>41714876.855322696</v>
      </c>
      <c r="AX34">
        <f t="shared" si="26"/>
        <v>-96280959.180458426</v>
      </c>
      <c r="AY34">
        <f t="shared" si="50"/>
        <v>-1.1619485912224328</v>
      </c>
      <c r="BA34">
        <f t="shared" si="27"/>
        <v>1.2710838779390901</v>
      </c>
      <c r="BB34">
        <f t="shared" si="43"/>
        <v>2.0834842057954059</v>
      </c>
      <c r="BC34">
        <f t="shared" si="44"/>
        <v>-1.0993735523609829</v>
      </c>
      <c r="BD34">
        <f t="shared" si="28"/>
        <v>-242.98946473056489</v>
      </c>
      <c r="BF34">
        <f t="shared" si="29"/>
        <v>25.691142133296374</v>
      </c>
      <c r="BG34">
        <f t="shared" si="30"/>
        <v>-65.952402083947732</v>
      </c>
      <c r="BH34">
        <f t="shared" si="45"/>
        <v>114.04759791605227</v>
      </c>
      <c r="BI34">
        <f t="shared" si="46"/>
        <v>114.04759791605227</v>
      </c>
      <c r="BJ34">
        <f t="shared" si="31"/>
        <v>0</v>
      </c>
      <c r="BK34">
        <f t="shared" si="47"/>
        <v>0</v>
      </c>
      <c r="BM34">
        <f t="shared" si="48"/>
        <v>23.60765792750097</v>
      </c>
      <c r="BN34">
        <f t="shared" si="32"/>
        <v>-2.96293735338284</v>
      </c>
      <c r="BQ34" s="66">
        <f t="shared" si="49"/>
        <v>18.985445006080543</v>
      </c>
      <c r="BR34" s="68"/>
      <c r="BS34" s="68"/>
      <c r="BT34" s="68">
        <v>173.78</v>
      </c>
      <c r="BU34" s="68">
        <v>30.070900000000002</v>
      </c>
      <c r="BV34" s="68">
        <v>-269.952</v>
      </c>
      <c r="BW34" s="75"/>
      <c r="BY34" s="68"/>
      <c r="BZ34" s="68"/>
      <c r="CA34" s="68"/>
      <c r="CC34" s="68"/>
    </row>
    <row r="35" spans="1:81" x14ac:dyDescent="0.15">
      <c r="A35">
        <f t="shared" si="51"/>
        <v>900</v>
      </c>
      <c r="B35">
        <f t="shared" si="33"/>
        <v>0.9</v>
      </c>
      <c r="C35">
        <f t="shared" si="0"/>
        <v>1.0000069646792076</v>
      </c>
      <c r="D35">
        <f t="shared" si="1"/>
        <v>3.7321947391779574E-3</v>
      </c>
      <c r="F35">
        <f t="shared" si="2"/>
        <v>1.0170452016256344</v>
      </c>
      <c r="G35">
        <f t="shared" si="3"/>
        <v>-6.2354730663221815E-2</v>
      </c>
      <c r="H35">
        <f t="shared" si="4"/>
        <v>-6.2354730663221815E-2</v>
      </c>
      <c r="J35">
        <f t="shared" si="5"/>
        <v>15</v>
      </c>
      <c r="M35">
        <f t="shared" si="6"/>
        <v>1.0589151249085587</v>
      </c>
      <c r="N35">
        <f t="shared" si="7"/>
        <v>-1.5707963250000001</v>
      </c>
      <c r="O35">
        <f t="shared" si="8"/>
        <v>1.0706754090173403</v>
      </c>
      <c r="P35">
        <f t="shared" si="9"/>
        <v>0.36537487825605591</v>
      </c>
      <c r="Q35">
        <f t="shared" si="10"/>
        <v>1.0148781728482561</v>
      </c>
      <c r="R35">
        <f t="shared" si="11"/>
        <v>0.17144105818714842</v>
      </c>
      <c r="S35">
        <f t="shared" si="12"/>
        <v>0.99999389356510526</v>
      </c>
      <c r="T35">
        <f t="shared" si="13"/>
        <v>-3.4946934370307207E-3</v>
      </c>
      <c r="U35">
        <f t="shared" si="14"/>
        <v>0.99997638736002192</v>
      </c>
      <c r="V35">
        <f t="shared" si="15"/>
        <v>-6.8720787109619484E-3</v>
      </c>
      <c r="X35">
        <f t="shared" si="34"/>
        <v>24.887090474416933</v>
      </c>
      <c r="Y35">
        <f t="shared" si="16"/>
        <v>-63.195508619868264</v>
      </c>
      <c r="Z35">
        <f t="shared" si="35"/>
        <v>116.80449138013174</v>
      </c>
      <c r="AC35">
        <v>1</v>
      </c>
      <c r="AD35">
        <f t="shared" si="17"/>
        <v>0.38255173699050005</v>
      </c>
      <c r="AE35">
        <f t="shared" si="18"/>
        <v>-3.244918657970038E-7</v>
      </c>
      <c r="AF35">
        <f t="shared" si="19"/>
        <v>4.7218137529500003E-5</v>
      </c>
      <c r="AG35">
        <f t="shared" si="36"/>
        <v>7955.8794224209305</v>
      </c>
      <c r="AH35">
        <f t="shared" si="37"/>
        <v>-21232.976788452623</v>
      </c>
      <c r="AJ35">
        <f t="shared" si="20"/>
        <v>20000</v>
      </c>
      <c r="AK35">
        <f t="shared" si="21"/>
        <v>69.89415327719999</v>
      </c>
      <c r="AL35">
        <v>1</v>
      </c>
      <c r="AM35">
        <f t="shared" si="22"/>
        <v>0.17314071076385998</v>
      </c>
      <c r="AN35">
        <f t="shared" si="38"/>
        <v>19429.645333258151</v>
      </c>
      <c r="AO35">
        <f t="shared" si="39"/>
        <v>-3294.1684496128319</v>
      </c>
      <c r="AQ35">
        <f t="shared" si="23"/>
        <v>2358.4905660377358</v>
      </c>
      <c r="AR35">
        <f t="shared" si="24"/>
        <v>-4245.2830188679245</v>
      </c>
      <c r="AT35">
        <f t="shared" si="52"/>
        <v>-71376129.237721205</v>
      </c>
      <c r="AU35">
        <f t="shared" si="53"/>
        <v>-83852735.256628066</v>
      </c>
      <c r="AV35">
        <f t="shared" si="42"/>
        <v>-2.2759913496523621</v>
      </c>
      <c r="AW35">
        <f t="shared" si="25"/>
        <v>31889560.029004097</v>
      </c>
      <c r="AX35">
        <f t="shared" si="26"/>
        <v>-90393309.521526024</v>
      </c>
      <c r="AY35">
        <f t="shared" si="50"/>
        <v>-1.2316410580527779</v>
      </c>
      <c r="BA35">
        <f t="shared" si="27"/>
        <v>1.1488089051521342</v>
      </c>
      <c r="BB35">
        <f t="shared" si="43"/>
        <v>1.2049558681080048</v>
      </c>
      <c r="BC35">
        <f t="shared" si="44"/>
        <v>-1.0443502915995841</v>
      </c>
      <c r="BD35">
        <f t="shared" si="28"/>
        <v>-239.83686411028657</v>
      </c>
      <c r="BF35">
        <f t="shared" si="29"/>
        <v>24.873646646745321</v>
      </c>
      <c r="BG35">
        <f t="shared" si="30"/>
        <v>-63.19568800692636</v>
      </c>
      <c r="BH35">
        <f t="shared" si="45"/>
        <v>116.80431199307364</v>
      </c>
      <c r="BI35">
        <f t="shared" si="46"/>
        <v>116.80431199307364</v>
      </c>
      <c r="BJ35">
        <f t="shared" si="31"/>
        <v>0</v>
      </c>
      <c r="BK35">
        <f t="shared" si="47"/>
        <v>0</v>
      </c>
      <c r="BM35">
        <f t="shared" si="48"/>
        <v>23.66869077863732</v>
      </c>
      <c r="BN35">
        <f t="shared" si="32"/>
        <v>-3.3588238966397803</v>
      </c>
      <c r="BQ35" s="66">
        <f t="shared" si="49"/>
        <v>18.106916668393144</v>
      </c>
      <c r="BR35" s="68"/>
      <c r="BS35" s="68"/>
      <c r="BT35" s="68">
        <v>177.828</v>
      </c>
      <c r="BU35" s="68">
        <v>29.720099999999999</v>
      </c>
      <c r="BV35" s="68">
        <v>-271.56010000000003</v>
      </c>
      <c r="BW35" s="75"/>
      <c r="BY35" s="68"/>
      <c r="BZ35" s="68"/>
      <c r="CA35" s="68"/>
      <c r="CC35" s="68"/>
    </row>
    <row r="36" spans="1:81" x14ac:dyDescent="0.15">
      <c r="A36">
        <f t="shared" si="51"/>
        <v>1000</v>
      </c>
      <c r="B36">
        <f t="shared" si="33"/>
        <v>1</v>
      </c>
      <c r="C36">
        <f t="shared" si="0"/>
        <v>1.0000085983623686</v>
      </c>
      <c r="D36">
        <f t="shared" si="1"/>
        <v>4.1468785270972969E-3</v>
      </c>
      <c r="F36">
        <f t="shared" si="2"/>
        <v>1.0251149979315646</v>
      </c>
      <c r="G36">
        <f t="shared" si="3"/>
        <v>-6.9844291826259439E-2</v>
      </c>
      <c r="H36">
        <f t="shared" si="4"/>
        <v>-6.9844291826259439E-2</v>
      </c>
      <c r="J36">
        <f t="shared" si="5"/>
        <v>15</v>
      </c>
      <c r="M36">
        <f t="shared" si="6"/>
        <v>0.95302361241770273</v>
      </c>
      <c r="N36">
        <f t="shared" si="7"/>
        <v>-1.5707963250000001</v>
      </c>
      <c r="O36">
        <f t="shared" si="8"/>
        <v>1.086588176825902</v>
      </c>
      <c r="P36">
        <f t="shared" si="9"/>
        <v>0.401919337206807</v>
      </c>
      <c r="Q36">
        <f t="shared" si="10"/>
        <v>1.0183366404285359</v>
      </c>
      <c r="R36">
        <f t="shared" si="11"/>
        <v>0.19005663458149019</v>
      </c>
      <c r="S36">
        <f t="shared" si="12"/>
        <v>0.99999246120768559</v>
      </c>
      <c r="T36">
        <f t="shared" si="13"/>
        <v>-3.8829889998926942E-3</v>
      </c>
      <c r="U36">
        <f t="shared" si="14"/>
        <v>0.99997084883480991</v>
      </c>
      <c r="V36">
        <f t="shared" si="15"/>
        <v>-7.6356148178222697E-3</v>
      </c>
      <c r="X36">
        <f t="shared" si="34"/>
        <v>24.198233054553025</v>
      </c>
      <c r="Y36">
        <f t="shared" si="16"/>
        <v>-60.506427101280728</v>
      </c>
      <c r="Z36">
        <f t="shared" si="35"/>
        <v>119.49357289871926</v>
      </c>
      <c r="AC36">
        <v>1</v>
      </c>
      <c r="AD36">
        <f t="shared" si="17"/>
        <v>0.42505748554500006</v>
      </c>
      <c r="AE36">
        <f t="shared" si="18"/>
        <v>-4.0060724172469596E-7</v>
      </c>
      <c r="AF36">
        <f t="shared" si="19"/>
        <v>5.2464597254999998E-5</v>
      </c>
      <c r="AG36">
        <f t="shared" si="36"/>
        <v>7955.7912929064851</v>
      </c>
      <c r="AH36">
        <f t="shared" si="37"/>
        <v>-19121.22078684179</v>
      </c>
      <c r="AJ36">
        <f t="shared" si="20"/>
        <v>20000</v>
      </c>
      <c r="AK36">
        <f t="shared" si="21"/>
        <v>77.660170308000005</v>
      </c>
      <c r="AL36">
        <v>1</v>
      </c>
      <c r="AM36">
        <f t="shared" si="22"/>
        <v>0.1923785675154</v>
      </c>
      <c r="AN36">
        <f t="shared" si="38"/>
        <v>19300.633115502242</v>
      </c>
      <c r="AO36">
        <f t="shared" si="39"/>
        <v>-3635.3679805926126</v>
      </c>
      <c r="AQ36">
        <f t="shared" si="23"/>
        <v>2000</v>
      </c>
      <c r="AR36">
        <f t="shared" si="24"/>
        <v>-4000</v>
      </c>
      <c r="AT36">
        <f t="shared" si="52"/>
        <v>-60573300.561554193</v>
      </c>
      <c r="AU36">
        <f t="shared" si="53"/>
        <v>-70065606.745309532</v>
      </c>
      <c r="AV36">
        <f t="shared" si="42"/>
        <v>-2.2836613222000022</v>
      </c>
      <c r="AW36">
        <f t="shared" si="25"/>
        <v>24109111.006003454</v>
      </c>
      <c r="AX36">
        <f t="shared" si="26"/>
        <v>-84600493.159675762</v>
      </c>
      <c r="AY36">
        <f t="shared" si="50"/>
        <v>-1.293179357378639</v>
      </c>
      <c r="BA36">
        <f t="shared" si="27"/>
        <v>1.0528652241979399</v>
      </c>
      <c r="BB36">
        <f t="shared" si="43"/>
        <v>0.4474556263062478</v>
      </c>
      <c r="BC36">
        <f t="shared" si="44"/>
        <v>-0.99048196482136319</v>
      </c>
      <c r="BD36">
        <f t="shared" si="28"/>
        <v>-236.7504363329362</v>
      </c>
      <c r="BF36">
        <f t="shared" si="29"/>
        <v>24.184807241618223</v>
      </c>
      <c r="BG36">
        <f t="shared" si="30"/>
        <v>-60.514620844206057</v>
      </c>
      <c r="BH36">
        <f t="shared" si="45"/>
        <v>119.48537915579394</v>
      </c>
      <c r="BI36">
        <f t="shared" si="46"/>
        <v>119.48537915579394</v>
      </c>
      <c r="BJ36">
        <f t="shared" si="31"/>
        <v>0</v>
      </c>
      <c r="BK36">
        <f t="shared" si="47"/>
        <v>0</v>
      </c>
      <c r="BM36">
        <f t="shared" si="48"/>
        <v>23.737351615311976</v>
      </c>
      <c r="BN36">
        <f t="shared" si="32"/>
        <v>-3.7641845112698435</v>
      </c>
      <c r="BQ36" s="66">
        <f t="shared" si="49"/>
        <v>17.349416426591382</v>
      </c>
      <c r="BR36" s="68"/>
      <c r="BS36" s="68"/>
      <c r="BT36" s="68">
        <v>181.97</v>
      </c>
      <c r="BU36" s="68">
        <v>30.042100000000001</v>
      </c>
      <c r="BV36" s="68">
        <v>-268.84590000000003</v>
      </c>
      <c r="BW36" s="75"/>
      <c r="BY36" s="68"/>
      <c r="BZ36" s="68"/>
      <c r="CA36" s="68"/>
      <c r="CC36" s="68"/>
    </row>
    <row r="37" spans="1:81" x14ac:dyDescent="0.15">
      <c r="A37">
        <f>A36+500</f>
        <v>1500</v>
      </c>
      <c r="B37">
        <f t="shared" si="33"/>
        <v>1.5</v>
      </c>
      <c r="C37">
        <f t="shared" si="0"/>
        <v>1.0000193462113649</v>
      </c>
      <c r="D37">
        <f t="shared" si="1"/>
        <v>6.2202732212380792E-3</v>
      </c>
      <c r="F37">
        <f t="shared" si="2"/>
        <v>1.0813391299537107</v>
      </c>
      <c r="G37">
        <f t="shared" si="3"/>
        <v>-0.11064833861070686</v>
      </c>
      <c r="H37">
        <f t="shared" si="4"/>
        <v>-0.11064833861070686</v>
      </c>
      <c r="J37">
        <f t="shared" si="5"/>
        <v>15</v>
      </c>
      <c r="M37">
        <f t="shared" si="6"/>
        <v>0.63534907494513526</v>
      </c>
      <c r="N37">
        <f t="shared" si="7"/>
        <v>-1.5707963250000001</v>
      </c>
      <c r="O37">
        <f t="shared" si="8"/>
        <v>1.1859663564115701</v>
      </c>
      <c r="P37">
        <f t="shared" si="9"/>
        <v>0.56759893349069435</v>
      </c>
      <c r="Q37">
        <f t="shared" si="10"/>
        <v>1.0408032497971815</v>
      </c>
      <c r="R37">
        <f t="shared" si="11"/>
        <v>0.2809358679134889</v>
      </c>
      <c r="S37">
        <f t="shared" si="12"/>
        <v>0.99998303795705412</v>
      </c>
      <c r="T37">
        <f t="shared" si="13"/>
        <v>-5.8244469090076448E-3</v>
      </c>
      <c r="U37">
        <f t="shared" si="14"/>
        <v>0.99993441346312273</v>
      </c>
      <c r="V37">
        <f t="shared" si="15"/>
        <v>-1.145314400695524E-2</v>
      </c>
      <c r="X37">
        <f t="shared" si="34"/>
        <v>22.089582781426138</v>
      </c>
      <c r="Y37">
        <f t="shared" si="16"/>
        <v>-48.355757511154323</v>
      </c>
      <c r="Z37">
        <f t="shared" si="35"/>
        <v>131.64424248884569</v>
      </c>
      <c r="AC37">
        <v>1</v>
      </c>
      <c r="AD37">
        <f t="shared" si="17"/>
        <v>0.63758622831750011</v>
      </c>
      <c r="AE37">
        <f t="shared" si="18"/>
        <v>-9.0136629388056622E-7</v>
      </c>
      <c r="AF37">
        <f t="shared" si="19"/>
        <v>7.8696895882500014E-5</v>
      </c>
      <c r="AG37">
        <f t="shared" si="36"/>
        <v>7955.2115421423405</v>
      </c>
      <c r="AH37">
        <f t="shared" si="37"/>
        <v>-12798.097666374961</v>
      </c>
      <c r="AJ37">
        <f t="shared" si="20"/>
        <v>20000</v>
      </c>
      <c r="AK37">
        <f t="shared" si="21"/>
        <v>116.49025546200001</v>
      </c>
      <c r="AL37">
        <v>1</v>
      </c>
      <c r="AM37">
        <f t="shared" si="22"/>
        <v>0.28856785127309997</v>
      </c>
      <c r="AN37">
        <f t="shared" si="38"/>
        <v>18493.625193241998</v>
      </c>
      <c r="AO37">
        <f t="shared" si="39"/>
        <v>-5220.1754288019119</v>
      </c>
      <c r="AQ37">
        <f t="shared" si="23"/>
        <v>1000</v>
      </c>
      <c r="AR37">
        <f t="shared" si="24"/>
        <v>-3000</v>
      </c>
      <c r="AT37">
        <f t="shared" si="52"/>
        <v>-30439081.456982546</v>
      </c>
      <c r="AU37">
        <f t="shared" si="53"/>
        <v>-36663732.292801984</v>
      </c>
      <c r="AV37">
        <f t="shared" si="42"/>
        <v>-2.2636963097094118</v>
      </c>
      <c r="AW37">
        <f t="shared" si="25"/>
        <v>2880629.744796874</v>
      </c>
      <c r="AX37">
        <f t="shared" si="26"/>
        <v>-60792099.622201644</v>
      </c>
      <c r="AY37">
        <f t="shared" si="50"/>
        <v>-1.5234468081503811</v>
      </c>
      <c r="BA37">
        <f t="shared" si="27"/>
        <v>0.78298261192258578</v>
      </c>
      <c r="BB37">
        <f t="shared" si="43"/>
        <v>-2.1249576484943051</v>
      </c>
      <c r="BC37">
        <f t="shared" si="44"/>
        <v>-0.74024950155903069</v>
      </c>
      <c r="BD37">
        <f t="shared" si="28"/>
        <v>-222.41317227445944</v>
      </c>
      <c r="BF37">
        <f t="shared" si="29"/>
        <v>22.076273948095121</v>
      </c>
      <c r="BG37">
        <f t="shared" si="30"/>
        <v>-48.396459690829076</v>
      </c>
      <c r="BH37">
        <f t="shared" si="45"/>
        <v>131.60354030917091</v>
      </c>
      <c r="BI37">
        <f t="shared" si="46"/>
        <v>131.60354030917091</v>
      </c>
      <c r="BJ37">
        <f t="shared" si="31"/>
        <v>0</v>
      </c>
      <c r="BK37">
        <f t="shared" si="47"/>
        <v>0</v>
      </c>
      <c r="BM37">
        <f t="shared" si="48"/>
        <v>24.201231596589427</v>
      </c>
      <c r="BN37">
        <f t="shared" si="32"/>
        <v>-5.9832874163696488</v>
      </c>
      <c r="BQ37" s="66">
        <f t="shared" si="49"/>
        <v>14.777003151790831</v>
      </c>
      <c r="BR37" s="68"/>
      <c r="BS37" s="68"/>
      <c r="BT37" s="68">
        <v>186.209</v>
      </c>
      <c r="BU37" s="68">
        <v>29.901800000000001</v>
      </c>
      <c r="BV37" s="68">
        <v>-265.37959999999998</v>
      </c>
      <c r="BW37" s="75"/>
      <c r="BY37" s="68"/>
      <c r="BZ37" s="68"/>
      <c r="CA37" s="68"/>
      <c r="CC37" s="68"/>
    </row>
    <row r="38" spans="1:81" x14ac:dyDescent="0.15">
      <c r="A38">
        <f t="shared" ref="A38:A101" si="54">A37+500</f>
        <v>2000</v>
      </c>
      <c r="B38">
        <f t="shared" si="33"/>
        <v>2</v>
      </c>
      <c r="C38">
        <f t="shared" si="0"/>
        <v>1.000034393005899</v>
      </c>
      <c r="D38">
        <f t="shared" si="1"/>
        <v>8.2936144346645538E-3</v>
      </c>
      <c r="F38">
        <f t="shared" si="2"/>
        <v>1.1703506752035346</v>
      </c>
      <c r="G38">
        <f t="shared" si="3"/>
        <v>-0.16003187532660407</v>
      </c>
      <c r="H38">
        <f t="shared" si="4"/>
        <v>-0.16003187532660407</v>
      </c>
      <c r="J38">
        <f t="shared" si="5"/>
        <v>15</v>
      </c>
      <c r="M38">
        <f t="shared" si="6"/>
        <v>0.47651180620885136</v>
      </c>
      <c r="N38">
        <f t="shared" si="7"/>
        <v>-1.5707963250000001</v>
      </c>
      <c r="O38">
        <f t="shared" si="8"/>
        <v>1.3125149386088342</v>
      </c>
      <c r="P38">
        <f t="shared" si="9"/>
        <v>0.70456080709699587</v>
      </c>
      <c r="Q38">
        <f t="shared" si="10"/>
        <v>1.0714653764621185</v>
      </c>
      <c r="R38">
        <f t="shared" si="11"/>
        <v>0.36729731156248241</v>
      </c>
      <c r="S38">
        <f t="shared" si="12"/>
        <v>0.9999698458537023</v>
      </c>
      <c r="T38">
        <f t="shared" si="13"/>
        <v>-7.7658609109785672E-3</v>
      </c>
      <c r="U38">
        <f t="shared" si="14"/>
        <v>0.99988341063308905</v>
      </c>
      <c r="V38">
        <f t="shared" si="15"/>
        <v>-1.5270339386848636E-2</v>
      </c>
      <c r="X38">
        <f t="shared" si="34"/>
        <v>21.410290692545829</v>
      </c>
      <c r="Y38">
        <f t="shared" si="16"/>
        <v>-38.600892498093884</v>
      </c>
      <c r="Z38">
        <f t="shared" si="35"/>
        <v>141.39910750190612</v>
      </c>
      <c r="AC38">
        <v>1</v>
      </c>
      <c r="AD38">
        <f t="shared" si="17"/>
        <v>0.85011497109000012</v>
      </c>
      <c r="AE38">
        <f t="shared" si="18"/>
        <v>-1.6024289668987838E-6</v>
      </c>
      <c r="AF38">
        <f t="shared" si="19"/>
        <v>1.0492919451E-4</v>
      </c>
      <c r="AG38">
        <f t="shared" si="36"/>
        <v>7954.4000330090948</v>
      </c>
      <c r="AH38">
        <f t="shared" si="37"/>
        <v>-9651.7119544901998</v>
      </c>
      <c r="AJ38">
        <f t="shared" si="20"/>
        <v>20000</v>
      </c>
      <c r="AK38">
        <f t="shared" si="21"/>
        <v>155.32034061600001</v>
      </c>
      <c r="AL38">
        <v>1</v>
      </c>
      <c r="AM38">
        <f t="shared" si="22"/>
        <v>0.3847571350308</v>
      </c>
      <c r="AN38">
        <f t="shared" si="38"/>
        <v>17473.079884066225</v>
      </c>
      <c r="AO38">
        <f t="shared" si="39"/>
        <v>-6567.5718157416241</v>
      </c>
      <c r="AQ38">
        <f t="shared" si="23"/>
        <v>588.23529411764707</v>
      </c>
      <c r="AR38">
        <f t="shared" si="24"/>
        <v>-2352.9411764705883</v>
      </c>
      <c r="AT38">
        <f t="shared" si="52"/>
        <v>-18030851.638206884</v>
      </c>
      <c r="AU38">
        <f t="shared" si="53"/>
        <v>-24393712.99207446</v>
      </c>
      <c r="AV38">
        <f t="shared" si="42"/>
        <v>-2.2073235227527817</v>
      </c>
      <c r="AW38">
        <f t="shared" si="25"/>
        <v>-5129555.5066265985</v>
      </c>
      <c r="AX38">
        <f t="shared" si="26"/>
        <v>-45050608.596131146</v>
      </c>
      <c r="AY38">
        <f t="shared" si="50"/>
        <v>-1.6841701307236721</v>
      </c>
      <c r="BA38">
        <f t="shared" si="27"/>
        <v>0.66901372588498842</v>
      </c>
      <c r="BB38">
        <f t="shared" si="43"/>
        <v>-3.491299437918312</v>
      </c>
      <c r="BC38">
        <f t="shared" si="44"/>
        <v>-0.5231533920291096</v>
      </c>
      <c r="BD38">
        <f t="shared" si="28"/>
        <v>-209.97448143547183</v>
      </c>
      <c r="BF38">
        <f t="shared" si="29"/>
        <v>21.397144672426293</v>
      </c>
      <c r="BG38">
        <f t="shared" si="30"/>
        <v>-38.668443385169248</v>
      </c>
      <c r="BH38">
        <f t="shared" si="45"/>
        <v>141.33155661483076</v>
      </c>
      <c r="BI38">
        <f t="shared" si="46"/>
        <v>141.33155661483076</v>
      </c>
      <c r="BJ38">
        <f t="shared" si="31"/>
        <v>0</v>
      </c>
      <c r="BK38">
        <f t="shared" si="47"/>
        <v>0</v>
      </c>
      <c r="BM38">
        <f t="shared" si="48"/>
        <v>24.888444110344604</v>
      </c>
      <c r="BN38">
        <f t="shared" si="32"/>
        <v>-8.6939619496974281</v>
      </c>
      <c r="BQ38" s="66">
        <f t="shared" si="49"/>
        <v>13.410661362366824</v>
      </c>
      <c r="BR38" s="68"/>
      <c r="BS38" s="68"/>
      <c r="BT38" s="68">
        <v>190.54599999999999</v>
      </c>
      <c r="BU38" s="68">
        <v>29.566700000000001</v>
      </c>
      <c r="BV38" s="68">
        <v>-265.89449999999999</v>
      </c>
      <c r="BW38" s="75"/>
      <c r="BY38" s="68"/>
      <c r="BZ38" s="68"/>
      <c r="CA38" s="68"/>
      <c r="CC38" s="68"/>
    </row>
    <row r="39" spans="1:81" x14ac:dyDescent="0.15">
      <c r="A39">
        <f t="shared" si="54"/>
        <v>2500</v>
      </c>
      <c r="B39">
        <f t="shared" si="33"/>
        <v>2.5</v>
      </c>
      <c r="C39">
        <f t="shared" si="0"/>
        <v>1.0000537385519253</v>
      </c>
      <c r="D39">
        <f t="shared" si="1"/>
        <v>1.0366884344763483E-2</v>
      </c>
      <c r="F39">
        <f t="shared" si="2"/>
        <v>1.3063523101861922</v>
      </c>
      <c r="G39">
        <f t="shared" si="3"/>
        <v>-0.22420753885975342</v>
      </c>
      <c r="H39">
        <f t="shared" si="4"/>
        <v>-0.22420753885975342</v>
      </c>
      <c r="J39">
        <f t="shared" si="5"/>
        <v>15</v>
      </c>
      <c r="M39">
        <f t="shared" si="6"/>
        <v>0.38120944496708109</v>
      </c>
      <c r="N39">
        <f t="shared" si="7"/>
        <v>-1.5707963250000001</v>
      </c>
      <c r="O39">
        <f t="shared" si="8"/>
        <v>1.4591818469990252</v>
      </c>
      <c r="P39">
        <f t="shared" si="9"/>
        <v>0.81575942443569838</v>
      </c>
      <c r="Q39">
        <f t="shared" si="10"/>
        <v>1.1096438427466191</v>
      </c>
      <c r="R39">
        <f t="shared" si="11"/>
        <v>0.44828888713690584</v>
      </c>
      <c r="S39">
        <f t="shared" si="12"/>
        <v>0.99995288534511195</v>
      </c>
      <c r="T39">
        <f t="shared" si="13"/>
        <v>-9.7072163731799724E-3</v>
      </c>
      <c r="U39">
        <f t="shared" si="14"/>
        <v>0.99981784703211196</v>
      </c>
      <c r="V39">
        <f t="shared" si="15"/>
        <v>-1.9087089778554105E-2</v>
      </c>
      <c r="X39">
        <f t="shared" si="34"/>
        <v>21.650640304011631</v>
      </c>
      <c r="Y39">
        <f t="shared" si="16"/>
        <v>-31.477325787906199</v>
      </c>
      <c r="Z39">
        <f t="shared" si="35"/>
        <v>148.52267421209379</v>
      </c>
      <c r="AC39">
        <v>1</v>
      </c>
      <c r="AD39">
        <f t="shared" si="17"/>
        <v>1.0626437138625</v>
      </c>
      <c r="AE39">
        <f t="shared" si="18"/>
        <v>-2.5037952607793502E-6</v>
      </c>
      <c r="AF39">
        <f t="shared" si="19"/>
        <v>1.3116149313749999E-4</v>
      </c>
      <c r="AG39">
        <f t="shared" si="36"/>
        <v>7953.3569073688413</v>
      </c>
      <c r="AH39">
        <f t="shared" si="37"/>
        <v>-7776.0137745821103</v>
      </c>
      <c r="AJ39">
        <f t="shared" si="20"/>
        <v>20000</v>
      </c>
      <c r="AK39">
        <f t="shared" si="21"/>
        <v>194.15042577</v>
      </c>
      <c r="AL39">
        <v>1</v>
      </c>
      <c r="AM39">
        <f t="shared" si="22"/>
        <v>0.48094641878849997</v>
      </c>
      <c r="AN39">
        <f t="shared" si="38"/>
        <v>16318.705119646476</v>
      </c>
      <c r="AO39">
        <f t="shared" si="39"/>
        <v>-7654.2723607895332</v>
      </c>
      <c r="AQ39">
        <f t="shared" si="23"/>
        <v>384.61538461538464</v>
      </c>
      <c r="AR39">
        <f t="shared" si="24"/>
        <v>-1923.0769230769231</v>
      </c>
      <c r="AT39">
        <f t="shared" si="52"/>
        <v>-11894889.217516042</v>
      </c>
      <c r="AU39">
        <f t="shared" si="53"/>
        <v>-18285691.658240892</v>
      </c>
      <c r="AV39">
        <f t="shared" si="42"/>
        <v>-2.147524759082768</v>
      </c>
      <c r="AW39">
        <f t="shared" si="25"/>
        <v>-8400611.8827576581</v>
      </c>
      <c r="AX39">
        <f t="shared" si="26"/>
        <v>-34390796.478603862</v>
      </c>
      <c r="AY39">
        <f t="shared" si="50"/>
        <v>-1.8103740528809034</v>
      </c>
      <c r="BA39">
        <f t="shared" si="27"/>
        <v>0.61618376108389461</v>
      </c>
      <c r="BB39">
        <f t="shared" si="43"/>
        <v>-4.2057950254314278</v>
      </c>
      <c r="BC39">
        <f t="shared" si="44"/>
        <v>-0.3371507062018646</v>
      </c>
      <c r="BD39">
        <f t="shared" si="28"/>
        <v>-199.31731254729527</v>
      </c>
      <c r="BF39">
        <f t="shared" si="29"/>
        <v>21.637703262771314</v>
      </c>
      <c r="BG39">
        <f t="shared" si="30"/>
        <v>-31.569479553319493</v>
      </c>
      <c r="BH39">
        <f t="shared" si="45"/>
        <v>148.4305204466805</v>
      </c>
      <c r="BI39">
        <f t="shared" si="46"/>
        <v>148.4305204466805</v>
      </c>
      <c r="BJ39">
        <f t="shared" si="31"/>
        <v>0</v>
      </c>
      <c r="BK39">
        <f t="shared" si="47"/>
        <v>0</v>
      </c>
      <c r="BM39">
        <f t="shared" si="48"/>
        <v>25.843498288202742</v>
      </c>
      <c r="BN39">
        <f t="shared" si="32"/>
        <v>-12.252167006024216</v>
      </c>
      <c r="BQ39" s="66">
        <f t="shared" si="49"/>
        <v>12.696165774853709</v>
      </c>
      <c r="BR39" s="68"/>
      <c r="BS39" s="68"/>
      <c r="BT39" s="68">
        <v>194.98400000000001</v>
      </c>
      <c r="BU39" s="68">
        <v>29.685600000000001</v>
      </c>
      <c r="BV39" s="68">
        <v>-265.6327</v>
      </c>
      <c r="BW39" s="75"/>
      <c r="BY39" s="68"/>
      <c r="BZ39" s="68"/>
      <c r="CA39" s="68"/>
      <c r="CC39" s="68"/>
    </row>
    <row r="40" spans="1:81" x14ac:dyDescent="0.15">
      <c r="A40">
        <f t="shared" si="54"/>
        <v>3000</v>
      </c>
      <c r="B40">
        <f t="shared" si="33"/>
        <v>3</v>
      </c>
      <c r="C40">
        <f t="shared" si="0"/>
        <v>1.0000773825999778</v>
      </c>
      <c r="D40">
        <f t="shared" si="1"/>
        <v>1.2440065132599378E-2</v>
      </c>
      <c r="F40">
        <f t="shared" si="2"/>
        <v>1.5153055768124974</v>
      </c>
      <c r="G40">
        <f t="shared" si="3"/>
        <v>-0.31464168823175903</v>
      </c>
      <c r="H40">
        <f t="shared" si="4"/>
        <v>-0.31464168823175903</v>
      </c>
      <c r="J40">
        <f t="shared" si="5"/>
        <v>15</v>
      </c>
      <c r="M40">
        <f t="shared" si="6"/>
        <v>0.31767453747256763</v>
      </c>
      <c r="N40">
        <f t="shared" si="7"/>
        <v>-1.5707963250000001</v>
      </c>
      <c r="O40">
        <f t="shared" si="8"/>
        <v>1.6205137438974535</v>
      </c>
      <c r="P40">
        <f t="shared" si="9"/>
        <v>0.90575931695235035</v>
      </c>
      <c r="Q40">
        <f t="shared" si="10"/>
        <v>1.1545932700104811</v>
      </c>
      <c r="R40">
        <f t="shared" si="11"/>
        <v>0.52343783566417657</v>
      </c>
      <c r="S40">
        <f t="shared" si="12"/>
        <v>0.99993215700654403</v>
      </c>
      <c r="T40">
        <f t="shared" si="13"/>
        <v>-1.1648498665633795E-2</v>
      </c>
      <c r="U40">
        <f t="shared" si="14"/>
        <v>0.9997377312541057</v>
      </c>
      <c r="V40">
        <f t="shared" si="15"/>
        <v>-2.2903284080899276E-2</v>
      </c>
      <c r="X40">
        <f t="shared" si="34"/>
        <v>22.610917024699173</v>
      </c>
      <c r="Y40">
        <f t="shared" si="16"/>
        <v>-27.407583883050485</v>
      </c>
      <c r="Z40">
        <f t="shared" si="35"/>
        <v>152.59241611694952</v>
      </c>
      <c r="AA40">
        <f>20*LOG(7)</f>
        <v>16.901960800285135</v>
      </c>
      <c r="AC40">
        <v>1</v>
      </c>
      <c r="AD40">
        <f t="shared" si="17"/>
        <v>1.2751724566350002</v>
      </c>
      <c r="AE40">
        <f t="shared" si="18"/>
        <v>-3.6054651755222649E-6</v>
      </c>
      <c r="AF40">
        <f t="shared" si="19"/>
        <v>1.5739379176500003E-4</v>
      </c>
      <c r="AG40">
        <f t="shared" si="36"/>
        <v>7952.082347509413</v>
      </c>
      <c r="AH40">
        <f t="shared" si="37"/>
        <v>-6535.6514030280705</v>
      </c>
      <c r="AJ40">
        <f t="shared" si="20"/>
        <v>20000</v>
      </c>
      <c r="AK40">
        <f t="shared" si="21"/>
        <v>232.98051092400001</v>
      </c>
      <c r="AL40">
        <v>1</v>
      </c>
      <c r="AM40">
        <f t="shared" si="22"/>
        <v>0.57713570254619995</v>
      </c>
      <c r="AN40">
        <f t="shared" si="38"/>
        <v>15103.652069727526</v>
      </c>
      <c r="AO40">
        <f t="shared" si="39"/>
        <v>-8483.8763373515631</v>
      </c>
      <c r="AQ40">
        <f t="shared" si="23"/>
        <v>270.27027027027026</v>
      </c>
      <c r="AR40">
        <f t="shared" si="24"/>
        <v>-1621.6216216216217</v>
      </c>
      <c r="AT40">
        <f t="shared" si="52"/>
        <v>-8449142.1812591925</v>
      </c>
      <c r="AU40">
        <f t="shared" si="53"/>
        <v>-14661660.942725554</v>
      </c>
      <c r="AV40">
        <f t="shared" si="42"/>
        <v>-2.093587943303715</v>
      </c>
      <c r="AW40">
        <f t="shared" si="25"/>
        <v>-9635540.7629289124</v>
      </c>
      <c r="AX40">
        <f t="shared" si="26"/>
        <v>-26843989.220722783</v>
      </c>
      <c r="AY40">
        <f t="shared" si="50"/>
        <v>-1.9154184613291974</v>
      </c>
      <c r="BA40">
        <f t="shared" si="27"/>
        <v>0.5933168346551948</v>
      </c>
      <c r="BB40">
        <f t="shared" si="43"/>
        <v>-4.534266578029901</v>
      </c>
      <c r="BC40">
        <f t="shared" si="44"/>
        <v>-0.17816948197451765</v>
      </c>
      <c r="BD40">
        <f t="shared" si="28"/>
        <v>-190.20835936683682</v>
      </c>
      <c r="BF40">
        <f t="shared" si="29"/>
        <v>22.598235145372591</v>
      </c>
      <c r="BG40">
        <f t="shared" si="30"/>
        <v>-27.523236952206997</v>
      </c>
      <c r="BH40">
        <f t="shared" si="45"/>
        <v>152.47676304779301</v>
      </c>
      <c r="BI40">
        <f t="shared" si="46"/>
        <v>152.47676304779301</v>
      </c>
      <c r="BJ40">
        <f t="shared" si="31"/>
        <v>0</v>
      </c>
      <c r="BK40">
        <f t="shared" si="47"/>
        <v>0</v>
      </c>
      <c r="BM40">
        <f t="shared" si="48"/>
        <v>27.132501723402491</v>
      </c>
      <c r="BN40">
        <f t="shared" si="32"/>
        <v>-17.314877585370191</v>
      </c>
      <c r="BQ40" s="66">
        <f t="shared" si="49"/>
        <v>12.367694222255237</v>
      </c>
      <c r="BR40" s="68"/>
      <c r="BS40" s="68"/>
      <c r="BT40" s="68">
        <v>199.52600000000001</v>
      </c>
      <c r="BU40" s="68">
        <v>29.050999999999998</v>
      </c>
      <c r="BV40" s="68">
        <v>-267.80150000000003</v>
      </c>
      <c r="BW40" s="75"/>
      <c r="BY40" s="68"/>
      <c r="BZ40" s="68"/>
      <c r="CA40" s="68"/>
      <c r="CC40" s="68"/>
    </row>
    <row r="41" spans="1:81" x14ac:dyDescent="0.15">
      <c r="A41">
        <f t="shared" si="54"/>
        <v>3500</v>
      </c>
      <c r="B41">
        <f t="shared" si="33"/>
        <v>3.5</v>
      </c>
      <c r="C41">
        <f t="shared" si="0"/>
        <v>1.000105324845187</v>
      </c>
      <c r="D41">
        <f t="shared" si="1"/>
        <v>1.4513138983833036E-2</v>
      </c>
      <c r="F41">
        <f t="shared" si="2"/>
        <v>1.8440290321743034</v>
      </c>
      <c r="G41">
        <f t="shared" si="3"/>
        <v>-0.45490914197649568</v>
      </c>
      <c r="H41">
        <f t="shared" si="4"/>
        <v>-0.45490914197649568</v>
      </c>
      <c r="J41">
        <f t="shared" si="5"/>
        <v>15</v>
      </c>
      <c r="M41">
        <f t="shared" si="6"/>
        <v>0.27229246069077223</v>
      </c>
      <c r="N41">
        <f t="shared" si="7"/>
        <v>-1.5707963250000001</v>
      </c>
      <c r="O41">
        <f t="shared" si="8"/>
        <v>1.7925553990653997</v>
      </c>
      <c r="P41">
        <f t="shared" si="9"/>
        <v>0.97898789187684909</v>
      </c>
      <c r="Q41">
        <f t="shared" si="10"/>
        <v>1.2055565259170336</v>
      </c>
      <c r="R41">
        <f t="shared" si="11"/>
        <v>0.59259805485508898</v>
      </c>
      <c r="S41">
        <f t="shared" si="12"/>
        <v>0.99990766154098598</v>
      </c>
      <c r="T41">
        <f t="shared" si="13"/>
        <v>-1.3589693161670699E-2</v>
      </c>
      <c r="U41">
        <f t="shared" si="14"/>
        <v>0.99964307379636852</v>
      </c>
      <c r="V41">
        <f t="shared" si="15"/>
        <v>-2.6718811289868031E-2</v>
      </c>
      <c r="X41">
        <f t="shared" si="34"/>
        <v>24.22810783234549</v>
      </c>
      <c r="Y41">
        <f t="shared" si="16"/>
        <v>-27.497097508235953</v>
      </c>
      <c r="Z41">
        <f t="shared" si="35"/>
        <v>152.50290249176405</v>
      </c>
      <c r="AC41">
        <v>1</v>
      </c>
      <c r="AD41">
        <f t="shared" si="17"/>
        <v>1.4877011994075002</v>
      </c>
      <c r="AE41">
        <f t="shared" si="18"/>
        <v>-4.907438711127526E-6</v>
      </c>
      <c r="AF41">
        <f t="shared" si="19"/>
        <v>1.8362609039250004E-4</v>
      </c>
      <c r="AG41">
        <f t="shared" si="36"/>
        <v>7950.576576064781</v>
      </c>
      <c r="AH41">
        <f t="shared" si="37"/>
        <v>-5658.329734321901</v>
      </c>
      <c r="AJ41">
        <f t="shared" si="20"/>
        <v>20000</v>
      </c>
      <c r="AK41">
        <f t="shared" si="21"/>
        <v>271.810596078</v>
      </c>
      <c r="AL41">
        <v>1</v>
      </c>
      <c r="AM41">
        <f t="shared" si="22"/>
        <v>0.67332498630390003</v>
      </c>
      <c r="AN41">
        <f t="shared" si="38"/>
        <v>13887.07965234091</v>
      </c>
      <c r="AO41">
        <f t="shared" si="39"/>
        <v>-9078.7071206356104</v>
      </c>
      <c r="AQ41">
        <f t="shared" si="23"/>
        <v>200</v>
      </c>
      <c r="AR41">
        <f t="shared" si="24"/>
        <v>-1400</v>
      </c>
      <c r="AT41">
        <f t="shared" si="52"/>
        <v>-6331546.312837705</v>
      </c>
      <c r="AU41">
        <f t="shared" si="53"/>
        <v>-12262473.153355073</v>
      </c>
      <c r="AV41">
        <f t="shared" si="42"/>
        <v>-2.0474265183986482</v>
      </c>
      <c r="AW41">
        <f t="shared" si="25"/>
        <v>-9895438.3896104805</v>
      </c>
      <c r="AX41">
        <f t="shared" si="26"/>
        <v>-21311964.115131531</v>
      </c>
      <c r="AY41">
        <f t="shared" si="50"/>
        <v>-2.0054896215875759</v>
      </c>
      <c r="BA41">
        <f t="shared" si="27"/>
        <v>0.58732922132620113</v>
      </c>
      <c r="BB41">
        <f t="shared" si="43"/>
        <v>-4.6223678242776094</v>
      </c>
      <c r="BC41">
        <f t="shared" si="44"/>
        <v>-4.1936896811072266E-2</v>
      </c>
      <c r="BD41">
        <f t="shared" si="28"/>
        <v>-182.40280719589569</v>
      </c>
      <c r="BF41">
        <f t="shared" si="29"/>
        <v>24.215727233687808</v>
      </c>
      <c r="BG41">
        <f t="shared" si="30"/>
        <v>-27.635639510638743</v>
      </c>
      <c r="BH41">
        <f t="shared" si="45"/>
        <v>152.36436048936125</v>
      </c>
      <c r="BI41">
        <f t="shared" si="46"/>
        <v>152.36436048936125</v>
      </c>
      <c r="BJ41">
        <f t="shared" si="31"/>
        <v>0</v>
      </c>
      <c r="BK41">
        <f t="shared" si="47"/>
        <v>0</v>
      </c>
      <c r="BM41">
        <f t="shared" si="48"/>
        <v>28.838095057965415</v>
      </c>
      <c r="BN41">
        <f t="shared" si="32"/>
        <v>-25.232832314743057</v>
      </c>
      <c r="BQ41" s="66">
        <f t="shared" si="49"/>
        <v>12.279592976007528</v>
      </c>
      <c r="BR41" s="68"/>
      <c r="BS41" s="68"/>
      <c r="BT41" s="68">
        <v>204.17400000000001</v>
      </c>
      <c r="BU41" s="68">
        <v>28.424299999999999</v>
      </c>
      <c r="BV41" s="68">
        <v>-264.16840000000002</v>
      </c>
      <c r="BW41" s="75"/>
      <c r="BY41" s="68"/>
      <c r="BZ41" s="68"/>
      <c r="CA41" s="68"/>
      <c r="CC41" s="68"/>
    </row>
    <row r="42" spans="1:81" x14ac:dyDescent="0.15">
      <c r="A42">
        <f t="shared" si="54"/>
        <v>4000</v>
      </c>
      <c r="B42">
        <f t="shared" si="33"/>
        <v>4</v>
      </c>
      <c r="C42">
        <f t="shared" si="0"/>
        <v>1.0001375649272986</v>
      </c>
      <c r="D42">
        <f t="shared" si="1"/>
        <v>1.65860880896395E-2</v>
      </c>
      <c r="F42">
        <f t="shared" si="2"/>
        <v>2.3578511528976898</v>
      </c>
      <c r="G42">
        <f t="shared" si="3"/>
        <v>-0.69719370242214895</v>
      </c>
      <c r="H42">
        <f t="shared" si="4"/>
        <v>-0.69719370242214895</v>
      </c>
      <c r="J42">
        <f t="shared" si="5"/>
        <v>15</v>
      </c>
      <c r="M42">
        <f t="shared" si="6"/>
        <v>0.23825590310442568</v>
      </c>
      <c r="N42">
        <f t="shared" si="7"/>
        <v>-1.5707963250000001</v>
      </c>
      <c r="O42">
        <f t="shared" si="8"/>
        <v>1.972506490809449</v>
      </c>
      <c r="P42">
        <f t="shared" si="9"/>
        <v>1.0391313646968685</v>
      </c>
      <c r="Q42">
        <f t="shared" si="10"/>
        <v>1.2618051401973434</v>
      </c>
      <c r="R42">
        <f t="shared" si="11"/>
        <v>0.65587371202790434</v>
      </c>
      <c r="S42">
        <f t="shared" si="12"/>
        <v>0.99987939977908336</v>
      </c>
      <c r="T42">
        <f t="shared" si="13"/>
        <v>-1.5530785238590982E-2</v>
      </c>
      <c r="U42">
        <f t="shared" si="14"/>
        <v>0.99953388705576296</v>
      </c>
      <c r="V42">
        <f t="shared" si="15"/>
        <v>-3.0533560517938336E-2</v>
      </c>
      <c r="X42">
        <f t="shared" si="34"/>
        <v>26.429338605174671</v>
      </c>
      <c r="Y42">
        <f t="shared" si="16"/>
        <v>-34.518599190626396</v>
      </c>
      <c r="Z42">
        <f t="shared" si="35"/>
        <v>145.48140080937361</v>
      </c>
      <c r="AC42">
        <v>1</v>
      </c>
      <c r="AD42">
        <f t="shared" si="17"/>
        <v>1.7002299421800002</v>
      </c>
      <c r="AE42">
        <f t="shared" si="18"/>
        <v>-6.4097158675951354E-6</v>
      </c>
      <c r="AF42">
        <f t="shared" si="19"/>
        <v>2.0985838901999999E-4</v>
      </c>
      <c r="AG42">
        <f t="shared" si="36"/>
        <v>7948.8398559178877</v>
      </c>
      <c r="AH42">
        <f t="shared" si="37"/>
        <v>-5007.8998979320841</v>
      </c>
      <c r="AJ42">
        <f t="shared" si="20"/>
        <v>20000</v>
      </c>
      <c r="AK42">
        <f t="shared" si="21"/>
        <v>310.64068123200002</v>
      </c>
      <c r="AL42">
        <v>1</v>
      </c>
      <c r="AM42">
        <f t="shared" si="22"/>
        <v>0.7695142700616</v>
      </c>
      <c r="AN42">
        <f t="shared" si="38"/>
        <v>12711.750978775481</v>
      </c>
      <c r="AO42">
        <f t="shared" si="39"/>
        <v>-9471.2330944052428</v>
      </c>
      <c r="AQ42">
        <f t="shared" si="23"/>
        <v>153.84615384615384</v>
      </c>
      <c r="AR42">
        <f t="shared" si="24"/>
        <v>-1230.7692307692307</v>
      </c>
      <c r="AT42">
        <f t="shared" si="52"/>
        <v>-4940670.6657751976</v>
      </c>
      <c r="AU42">
        <f t="shared" si="53"/>
        <v>-10553633.653119259</v>
      </c>
      <c r="AV42">
        <f t="shared" si="42"/>
        <v>-2.0086398548641018</v>
      </c>
      <c r="AW42">
        <f t="shared" si="25"/>
        <v>-9666514.3525052313</v>
      </c>
      <c r="AX42">
        <f t="shared" si="26"/>
        <v>-17153296.819652349</v>
      </c>
      <c r="AY42">
        <f t="shared" si="50"/>
        <v>-2.0839730526177278</v>
      </c>
      <c r="BA42">
        <f t="shared" si="27"/>
        <v>0.5918312337778856</v>
      </c>
      <c r="BB42">
        <f t="shared" si="43"/>
        <v>-4.5560423752805326</v>
      </c>
      <c r="BC42">
        <f t="shared" si="44"/>
        <v>7.5333197753626013E-2</v>
      </c>
      <c r="BD42">
        <f t="shared" si="28"/>
        <v>-175.68372570656075</v>
      </c>
      <c r="BF42">
        <f t="shared" si="29"/>
        <v>26.417305304592293</v>
      </c>
      <c r="BG42">
        <f t="shared" si="30"/>
        <v>-34.679669556840544</v>
      </c>
      <c r="BH42">
        <f t="shared" si="45"/>
        <v>145.32033044315946</v>
      </c>
      <c r="BI42">
        <f t="shared" si="46"/>
        <v>145.32033044315946</v>
      </c>
      <c r="BJ42">
        <f t="shared" si="31"/>
        <v>0</v>
      </c>
      <c r="BK42">
        <f t="shared" si="47"/>
        <v>0</v>
      </c>
      <c r="BM42">
        <f t="shared" si="48"/>
        <v>30.973347679872827</v>
      </c>
      <c r="BN42">
        <f t="shared" si="32"/>
        <v>-38.995943850279794</v>
      </c>
      <c r="BQ42" s="66">
        <f t="shared" si="49"/>
        <v>12.345918425004603</v>
      </c>
      <c r="BR42" s="68"/>
      <c r="BS42" s="68"/>
      <c r="BT42" s="68">
        <v>208.93</v>
      </c>
      <c r="BU42" s="68">
        <v>28.510899999999999</v>
      </c>
      <c r="BV42" s="68">
        <v>-267.69110000000001</v>
      </c>
      <c r="BW42" s="75"/>
      <c r="BY42" s="68"/>
      <c r="BZ42" s="68"/>
      <c r="CA42" s="68"/>
      <c r="CC42" s="68"/>
    </row>
    <row r="43" spans="1:81" x14ac:dyDescent="0.15">
      <c r="A43">
        <f t="shared" si="54"/>
        <v>4500</v>
      </c>
      <c r="B43">
        <f t="shared" si="33"/>
        <v>4.5</v>
      </c>
      <c r="C43">
        <f t="shared" si="0"/>
        <v>1.0001741024306969</v>
      </c>
      <c r="D43">
        <f t="shared" si="1"/>
        <v>1.865889464762531E-2</v>
      </c>
      <c r="F43">
        <f t="shared" si="2"/>
        <v>2.9632053036392012</v>
      </c>
      <c r="G43">
        <f t="shared" si="3"/>
        <v>-1.1379548107041131</v>
      </c>
      <c r="H43">
        <f t="shared" si="4"/>
        <v>-1.1379548107041131</v>
      </c>
      <c r="J43">
        <f t="shared" si="5"/>
        <v>15</v>
      </c>
      <c r="M43">
        <f t="shared" si="6"/>
        <v>0.2117830249817117</v>
      </c>
      <c r="N43">
        <f t="shared" si="7"/>
        <v>-1.5707963250000001</v>
      </c>
      <c r="O43">
        <f t="shared" si="8"/>
        <v>2.158389628139743</v>
      </c>
      <c r="P43">
        <f t="shared" si="9"/>
        <v>1.089071524178435</v>
      </c>
      <c r="Q43">
        <f t="shared" si="10"/>
        <v>1.3226649776475394</v>
      </c>
      <c r="R43">
        <f t="shared" si="11"/>
        <v>0.71354043538354128</v>
      </c>
      <c r="S43">
        <f t="shared" si="12"/>
        <v>0.99984737267906298</v>
      </c>
      <c r="T43">
        <f t="shared" si="13"/>
        <v>-1.747176027832506E-2</v>
      </c>
      <c r="U43">
        <f t="shared" si="14"/>
        <v>0.99941018532421144</v>
      </c>
      <c r="V43">
        <f t="shared" si="15"/>
        <v>-3.4347421013369288E-2</v>
      </c>
      <c r="X43">
        <f t="shared" si="34"/>
        <v>28.581538684051839</v>
      </c>
      <c r="Y43">
        <f t="shared" si="16"/>
        <v>-53.817894978051022</v>
      </c>
      <c r="Z43">
        <f t="shared" si="35"/>
        <v>126.18210502194898</v>
      </c>
      <c r="AC43">
        <v>1</v>
      </c>
      <c r="AD43">
        <f t="shared" si="17"/>
        <v>1.9127586849525002</v>
      </c>
      <c r="AE43">
        <f t="shared" si="18"/>
        <v>-8.112296644925095E-6</v>
      </c>
      <c r="AF43">
        <f t="shared" si="19"/>
        <v>2.360906876475E-4</v>
      </c>
      <c r="AG43">
        <f t="shared" si="36"/>
        <v>7946.8724900860143</v>
      </c>
      <c r="AH43">
        <f t="shared" si="37"/>
        <v>-4508.7224644298421</v>
      </c>
      <c r="AJ43">
        <f t="shared" si="20"/>
        <v>20000</v>
      </c>
      <c r="AK43">
        <f t="shared" si="21"/>
        <v>349.47076638599998</v>
      </c>
      <c r="AL43">
        <v>1</v>
      </c>
      <c r="AM43">
        <f t="shared" si="22"/>
        <v>0.86570355381929998</v>
      </c>
      <c r="AN43">
        <f t="shared" si="38"/>
        <v>11605.146453097854</v>
      </c>
      <c r="AO43">
        <f t="shared" si="39"/>
        <v>-9697.1457606542572</v>
      </c>
      <c r="AQ43">
        <f t="shared" si="23"/>
        <v>121.95121951219512</v>
      </c>
      <c r="AR43">
        <f t="shared" si="24"/>
        <v>-1097.560975609756</v>
      </c>
      <c r="AT43">
        <f t="shared" si="52"/>
        <v>-3979467.0353393373</v>
      </c>
      <c r="AU43">
        <f t="shared" si="53"/>
        <v>-9272021.3262443878</v>
      </c>
      <c r="AV43">
        <f t="shared" si="42"/>
        <v>-1.9762113292508316</v>
      </c>
      <c r="AW43">
        <f t="shared" si="25"/>
        <v>-9195662.9741357006</v>
      </c>
      <c r="AX43">
        <f t="shared" si="26"/>
        <v>-13968104.403596431</v>
      </c>
      <c r="AY43">
        <f t="shared" si="50"/>
        <v>-2.1530072017052104</v>
      </c>
      <c r="BA43">
        <f t="shared" si="27"/>
        <v>0.60334583923715202</v>
      </c>
      <c r="BB43">
        <f t="shared" si="43"/>
        <v>-4.388673557604112</v>
      </c>
      <c r="BC43">
        <f t="shared" si="44"/>
        <v>0.17679587245437878</v>
      </c>
      <c r="BD43">
        <f t="shared" si="28"/>
        <v>-169.87034266145608</v>
      </c>
      <c r="BF43">
        <f t="shared" si="29"/>
        <v>28.569898572714244</v>
      </c>
      <c r="BG43">
        <f t="shared" si="30"/>
        <v>-54.001274751002356</v>
      </c>
      <c r="BH43">
        <f t="shared" si="45"/>
        <v>125.99872524899764</v>
      </c>
      <c r="BI43">
        <f t="shared" si="46"/>
        <v>125.99872524899764</v>
      </c>
      <c r="BJ43">
        <f t="shared" si="31"/>
        <v>0</v>
      </c>
      <c r="BK43">
        <f t="shared" si="47"/>
        <v>0</v>
      </c>
      <c r="BM43">
        <f t="shared" si="48"/>
        <v>32.958572130318359</v>
      </c>
      <c r="BN43">
        <f t="shared" si="32"/>
        <v>-64.130932089546292</v>
      </c>
      <c r="BQ43" s="66">
        <f t="shared" si="49"/>
        <v>12.513287242681026</v>
      </c>
      <c r="BR43" s="68"/>
      <c r="BS43" s="68"/>
      <c r="BT43" s="68">
        <v>213.79599999999999</v>
      </c>
      <c r="BU43" s="68">
        <v>28.178999999999998</v>
      </c>
      <c r="BV43" s="68">
        <v>-266.9667</v>
      </c>
      <c r="BW43" s="75"/>
      <c r="BY43" s="68"/>
      <c r="BZ43" s="68"/>
      <c r="CA43" s="68"/>
      <c r="CC43" s="68"/>
    </row>
    <row r="44" spans="1:81" x14ac:dyDescent="0.15">
      <c r="A44">
        <f t="shared" si="54"/>
        <v>5000</v>
      </c>
      <c r="B44">
        <f t="shared" si="33"/>
        <v>5</v>
      </c>
      <c r="C44">
        <f t="shared" si="0"/>
        <v>1.0002149368844324</v>
      </c>
      <c r="D44">
        <f t="shared" si="1"/>
        <v>2.0731540862744903E-2</v>
      </c>
      <c r="F44">
        <f t="shared" si="2"/>
        <v>2.8877817050138663</v>
      </c>
      <c r="G44">
        <f t="shared" si="3"/>
        <v>1.3859709878377828</v>
      </c>
      <c r="H44">
        <f t="shared" si="4"/>
        <v>-1.7556216621622174</v>
      </c>
      <c r="J44">
        <f t="shared" si="5"/>
        <v>15</v>
      </c>
      <c r="M44">
        <f t="shared" si="6"/>
        <v>0.19060472248354055</v>
      </c>
      <c r="N44">
        <f t="shared" si="7"/>
        <v>-1.5707963250000001</v>
      </c>
      <c r="O44">
        <f t="shared" si="8"/>
        <v>2.3487968516766085</v>
      </c>
      <c r="P44">
        <f t="shared" si="9"/>
        <v>1.1310058497512847</v>
      </c>
      <c r="Q44">
        <f t="shared" si="10"/>
        <v>1.3875293982406041</v>
      </c>
      <c r="R44">
        <f t="shared" si="11"/>
        <v>0.76597693384127152</v>
      </c>
      <c r="S44">
        <f t="shared" si="12"/>
        <v>0.99981158132664272</v>
      </c>
      <c r="T44">
        <f t="shared" si="13"/>
        <v>-1.9412603668093414E-2</v>
      </c>
      <c r="U44">
        <f t="shared" si="14"/>
        <v>0.99927198478350532</v>
      </c>
      <c r="V44">
        <f t="shared" si="15"/>
        <v>-3.8160282179428968E-2</v>
      </c>
      <c r="X44">
        <f t="shared" si="34"/>
        <v>28.591442736595948</v>
      </c>
      <c r="Y44">
        <f t="shared" si="16"/>
        <v>-84.011457927175556</v>
      </c>
      <c r="Z44">
        <f t="shared" si="35"/>
        <v>95.988542072824444</v>
      </c>
      <c r="AC44">
        <v>1</v>
      </c>
      <c r="AD44">
        <f t="shared" si="17"/>
        <v>2.125287427725</v>
      </c>
      <c r="AE44">
        <f t="shared" si="18"/>
        <v>-1.0015181043117401E-5</v>
      </c>
      <c r="AF44">
        <f t="shared" si="19"/>
        <v>2.6232298627499998E-4</v>
      </c>
      <c r="AG44">
        <f t="shared" si="36"/>
        <v>7944.6748215887637</v>
      </c>
      <c r="AH44">
        <f t="shared" si="37"/>
        <v>-4115.4127283957087</v>
      </c>
      <c r="AJ44">
        <f t="shared" si="20"/>
        <v>20000</v>
      </c>
      <c r="AK44">
        <f t="shared" si="21"/>
        <v>388.30085154</v>
      </c>
      <c r="AL44">
        <v>1</v>
      </c>
      <c r="AM44">
        <f t="shared" si="22"/>
        <v>0.96189283757699995</v>
      </c>
      <c r="AN44">
        <f t="shared" si="38"/>
        <v>10582.330910010345</v>
      </c>
      <c r="AO44">
        <f t="shared" si="39"/>
        <v>-9790.7674556686452</v>
      </c>
      <c r="AQ44">
        <f t="shared" si="23"/>
        <v>99.009900990099013</v>
      </c>
      <c r="AR44">
        <f t="shared" si="24"/>
        <v>-990.09900990099015</v>
      </c>
      <c r="AT44">
        <f t="shared" si="52"/>
        <v>-3288064.6002344876</v>
      </c>
      <c r="AU44">
        <f t="shared" si="53"/>
        <v>-8273481.2816122137</v>
      </c>
      <c r="AV44">
        <f t="shared" si="42"/>
        <v>-1.9490784335267755</v>
      </c>
      <c r="AW44">
        <f t="shared" si="25"/>
        <v>-8616054.3388089258</v>
      </c>
      <c r="AX44">
        <f t="shared" si="26"/>
        <v>-11492694.922823498</v>
      </c>
      <c r="AY44">
        <f t="shared" si="50"/>
        <v>-2.2141043470722597</v>
      </c>
      <c r="BA44">
        <f t="shared" si="27"/>
        <v>0.61981648431732594</v>
      </c>
      <c r="BB44">
        <f t="shared" si="43"/>
        <v>-4.1547375534528639</v>
      </c>
      <c r="BC44">
        <f t="shared" si="44"/>
        <v>0.26502591354548422</v>
      </c>
      <c r="BD44">
        <f t="shared" si="28"/>
        <v>-164.81513367489347</v>
      </c>
      <c r="BF44">
        <f t="shared" si="29"/>
        <v>28.580241558721514</v>
      </c>
      <c r="BG44">
        <f t="shared" si="30"/>
        <v>-84.217015657875905</v>
      </c>
      <c r="BH44">
        <f t="shared" si="45"/>
        <v>95.782984342124095</v>
      </c>
      <c r="BI44">
        <f t="shared" si="46"/>
        <v>95.782984342124095</v>
      </c>
      <c r="BJ44">
        <f t="shared" si="31"/>
        <v>0</v>
      </c>
      <c r="BK44">
        <f t="shared" si="47"/>
        <v>0</v>
      </c>
      <c r="BM44">
        <f t="shared" si="48"/>
        <v>32.734979112174379</v>
      </c>
      <c r="BN44">
        <f t="shared" si="32"/>
        <v>-99.401881982982431</v>
      </c>
      <c r="BQ44" s="66">
        <f t="shared" si="49"/>
        <v>12.747223246832274</v>
      </c>
      <c r="BR44" s="68"/>
      <c r="BS44" s="68"/>
      <c r="BT44" s="68">
        <v>218.77600000000001</v>
      </c>
      <c r="BU44" s="68">
        <v>27.706399999999999</v>
      </c>
      <c r="BV44" s="68">
        <v>-263.5369</v>
      </c>
      <c r="BW44" s="75"/>
      <c r="BY44" s="68"/>
      <c r="BZ44" s="68"/>
      <c r="CA44" s="68"/>
      <c r="CC44" s="68"/>
    </row>
    <row r="45" spans="1:81" x14ac:dyDescent="0.15">
      <c r="A45">
        <f t="shared" si="54"/>
        <v>5500</v>
      </c>
      <c r="B45">
        <f t="shared" si="33"/>
        <v>5.5</v>
      </c>
      <c r="C45">
        <f t="shared" si="0"/>
        <v>1.0002600677622506</v>
      </c>
      <c r="D45">
        <f t="shared" si="1"/>
        <v>2.2804008948216093E-2</v>
      </c>
      <c r="F45">
        <f t="shared" si="2"/>
        <v>2.1103166038205456</v>
      </c>
      <c r="G45">
        <f t="shared" si="3"/>
        <v>0.91107131426661037</v>
      </c>
      <c r="H45">
        <f t="shared" si="4"/>
        <v>-2.23052133573339</v>
      </c>
      <c r="J45">
        <f t="shared" si="5"/>
        <v>15</v>
      </c>
      <c r="M45">
        <f t="shared" si="6"/>
        <v>0.17327702043958235</v>
      </c>
      <c r="N45">
        <f t="shared" si="7"/>
        <v>-1.5707963250000001</v>
      </c>
      <c r="O45">
        <f t="shared" si="8"/>
        <v>2.542712025975336</v>
      </c>
      <c r="P45">
        <f t="shared" si="9"/>
        <v>1.1665990258448664</v>
      </c>
      <c r="Q45">
        <f t="shared" si="10"/>
        <v>1.4558632406541967</v>
      </c>
      <c r="R45">
        <f t="shared" si="11"/>
        <v>0.81361215360988182</v>
      </c>
      <c r="S45">
        <f t="shared" si="12"/>
        <v>0.99977202693492928</v>
      </c>
      <c r="T45">
        <f t="shared" si="13"/>
        <v>-2.1353300801065945E-2</v>
      </c>
      <c r="U45">
        <f t="shared" si="14"/>
        <v>0.99911930349943323</v>
      </c>
      <c r="V45">
        <f t="shared" si="15"/>
        <v>-4.1972033593554739E-2</v>
      </c>
      <c r="X45">
        <f t="shared" si="34"/>
        <v>26.144577332052808</v>
      </c>
      <c r="Y45">
        <f t="shared" si="16"/>
        <v>-106.663416471422</v>
      </c>
      <c r="Z45">
        <f t="shared" si="35"/>
        <v>73.336583528578004</v>
      </c>
      <c r="AC45">
        <v>1</v>
      </c>
      <c r="AD45">
        <f t="shared" si="17"/>
        <v>2.3378161704975002</v>
      </c>
      <c r="AE45">
        <f t="shared" si="18"/>
        <v>-1.2118369062172055E-5</v>
      </c>
      <c r="AF45">
        <f t="shared" si="19"/>
        <v>2.8855528490250005E-4</v>
      </c>
      <c r="AG45">
        <f t="shared" si="36"/>
        <v>7942.2472332987654</v>
      </c>
      <c r="AH45">
        <f t="shared" si="37"/>
        <v>-3799.0885646975421</v>
      </c>
      <c r="AJ45">
        <f t="shared" si="20"/>
        <v>20000</v>
      </c>
      <c r="AK45">
        <f t="shared" si="21"/>
        <v>427.13093669400007</v>
      </c>
      <c r="AL45">
        <v>1</v>
      </c>
      <c r="AM45">
        <f t="shared" si="22"/>
        <v>1.0580821213347</v>
      </c>
      <c r="AN45">
        <f t="shared" si="38"/>
        <v>9649.2451534036445</v>
      </c>
      <c r="AO45">
        <f t="shared" si="39"/>
        <v>-9782.5628444979011</v>
      </c>
      <c r="AQ45">
        <f t="shared" si="23"/>
        <v>81.967213114754102</v>
      </c>
      <c r="AR45">
        <f t="shared" si="24"/>
        <v>-901.63934426229503</v>
      </c>
      <c r="AT45">
        <f t="shared" si="52"/>
        <v>-2774403.8506864095</v>
      </c>
      <c r="AU45">
        <f t="shared" si="53"/>
        <v>-7472443.2894249149</v>
      </c>
      <c r="AV45">
        <f t="shared" si="42"/>
        <v>-1.9263057741377363</v>
      </c>
      <c r="AW45">
        <f t="shared" si="25"/>
        <v>-8001468.9566989252</v>
      </c>
      <c r="AX45">
        <f t="shared" si="26"/>
        <v>-9545588.0284053385</v>
      </c>
      <c r="AY45">
        <f t="shared" si="50"/>
        <v>-2.2684218387777459</v>
      </c>
      <c r="BA45">
        <f t="shared" si="27"/>
        <v>0.63994290284941113</v>
      </c>
      <c r="BB45">
        <f t="shared" si="43"/>
        <v>-3.8771754604354252</v>
      </c>
      <c r="BC45">
        <f t="shared" si="44"/>
        <v>0.34211606464000965</v>
      </c>
      <c r="BD45">
        <f t="shared" si="28"/>
        <v>-160.39819337010425</v>
      </c>
      <c r="BF45">
        <f t="shared" si="29"/>
        <v>26.133860665884242</v>
      </c>
      <c r="BG45">
        <f t="shared" si="30"/>
        <v>-106.89107869733827</v>
      </c>
      <c r="BH45">
        <f t="shared" si="45"/>
        <v>73.108921302661727</v>
      </c>
      <c r="BI45">
        <f t="shared" si="46"/>
        <v>73.108921302661727</v>
      </c>
      <c r="BJ45">
        <f t="shared" si="31"/>
        <v>0</v>
      </c>
      <c r="BK45">
        <f t="shared" si="47"/>
        <v>0</v>
      </c>
      <c r="BM45">
        <f t="shared" si="48"/>
        <v>30.011036126319667</v>
      </c>
      <c r="BN45">
        <f t="shared" si="32"/>
        <v>-126.49288532723403</v>
      </c>
      <c r="BQ45" s="66">
        <f t="shared" si="49"/>
        <v>13.024785339849711</v>
      </c>
      <c r="BR45" s="68"/>
      <c r="BS45" s="68"/>
      <c r="BT45" s="68">
        <v>223.87200000000001</v>
      </c>
      <c r="BU45" s="68">
        <v>27.937100000000001</v>
      </c>
      <c r="BV45" s="68">
        <v>-265.19450000000001</v>
      </c>
      <c r="BW45" s="75"/>
      <c r="BY45" s="68"/>
      <c r="BZ45" s="68"/>
      <c r="CA45" s="68"/>
      <c r="CC45" s="68"/>
    </row>
    <row r="46" spans="1:81" x14ac:dyDescent="0.15">
      <c r="A46">
        <f t="shared" si="54"/>
        <v>6000</v>
      </c>
      <c r="B46">
        <f t="shared" si="33"/>
        <v>6</v>
      </c>
      <c r="C46">
        <f t="shared" si="0"/>
        <v>1.0003094944826274</v>
      </c>
      <c r="D46">
        <f t="shared" si="1"/>
        <v>2.4876281126434467E-2</v>
      </c>
      <c r="F46">
        <f t="shared" si="2"/>
        <v>1.4789717377169365</v>
      </c>
      <c r="G46">
        <f t="shared" si="3"/>
        <v>0.64864904969563575</v>
      </c>
      <c r="H46">
        <f t="shared" si="4"/>
        <v>-2.4929436003043643</v>
      </c>
      <c r="J46">
        <f t="shared" si="5"/>
        <v>15</v>
      </c>
      <c r="M46">
        <f t="shared" si="6"/>
        <v>0.15883726873628382</v>
      </c>
      <c r="N46">
        <f t="shared" si="7"/>
        <v>-1.5707963250000001</v>
      </c>
      <c r="O46">
        <f t="shared" si="8"/>
        <v>2.739390292864849</v>
      </c>
      <c r="P46">
        <f t="shared" si="9"/>
        <v>1.1971154745520782</v>
      </c>
      <c r="Q46">
        <f t="shared" si="10"/>
        <v>1.5272008632180587</v>
      </c>
      <c r="R46">
        <f t="shared" si="11"/>
        <v>0.8568879945209974</v>
      </c>
      <c r="S46">
        <f t="shared" si="12"/>
        <v>0.99972871084430315</v>
      </c>
      <c r="T46">
        <f t="shared" si="13"/>
        <v>-2.3293837077020634E-2</v>
      </c>
      <c r="U46">
        <f t="shared" si="14"/>
        <v>0.99895216141523346</v>
      </c>
      <c r="V46">
        <f t="shared" si="15"/>
        <v>-4.5782565026437898E-2</v>
      </c>
      <c r="X46">
        <f t="shared" si="34"/>
        <v>23.362297289122097</v>
      </c>
      <c r="Y46">
        <f t="shared" si="16"/>
        <v>-117.68189739605364</v>
      </c>
      <c r="Z46">
        <f t="shared" si="35"/>
        <v>62.318102603946357</v>
      </c>
      <c r="AC46">
        <v>1</v>
      </c>
      <c r="AD46">
        <f t="shared" si="17"/>
        <v>2.5503449132700005</v>
      </c>
      <c r="AE46">
        <f t="shared" si="18"/>
        <v>-1.4421860702089059E-5</v>
      </c>
      <c r="AF46">
        <f t="shared" si="19"/>
        <v>3.1478758353000006E-4</v>
      </c>
      <c r="AG46">
        <f t="shared" si="36"/>
        <v>7939.5901477752159</v>
      </c>
      <c r="AH46">
        <f t="shared" si="37"/>
        <v>-3540.4943570040073</v>
      </c>
      <c r="AJ46">
        <f t="shared" si="20"/>
        <v>20000</v>
      </c>
      <c r="AK46">
        <f t="shared" si="21"/>
        <v>465.96102184800003</v>
      </c>
      <c r="AL46">
        <v>1</v>
      </c>
      <c r="AM46">
        <f t="shared" si="22"/>
        <v>1.1542714050923999</v>
      </c>
      <c r="AN46">
        <f t="shared" si="38"/>
        <v>8805.6731330567454</v>
      </c>
      <c r="AO46">
        <f t="shared" si="39"/>
        <v>-9698.1756782298053</v>
      </c>
      <c r="AQ46">
        <f t="shared" si="23"/>
        <v>68.965517241379317</v>
      </c>
      <c r="AR46">
        <f t="shared" si="24"/>
        <v>-827.58620689655174</v>
      </c>
      <c r="AT46">
        <f t="shared" si="52"/>
        <v>-2382506.3542257152</v>
      </c>
      <c r="AU46">
        <f t="shared" si="53"/>
        <v>-6814867.3193314895</v>
      </c>
      <c r="AV46">
        <f t="shared" si="42"/>
        <v>-1.9071185121757115</v>
      </c>
      <c r="AW46">
        <f t="shared" si="25"/>
        <v>-7392704.3692121832</v>
      </c>
      <c r="AX46">
        <f t="shared" si="26"/>
        <v>-7997928.1930665858</v>
      </c>
      <c r="AY46">
        <f t="shared" si="50"/>
        <v>-2.3168905733576639</v>
      </c>
      <c r="BA46">
        <f t="shared" si="27"/>
        <v>0.66285723584538658</v>
      </c>
      <c r="BB46">
        <f t="shared" si="43"/>
        <v>-3.5715999706963637</v>
      </c>
      <c r="BC46">
        <f t="shared" si="44"/>
        <v>0.40977206118195242</v>
      </c>
      <c r="BD46">
        <f t="shared" si="28"/>
        <v>-156.5217903050698</v>
      </c>
      <c r="BF46">
        <f t="shared" si="29"/>
        <v>23.352110528689497</v>
      </c>
      <c r="BG46">
        <f t="shared" si="30"/>
        <v>-117.93163140971696</v>
      </c>
      <c r="BH46">
        <f t="shared" si="45"/>
        <v>62.068368590283043</v>
      </c>
      <c r="BI46">
        <f t="shared" si="46"/>
        <v>62.068368590283043</v>
      </c>
      <c r="BJ46">
        <f t="shared" si="31"/>
        <v>0</v>
      </c>
      <c r="BK46">
        <f t="shared" si="47"/>
        <v>0</v>
      </c>
      <c r="BM46">
        <f t="shared" si="48"/>
        <v>26.923710499385862</v>
      </c>
      <c r="BN46">
        <f t="shared" si="32"/>
        <v>-141.40984110464714</v>
      </c>
      <c r="BQ46" s="66">
        <f t="shared" si="49"/>
        <v>13.330360829588772</v>
      </c>
      <c r="BR46" s="68"/>
      <c r="BS46" s="68"/>
      <c r="BT46" s="68">
        <v>229.08699999999999</v>
      </c>
      <c r="BU46" s="68">
        <v>27.676300000000001</v>
      </c>
      <c r="BV46" s="68">
        <v>-266.75440000000003</v>
      </c>
      <c r="BW46" s="75"/>
      <c r="BY46" s="68"/>
      <c r="BZ46" s="68"/>
      <c r="CA46" s="68"/>
      <c r="CC46" s="68"/>
    </row>
    <row r="47" spans="1:81" x14ac:dyDescent="0.15">
      <c r="A47">
        <f t="shared" si="54"/>
        <v>6500</v>
      </c>
      <c r="B47">
        <f t="shared" si="33"/>
        <v>6.5</v>
      </c>
      <c r="C47">
        <f t="shared" si="0"/>
        <v>1.0003632164088061</v>
      </c>
      <c r="D47">
        <f t="shared" si="1"/>
        <v>2.694833962988662E-2</v>
      </c>
      <c r="F47">
        <f t="shared" si="2"/>
        <v>1.0846615911226805</v>
      </c>
      <c r="G47">
        <f t="shared" si="3"/>
        <v>0.50061887897255897</v>
      </c>
      <c r="H47">
        <f t="shared" si="4"/>
        <v>-2.6409737710274412</v>
      </c>
      <c r="J47">
        <f t="shared" si="5"/>
        <v>15</v>
      </c>
      <c r="M47">
        <f t="shared" si="6"/>
        <v>0.14661901729503121</v>
      </c>
      <c r="N47">
        <f t="shared" si="7"/>
        <v>-1.5707963250000001</v>
      </c>
      <c r="O47">
        <f t="shared" si="8"/>
        <v>2.9382768486399731</v>
      </c>
      <c r="P47">
        <f t="shared" si="9"/>
        <v>1.2235226240167321</v>
      </c>
      <c r="Q47">
        <f t="shared" si="10"/>
        <v>1.6011408227758941</v>
      </c>
      <c r="R47">
        <f t="shared" si="11"/>
        <v>0.89623512519164228</v>
      </c>
      <c r="S47">
        <f t="shared" si="12"/>
        <v>0.99968163452229331</v>
      </c>
      <c r="T47">
        <f t="shared" si="13"/>
        <v>-2.5234197903001521E-2</v>
      </c>
      <c r="U47">
        <f t="shared" si="14"/>
        <v>0.99877058034437338</v>
      </c>
      <c r="V47">
        <f t="shared" si="15"/>
        <v>-4.9591766461024249E-2</v>
      </c>
      <c r="X47">
        <f t="shared" si="34"/>
        <v>20.991664759061525</v>
      </c>
      <c r="Y47">
        <f t="shared" si="16"/>
        <v>-122.60666413246705</v>
      </c>
      <c r="Z47">
        <f t="shared" si="35"/>
        <v>57.393335867532954</v>
      </c>
      <c r="AC47">
        <v>1</v>
      </c>
      <c r="AD47">
        <f t="shared" si="17"/>
        <v>2.7628736560425002</v>
      </c>
      <c r="AE47">
        <f t="shared" si="18"/>
        <v>-1.6925655962868409E-5</v>
      </c>
      <c r="AF47">
        <f t="shared" si="19"/>
        <v>3.4101988215750007E-4</v>
      </c>
      <c r="AG47">
        <f t="shared" si="36"/>
        <v>7936.7040270804055</v>
      </c>
      <c r="AH47">
        <f t="shared" si="37"/>
        <v>-3326.2984980963161</v>
      </c>
      <c r="AJ47">
        <f t="shared" si="20"/>
        <v>20000</v>
      </c>
      <c r="AK47">
        <f t="shared" si="21"/>
        <v>504.79110700200005</v>
      </c>
      <c r="AL47">
        <v>1</v>
      </c>
      <c r="AM47">
        <f t="shared" si="22"/>
        <v>1.2504606888501</v>
      </c>
      <c r="AN47">
        <f t="shared" si="38"/>
        <v>8047.5906884535316</v>
      </c>
      <c r="AO47">
        <f t="shared" si="39"/>
        <v>-9558.404688865252</v>
      </c>
      <c r="AQ47">
        <f t="shared" si="23"/>
        <v>58.823529411764703</v>
      </c>
      <c r="AR47">
        <f t="shared" si="24"/>
        <v>-764.70588235294122</v>
      </c>
      <c r="AT47">
        <f t="shared" si="52"/>
        <v>-2076775.0851865709</v>
      </c>
      <c r="AU47">
        <f t="shared" si="53"/>
        <v>-6264908.8735377407</v>
      </c>
      <c r="AV47">
        <f t="shared" si="42"/>
        <v>-1.8908899047643073</v>
      </c>
      <c r="AW47">
        <f t="shared" si="25"/>
        <v>-6811576.0341691189</v>
      </c>
      <c r="AX47">
        <f t="shared" si="26"/>
        <v>-6756124.3566854531</v>
      </c>
      <c r="AY47">
        <f t="shared" si="50"/>
        <v>-2.3602815032554982</v>
      </c>
      <c r="BA47">
        <f t="shared" si="27"/>
        <v>0.68795403125437637</v>
      </c>
      <c r="BB47">
        <f t="shared" si="43"/>
        <v>-3.2488116027182867</v>
      </c>
      <c r="BC47">
        <f t="shared" si="44"/>
        <v>0.46939159849119094</v>
      </c>
      <c r="BD47">
        <f t="shared" si="28"/>
        <v>-153.10584243682442</v>
      </c>
      <c r="BF47">
        <f t="shared" si="29"/>
        <v>20.98205309636618</v>
      </c>
      <c r="BG47">
        <f t="shared" si="30"/>
        <v>-122.87846736690878</v>
      </c>
      <c r="BH47">
        <f t="shared" si="45"/>
        <v>57.121532633091221</v>
      </c>
      <c r="BI47">
        <f t="shared" si="46"/>
        <v>57.121532633091221</v>
      </c>
      <c r="BJ47">
        <f t="shared" si="31"/>
        <v>0</v>
      </c>
      <c r="BK47">
        <f t="shared" si="47"/>
        <v>0</v>
      </c>
      <c r="BM47">
        <f t="shared" si="48"/>
        <v>24.230864699084464</v>
      </c>
      <c r="BN47">
        <f t="shared" si="32"/>
        <v>-149.77262493008436</v>
      </c>
      <c r="BQ47" s="66">
        <f t="shared" si="49"/>
        <v>13.653149197566849</v>
      </c>
      <c r="BR47" s="68"/>
      <c r="BS47" s="68"/>
      <c r="BT47" s="68">
        <v>234.423</v>
      </c>
      <c r="BU47" s="68">
        <v>27.670300000000001</v>
      </c>
      <c r="BV47" s="68">
        <v>-266.76120000000003</v>
      </c>
      <c r="BW47" s="75"/>
      <c r="BY47" s="68"/>
      <c r="BZ47" s="68"/>
      <c r="CA47" s="68"/>
      <c r="CC47" s="68"/>
    </row>
    <row r="48" spans="1:81" x14ac:dyDescent="0.15">
      <c r="A48">
        <f t="shared" si="54"/>
        <v>7000</v>
      </c>
      <c r="B48">
        <f t="shared" si="33"/>
        <v>7</v>
      </c>
      <c r="C48">
        <f t="shared" si="0"/>
        <v>1.000421232848838</v>
      </c>
      <c r="D48">
        <f t="shared" si="1"/>
        <v>2.9020166702062065E-2</v>
      </c>
      <c r="F48">
        <f t="shared" si="2"/>
        <v>0.83392036973669548</v>
      </c>
      <c r="G48">
        <f t="shared" si="3"/>
        <v>0.40868169894984629</v>
      </c>
      <c r="H48">
        <f t="shared" si="4"/>
        <v>-2.7329109510501537</v>
      </c>
      <c r="J48">
        <f t="shared" si="5"/>
        <v>15</v>
      </c>
      <c r="M48">
        <f t="shared" si="6"/>
        <v>0.13614623034538612</v>
      </c>
      <c r="N48">
        <f t="shared" si="7"/>
        <v>-1.5707963250000001</v>
      </c>
      <c r="O48">
        <f t="shared" si="8"/>
        <v>3.1389519644101047</v>
      </c>
      <c r="P48">
        <f t="shared" si="9"/>
        <v>1.2465677311535528</v>
      </c>
      <c r="Q48">
        <f t="shared" si="10"/>
        <v>1.6773390082880053</v>
      </c>
      <c r="R48">
        <f t="shared" si="11"/>
        <v>0.93205872361499598</v>
      </c>
      <c r="S48">
        <f t="shared" si="12"/>
        <v>0.99963079956343925</v>
      </c>
      <c r="T48">
        <f t="shared" si="13"/>
        <v>-2.7174368693975767E-2</v>
      </c>
      <c r="U48">
        <f t="shared" si="14"/>
        <v>0.99857458396266308</v>
      </c>
      <c r="V48">
        <f t="shared" si="15"/>
        <v>-5.3399528111422657E-2</v>
      </c>
      <c r="X48">
        <f t="shared" si="34"/>
        <v>19.0406003278163</v>
      </c>
      <c r="Y48">
        <f t="shared" si="16"/>
        <v>-124.71197347921267</v>
      </c>
      <c r="Z48">
        <f t="shared" si="35"/>
        <v>55.288026520787326</v>
      </c>
      <c r="AC48">
        <v>1</v>
      </c>
      <c r="AD48">
        <f t="shared" si="17"/>
        <v>2.9754023988150005</v>
      </c>
      <c r="AE48">
        <f t="shared" si="18"/>
        <v>-1.9629754844510104E-5</v>
      </c>
      <c r="AF48">
        <f t="shared" si="19"/>
        <v>3.6725218078500008E-4</v>
      </c>
      <c r="AG48">
        <f t="shared" si="36"/>
        <v>7933.5893725793758</v>
      </c>
      <c r="AH48">
        <f t="shared" si="37"/>
        <v>-3146.9776760763307</v>
      </c>
      <c r="AJ48">
        <f t="shared" si="20"/>
        <v>20000</v>
      </c>
      <c r="AK48">
        <f t="shared" si="21"/>
        <v>543.62119215600001</v>
      </c>
      <c r="AL48">
        <v>1</v>
      </c>
      <c r="AM48">
        <f t="shared" si="22"/>
        <v>1.3466499726078001</v>
      </c>
      <c r="AN48">
        <f t="shared" si="38"/>
        <v>7368.870413786296</v>
      </c>
      <c r="AO48">
        <f t="shared" si="39"/>
        <v>-9379.6679487197434</v>
      </c>
      <c r="AQ48">
        <f t="shared" si="23"/>
        <v>50.761421319796952</v>
      </c>
      <c r="AR48">
        <f t="shared" si="24"/>
        <v>-710.65989847715741</v>
      </c>
      <c r="AT48">
        <f t="shared" si="52"/>
        <v>-1833710.5630705205</v>
      </c>
      <c r="AU48">
        <f t="shared" si="53"/>
        <v>-5797828.8777760202</v>
      </c>
      <c r="AV48">
        <f t="shared" si="42"/>
        <v>-1.8771169857623726</v>
      </c>
      <c r="AW48">
        <f t="shared" si="25"/>
        <v>-6268799.2802557973</v>
      </c>
      <c r="AX48">
        <f t="shared" si="26"/>
        <v>-5751033.6998319253</v>
      </c>
      <c r="AY48">
        <f t="shared" si="50"/>
        <v>-2.3992438148413866</v>
      </c>
      <c r="BA48">
        <f t="shared" si="27"/>
        <v>0.71479531094893678</v>
      </c>
      <c r="BB48">
        <f t="shared" si="43"/>
        <v>-2.9163661025019465</v>
      </c>
      <c r="BC48">
        <f t="shared" si="44"/>
        <v>0.52212682907901398</v>
      </c>
      <c r="BD48">
        <f t="shared" si="28"/>
        <v>-150.08433628904038</v>
      </c>
      <c r="BF48">
        <f t="shared" si="29"/>
        <v>19.031608735273338</v>
      </c>
      <c r="BG48">
        <f t="shared" si="30"/>
        <v>-125.00586667352751</v>
      </c>
      <c r="BH48">
        <f t="shared" si="45"/>
        <v>54.994133326472493</v>
      </c>
      <c r="BI48">
        <f t="shared" si="46"/>
        <v>54.994133326472493</v>
      </c>
      <c r="BJ48">
        <f t="shared" si="31"/>
        <v>0</v>
      </c>
      <c r="BK48">
        <f t="shared" si="47"/>
        <v>0</v>
      </c>
      <c r="BM48">
        <f t="shared" si="48"/>
        <v>21.947974837775284</v>
      </c>
      <c r="BN48">
        <f t="shared" si="32"/>
        <v>-154.92153038448714</v>
      </c>
      <c r="BQ48" s="66">
        <f t="shared" si="49"/>
        <v>13.98559469778319</v>
      </c>
      <c r="BR48" s="68"/>
      <c r="BS48" s="68"/>
      <c r="BT48" s="68">
        <v>239.88300000000001</v>
      </c>
      <c r="BU48" s="68">
        <v>27.2761</v>
      </c>
      <c r="BV48" s="68">
        <v>-267.59569999999997</v>
      </c>
      <c r="BW48" s="75"/>
      <c r="BY48" s="68"/>
      <c r="BZ48" s="68"/>
      <c r="CA48" s="68"/>
      <c r="CC48" s="68"/>
    </row>
    <row r="49" spans="1:81" x14ac:dyDescent="0.15">
      <c r="A49">
        <f t="shared" si="54"/>
        <v>7500</v>
      </c>
      <c r="B49">
        <f t="shared" si="33"/>
        <v>7.5</v>
      </c>
      <c r="C49">
        <f t="shared" si="0"/>
        <v>1.0004835430556267</v>
      </c>
      <c r="D49">
        <f t="shared" si="1"/>
        <v>3.1091744598363752E-2</v>
      </c>
      <c r="F49">
        <f t="shared" si="2"/>
        <v>0.66534837651887246</v>
      </c>
      <c r="G49">
        <f t="shared" si="3"/>
        <v>0.34661453936597758</v>
      </c>
      <c r="H49">
        <f t="shared" si="4"/>
        <v>-2.7949781106340228</v>
      </c>
      <c r="J49">
        <f t="shared" si="5"/>
        <v>15</v>
      </c>
      <c r="M49">
        <f t="shared" si="6"/>
        <v>0.12706981498902703</v>
      </c>
      <c r="N49">
        <f t="shared" si="7"/>
        <v>-1.5707963250000001</v>
      </c>
      <c r="O49">
        <f t="shared" si="8"/>
        <v>3.341093378447149</v>
      </c>
      <c r="P49">
        <f t="shared" si="9"/>
        <v>1.2668340149159907</v>
      </c>
      <c r="Q49">
        <f t="shared" si="10"/>
        <v>1.7555013869858804</v>
      </c>
      <c r="R49">
        <f t="shared" si="11"/>
        <v>0.96473119130624729</v>
      </c>
      <c r="S49">
        <f t="shared" si="12"/>
        <v>0.99957620768914079</v>
      </c>
      <c r="T49">
        <f t="shared" si="13"/>
        <v>-2.9114334873489904E-2</v>
      </c>
      <c r="U49">
        <f t="shared" si="14"/>
        <v>0.99836419779970687</v>
      </c>
      <c r="V49">
        <f t="shared" si="15"/>
        <v>-5.7205740441713372E-2</v>
      </c>
      <c r="X49">
        <f t="shared" si="34"/>
        <v>17.415748137421826</v>
      </c>
      <c r="Y49">
        <f t="shared" si="16"/>
        <v>-125.44553184613298</v>
      </c>
      <c r="Z49">
        <f t="shared" si="35"/>
        <v>54.55446815386702</v>
      </c>
      <c r="AC49">
        <v>1</v>
      </c>
      <c r="AD49">
        <f t="shared" si="17"/>
        <v>3.1879311415875002</v>
      </c>
      <c r="AE49">
        <f t="shared" si="18"/>
        <v>-2.2534157347014149E-5</v>
      </c>
      <c r="AF49">
        <f t="shared" si="19"/>
        <v>3.9348447941250003E-4</v>
      </c>
      <c r="AG49">
        <f t="shared" si="36"/>
        <v>7930.2467247228487</v>
      </c>
      <c r="AH49">
        <f t="shared" si="37"/>
        <v>-2995.5474463832279</v>
      </c>
      <c r="AJ49">
        <f t="shared" si="20"/>
        <v>20000</v>
      </c>
      <c r="AK49">
        <f t="shared" si="21"/>
        <v>582.45127731000002</v>
      </c>
      <c r="AL49">
        <v>1</v>
      </c>
      <c r="AM49">
        <f t="shared" si="22"/>
        <v>1.4428392563654999</v>
      </c>
      <c r="AN49">
        <f t="shared" si="38"/>
        <v>6762.4388976829796</v>
      </c>
      <c r="AO49">
        <f t="shared" si="39"/>
        <v>-9174.6610330400417</v>
      </c>
      <c r="AQ49">
        <f t="shared" si="23"/>
        <v>44.247787610619469</v>
      </c>
      <c r="AR49">
        <f t="shared" si="24"/>
        <v>-663.71681415929208</v>
      </c>
      <c r="AT49">
        <f t="shared" si="52"/>
        <v>-1637299.3350011318</v>
      </c>
      <c r="AU49">
        <f t="shared" si="53"/>
        <v>-5395984.4388153087</v>
      </c>
      <c r="AV49">
        <f t="shared" si="42"/>
        <v>-1.8653962153396921</v>
      </c>
      <c r="AW49">
        <f t="shared" si="25"/>
        <v>-5768598.1685650963</v>
      </c>
      <c r="AX49">
        <f t="shared" si="26"/>
        <v>-4930889.3770828117</v>
      </c>
      <c r="AY49">
        <f t="shared" si="50"/>
        <v>-2.4343293858114663</v>
      </c>
      <c r="BA49">
        <f t="shared" si="27"/>
        <v>0.74305465223570188</v>
      </c>
      <c r="BB49">
        <f t="shared" si="43"/>
        <v>-2.5795848474938001</v>
      </c>
      <c r="BC49">
        <f t="shared" si="44"/>
        <v>0.56893317047177416</v>
      </c>
      <c r="BD49">
        <f t="shared" si="28"/>
        <v>-147.40253046972231</v>
      </c>
      <c r="BF49">
        <f t="shared" si="29"/>
        <v>17.407421350486324</v>
      </c>
      <c r="BG49">
        <f t="shared" si="30"/>
        <v>-125.76155447826734</v>
      </c>
      <c r="BH49">
        <f t="shared" si="45"/>
        <v>54.238445521732658</v>
      </c>
      <c r="BI49">
        <f t="shared" si="46"/>
        <v>54.238445521732658</v>
      </c>
      <c r="BJ49">
        <f t="shared" si="31"/>
        <v>0</v>
      </c>
      <c r="BK49">
        <f t="shared" si="47"/>
        <v>0</v>
      </c>
      <c r="BM49">
        <f t="shared" si="48"/>
        <v>19.987006197980126</v>
      </c>
      <c r="BN49">
        <f t="shared" si="32"/>
        <v>-158.35902400854502</v>
      </c>
      <c r="BQ49" s="66">
        <f t="shared" si="49"/>
        <v>14.322375952791337</v>
      </c>
      <c r="BR49" s="68"/>
      <c r="BS49" s="68"/>
      <c r="BT49" s="68">
        <v>245.471</v>
      </c>
      <c r="BU49" s="68">
        <v>27.075500000000002</v>
      </c>
      <c r="BV49" s="68">
        <v>-266.80959999999999</v>
      </c>
      <c r="BW49" s="75"/>
      <c r="BY49" s="68"/>
      <c r="BZ49" s="68"/>
      <c r="CA49" s="68"/>
      <c r="CC49" s="68"/>
    </row>
    <row r="50" spans="1:81" x14ac:dyDescent="0.15">
      <c r="A50">
        <f t="shared" si="54"/>
        <v>8000</v>
      </c>
      <c r="B50">
        <f t="shared" si="33"/>
        <v>8</v>
      </c>
      <c r="C50">
        <f t="shared" si="0"/>
        <v>1.0005501462269775</v>
      </c>
      <c r="D50">
        <f t="shared" si="1"/>
        <v>3.3163055587017043E-2</v>
      </c>
      <c r="F50">
        <f t="shared" si="2"/>
        <v>0.54607905572701543</v>
      </c>
      <c r="G50">
        <f t="shared" si="3"/>
        <v>0.30197524767258366</v>
      </c>
      <c r="H50">
        <f t="shared" si="4"/>
        <v>-2.8396174023274163</v>
      </c>
      <c r="J50">
        <f t="shared" si="5"/>
        <v>15</v>
      </c>
      <c r="M50">
        <f t="shared" si="6"/>
        <v>0.11912795155221284</v>
      </c>
      <c r="N50">
        <f t="shared" si="7"/>
        <v>-1.5707963250000001</v>
      </c>
      <c r="O50">
        <f t="shared" si="8"/>
        <v>3.5444502288989232</v>
      </c>
      <c r="P50">
        <f t="shared" si="9"/>
        <v>1.2847814955167076</v>
      </c>
      <c r="Q50">
        <f t="shared" si="10"/>
        <v>1.8353770313790432</v>
      </c>
      <c r="R50">
        <f t="shared" si="11"/>
        <v>0.99458946905044732</v>
      </c>
      <c r="S50">
        <f t="shared" si="12"/>
        <v>0.99951786074749649</v>
      </c>
      <c r="T50">
        <f t="shared" si="13"/>
        <v>-3.1054081874325085E-2</v>
      </c>
      <c r="U50">
        <f t="shared" si="14"/>
        <v>0.99813944922969844</v>
      </c>
      <c r="V50">
        <f t="shared" si="15"/>
        <v>-6.1010294184648289E-2</v>
      </c>
      <c r="X50">
        <f t="shared" si="34"/>
        <v>16.037105343392135</v>
      </c>
      <c r="Y50">
        <f t="shared" si="16"/>
        <v>-125.47455348222795</v>
      </c>
      <c r="Z50">
        <f t="shared" si="35"/>
        <v>54.525446517772053</v>
      </c>
      <c r="AC50">
        <v>1</v>
      </c>
      <c r="AD50">
        <f t="shared" si="17"/>
        <v>3.4004598843600005</v>
      </c>
      <c r="AE50">
        <f t="shared" si="18"/>
        <v>-2.5638863470380542E-5</v>
      </c>
      <c r="AF50">
        <f t="shared" si="19"/>
        <v>4.1971677803999999E-4</v>
      </c>
      <c r="AG50">
        <f t="shared" si="36"/>
        <v>7926.676662813652</v>
      </c>
      <c r="AH50">
        <f t="shared" si="37"/>
        <v>-2866.7688395746245</v>
      </c>
      <c r="AJ50">
        <f t="shared" si="20"/>
        <v>20000</v>
      </c>
      <c r="AK50">
        <f t="shared" si="21"/>
        <v>621.28136246400004</v>
      </c>
      <c r="AL50">
        <v>1</v>
      </c>
      <c r="AM50">
        <f t="shared" si="22"/>
        <v>1.5390285401232</v>
      </c>
      <c r="AN50">
        <f t="shared" si="38"/>
        <v>6221.0160627553832</v>
      </c>
      <c r="AO50">
        <f t="shared" si="39"/>
        <v>-8953.0399066813952</v>
      </c>
      <c r="AQ50">
        <f t="shared" si="23"/>
        <v>38.910505836575872</v>
      </c>
      <c r="AR50">
        <f t="shared" si="24"/>
        <v>-622.56809338521396</v>
      </c>
      <c r="AT50">
        <f t="shared" si="52"/>
        <v>-1476327.8120770562</v>
      </c>
      <c r="AU50">
        <f t="shared" si="53"/>
        <v>-5046443.4025133476</v>
      </c>
      <c r="AV50">
        <f t="shared" si="42"/>
        <v>-1.8554026422617766</v>
      </c>
      <c r="AW50">
        <f t="shared" si="25"/>
        <v>-5311459.4173168568</v>
      </c>
      <c r="AX50">
        <f t="shared" si="26"/>
        <v>-4256503.7721144799</v>
      </c>
      <c r="AY50">
        <f t="shared" si="50"/>
        <v>-2.4660100777038734</v>
      </c>
      <c r="BA50">
        <f t="shared" si="27"/>
        <v>0.77248268459494951</v>
      </c>
      <c r="BB50">
        <f t="shared" si="43"/>
        <v>-2.2422249324093757</v>
      </c>
      <c r="BC50">
        <f t="shared" si="44"/>
        <v>0.61060743544209672</v>
      </c>
      <c r="BD50">
        <f t="shared" si="28"/>
        <v>-145.01477096988452</v>
      </c>
      <c r="BF50">
        <f t="shared" si="29"/>
        <v>16.029487843332944</v>
      </c>
      <c r="BG50">
        <f t="shared" si="30"/>
        <v>-125.81276061799244</v>
      </c>
      <c r="BH50">
        <f t="shared" si="45"/>
        <v>54.187239382007562</v>
      </c>
      <c r="BI50">
        <f t="shared" si="46"/>
        <v>54.187239382007562</v>
      </c>
      <c r="BJ50">
        <f t="shared" si="31"/>
        <v>0</v>
      </c>
      <c r="BK50">
        <f t="shared" si="47"/>
        <v>0</v>
      </c>
      <c r="BM50">
        <f t="shared" si="48"/>
        <v>18.271712775742323</v>
      </c>
      <c r="BN50">
        <f t="shared" si="32"/>
        <v>-160.79798964810792</v>
      </c>
      <c r="BQ50" s="66">
        <f t="shared" si="49"/>
        <v>14.65973586787576</v>
      </c>
      <c r="BR50" s="68"/>
      <c r="BS50" s="68"/>
      <c r="BT50" s="68">
        <v>251.18899999999999</v>
      </c>
      <c r="BU50" s="68">
        <v>27.043399999999998</v>
      </c>
      <c r="BV50" s="68">
        <v>-265.9205</v>
      </c>
      <c r="BW50" s="75"/>
      <c r="BY50" s="68"/>
      <c r="BZ50" s="68"/>
      <c r="CA50" s="68"/>
      <c r="CC50" s="68"/>
    </row>
    <row r="51" spans="1:81" x14ac:dyDescent="0.15">
      <c r="A51">
        <f t="shared" si="54"/>
        <v>8500</v>
      </c>
      <c r="B51">
        <f t="shared" si="33"/>
        <v>8.5</v>
      </c>
      <c r="C51">
        <f t="shared" si="0"/>
        <v>1.0006210415056473</v>
      </c>
      <c r="D51">
        <f t="shared" si="1"/>
        <v>3.5234081949977028E-2</v>
      </c>
      <c r="F51">
        <f t="shared" si="2"/>
        <v>0.45811501719494946</v>
      </c>
      <c r="G51">
        <f t="shared" si="3"/>
        <v>0.26830060581419612</v>
      </c>
      <c r="H51">
        <f t="shared" si="4"/>
        <v>-2.8732920441858041</v>
      </c>
      <c r="J51">
        <f t="shared" si="5"/>
        <v>15</v>
      </c>
      <c r="M51">
        <f t="shared" si="6"/>
        <v>0.11212042499031798</v>
      </c>
      <c r="N51">
        <f t="shared" si="7"/>
        <v>-1.5707963250000001</v>
      </c>
      <c r="O51">
        <f t="shared" si="8"/>
        <v>3.7488247251357043</v>
      </c>
      <c r="P51">
        <f t="shared" si="9"/>
        <v>1.3007767875750593</v>
      </c>
      <c r="Q51">
        <f t="shared" si="10"/>
        <v>1.916751765758359</v>
      </c>
      <c r="R51">
        <f t="shared" si="11"/>
        <v>1.0219352074333397</v>
      </c>
      <c r="S51">
        <f t="shared" si="12"/>
        <v>0.99945576071312958</v>
      </c>
      <c r="T51">
        <f t="shared" si="13"/>
        <v>-3.2993595139151288E-2</v>
      </c>
      <c r="U51">
        <f t="shared" si="14"/>
        <v>0.99790036746156996</v>
      </c>
      <c r="V51">
        <f t="shared" si="15"/>
        <v>-6.4813080360235198E-2</v>
      </c>
      <c r="X51">
        <f t="shared" si="34"/>
        <v>14.846638391875221</v>
      </c>
      <c r="Y51">
        <f t="shared" si="16"/>
        <v>-125.13105866568236</v>
      </c>
      <c r="Z51">
        <f t="shared" si="35"/>
        <v>54.86894133431764</v>
      </c>
      <c r="AC51">
        <v>1</v>
      </c>
      <c r="AD51">
        <f t="shared" si="17"/>
        <v>3.6129886271325002</v>
      </c>
      <c r="AE51">
        <f t="shared" si="18"/>
        <v>-2.8943873214609291E-5</v>
      </c>
      <c r="AF51">
        <f t="shared" si="19"/>
        <v>4.4594907666750005E-4</v>
      </c>
      <c r="AG51">
        <f t="shared" si="36"/>
        <v>7922.8798047567452</v>
      </c>
      <c r="AH51">
        <f t="shared" si="37"/>
        <v>-2756.6349901427166</v>
      </c>
      <c r="AJ51">
        <f t="shared" si="20"/>
        <v>20000</v>
      </c>
      <c r="AK51">
        <f t="shared" si="21"/>
        <v>660.11144761800006</v>
      </c>
      <c r="AL51">
        <v>1</v>
      </c>
      <c r="AM51">
        <f t="shared" si="22"/>
        <v>1.6352178238808999</v>
      </c>
      <c r="AN51">
        <f t="shared" si="38"/>
        <v>5737.5573132244044</v>
      </c>
      <c r="AO51">
        <f t="shared" si="39"/>
        <v>-8722.0445365047544</v>
      </c>
      <c r="AQ51">
        <f t="shared" si="23"/>
        <v>34.482758620689658</v>
      </c>
      <c r="AR51">
        <f t="shared" si="24"/>
        <v>-586.20689655172418</v>
      </c>
      <c r="AT51">
        <f t="shared" si="52"/>
        <v>-1342755.690609291</v>
      </c>
      <c r="AU51">
        <f t="shared" si="53"/>
        <v>-4739503.1610692209</v>
      </c>
      <c r="AV51">
        <f t="shared" si="42"/>
        <v>-1.8468731236592462</v>
      </c>
      <c r="AW51">
        <f t="shared" si="25"/>
        <v>-4895794.1163078025</v>
      </c>
      <c r="AX51">
        <f t="shared" si="26"/>
        <v>-3697926.01854331</v>
      </c>
      <c r="AY51">
        <f t="shared" si="50"/>
        <v>-2.4946909033462465</v>
      </c>
      <c r="BA51">
        <f t="shared" si="27"/>
        <v>0.80288491978281351</v>
      </c>
      <c r="BB51">
        <f t="shared" si="43"/>
        <v>-1.9069339832168588</v>
      </c>
      <c r="BC51">
        <f t="shared" si="44"/>
        <v>0.64781777968700038</v>
      </c>
      <c r="BD51">
        <f t="shared" si="28"/>
        <v>-142.88277528798648</v>
      </c>
      <c r="BF51">
        <f t="shared" si="29"/>
        <v>14.839774388679693</v>
      </c>
      <c r="BG51">
        <f t="shared" si="30"/>
        <v>-125.49151872340572</v>
      </c>
      <c r="BH51">
        <f t="shared" si="45"/>
        <v>54.508481276594281</v>
      </c>
      <c r="BI51">
        <f t="shared" si="46"/>
        <v>54.508481276594281</v>
      </c>
      <c r="BJ51">
        <f t="shared" si="31"/>
        <v>0</v>
      </c>
      <c r="BK51">
        <f t="shared" si="47"/>
        <v>0</v>
      </c>
      <c r="BM51">
        <f t="shared" si="48"/>
        <v>16.746708371896556</v>
      </c>
      <c r="BN51">
        <f t="shared" si="32"/>
        <v>-162.60874343541923</v>
      </c>
      <c r="BQ51" s="66">
        <f t="shared" si="49"/>
        <v>14.995026817068277</v>
      </c>
      <c r="BR51" s="68"/>
      <c r="BS51" s="68"/>
      <c r="BT51" s="68">
        <v>257.04000000000002</v>
      </c>
      <c r="BU51" s="68">
        <v>26.677600000000002</v>
      </c>
      <c r="BV51" s="68">
        <v>-267.60309999999998</v>
      </c>
      <c r="BW51" s="75"/>
      <c r="BY51" s="68"/>
      <c r="BZ51" s="68"/>
      <c r="CA51" s="68"/>
      <c r="CC51" s="68"/>
    </row>
    <row r="52" spans="1:81" x14ac:dyDescent="0.15">
      <c r="A52">
        <f t="shared" si="54"/>
        <v>9000</v>
      </c>
      <c r="B52">
        <f t="shared" si="33"/>
        <v>9</v>
      </c>
      <c r="C52">
        <f t="shared" si="0"/>
        <v>1.0006962279794012</v>
      </c>
      <c r="D52">
        <f t="shared" si="1"/>
        <v>3.7304805983834136E-2</v>
      </c>
      <c r="F52">
        <f t="shared" si="2"/>
        <v>0.39104787294870758</v>
      </c>
      <c r="G52">
        <f t="shared" si="3"/>
        <v>0.24194860092463152</v>
      </c>
      <c r="H52">
        <f t="shared" si="4"/>
        <v>-2.8996440490753685</v>
      </c>
      <c r="J52">
        <f t="shared" si="5"/>
        <v>15</v>
      </c>
      <c r="M52">
        <f t="shared" si="6"/>
        <v>0.10589151249085585</v>
      </c>
      <c r="N52">
        <f t="shared" si="7"/>
        <v>-1.5707963250000001</v>
      </c>
      <c r="O52">
        <f t="shared" si="8"/>
        <v>3.9540590723261673</v>
      </c>
      <c r="P52">
        <f t="shared" si="9"/>
        <v>1.3151149753941842</v>
      </c>
      <c r="Q52">
        <f t="shared" si="10"/>
        <v>1.9994425654120358</v>
      </c>
      <c r="R52">
        <f t="shared" si="11"/>
        <v>1.0470365813482529</v>
      </c>
      <c r="S52">
        <f t="shared" si="12"/>
        <v>0.99938990968700314</v>
      </c>
      <c r="T52">
        <f t="shared" si="13"/>
        <v>-3.4932860121180423E-2</v>
      </c>
      <c r="U52">
        <f t="shared" si="14"/>
        <v>0.99764698352849646</v>
      </c>
      <c r="V52">
        <f t="shared" si="15"/>
        <v>-6.8613990294198096E-2</v>
      </c>
      <c r="X52">
        <f t="shared" si="34"/>
        <v>13.802970840275517</v>
      </c>
      <c r="Y52">
        <f t="shared" si="16"/>
        <v>-124.59144094241678</v>
      </c>
      <c r="Z52">
        <f t="shared" si="35"/>
        <v>55.408559057583219</v>
      </c>
      <c r="AC52">
        <v>1</v>
      </c>
      <c r="AD52">
        <f t="shared" si="17"/>
        <v>3.8255173699050005</v>
      </c>
      <c r="AE52">
        <f t="shared" si="18"/>
        <v>-3.244918657970038E-5</v>
      </c>
      <c r="AF52">
        <f t="shared" si="19"/>
        <v>4.72181375295E-4</v>
      </c>
      <c r="AG52">
        <f t="shared" si="36"/>
        <v>7918.8568067931628</v>
      </c>
      <c r="AH52">
        <f t="shared" si="37"/>
        <v>-2662.028889293364</v>
      </c>
      <c r="AJ52">
        <f t="shared" si="20"/>
        <v>20000</v>
      </c>
      <c r="AK52">
        <f t="shared" si="21"/>
        <v>698.94153277199996</v>
      </c>
      <c r="AL52">
        <v>1</v>
      </c>
      <c r="AM52">
        <f t="shared" si="22"/>
        <v>1.7314071076386</v>
      </c>
      <c r="AN52">
        <f t="shared" si="38"/>
        <v>5305.4951387644087</v>
      </c>
      <c r="AO52">
        <f t="shared" si="39"/>
        <v>-8487.0304600267391</v>
      </c>
      <c r="AQ52">
        <f t="shared" si="23"/>
        <v>30.76923076923077</v>
      </c>
      <c r="AR52">
        <f t="shared" si="24"/>
        <v>-553.84615384615381</v>
      </c>
      <c r="AT52">
        <f t="shared" si="52"/>
        <v>-1230697.3292457657</v>
      </c>
      <c r="AU52">
        <f t="shared" si="53"/>
        <v>-4467736.9665098544</v>
      </c>
      <c r="AV52">
        <f t="shared" si="42"/>
        <v>-1.8395931632440903</v>
      </c>
      <c r="AW52">
        <f t="shared" si="25"/>
        <v>-4518940.8784394022</v>
      </c>
      <c r="AX52">
        <f t="shared" si="26"/>
        <v>-3232065.912041558</v>
      </c>
      <c r="AY52">
        <f t="shared" si="50"/>
        <v>-2.5207205441949645</v>
      </c>
      <c r="BA52">
        <f t="shared" si="27"/>
        <v>0.83410699447450154</v>
      </c>
      <c r="BB52">
        <f t="shared" si="43"/>
        <v>-1.5755647395359889</v>
      </c>
      <c r="BC52">
        <f t="shared" si="44"/>
        <v>0.68112738095087422</v>
      </c>
      <c r="BD52">
        <f t="shared" si="28"/>
        <v>-140.97427571612209</v>
      </c>
      <c r="BF52">
        <f t="shared" si="29"/>
        <v>13.796904255678692</v>
      </c>
      <c r="BG52">
        <f t="shared" si="30"/>
        <v>-124.97423406733486</v>
      </c>
      <c r="BH52">
        <f t="shared" si="45"/>
        <v>55.025765932665138</v>
      </c>
      <c r="BI52">
        <f t="shared" si="46"/>
        <v>55.025765932665138</v>
      </c>
      <c r="BJ52">
        <f t="shared" si="31"/>
        <v>0</v>
      </c>
      <c r="BK52">
        <f t="shared" si="47"/>
        <v>0</v>
      </c>
      <c r="BM52">
        <f t="shared" si="48"/>
        <v>15.372468995214682</v>
      </c>
      <c r="BN52">
        <f t="shared" si="32"/>
        <v>-163.99995835121277</v>
      </c>
      <c r="BQ52" s="66">
        <f t="shared" si="49"/>
        <v>15.326396060749147</v>
      </c>
      <c r="BR52" s="68"/>
      <c r="BS52" s="68"/>
      <c r="BT52" s="68">
        <v>263.02699999999999</v>
      </c>
      <c r="BU52" s="68">
        <v>26.270299999999999</v>
      </c>
      <c r="BV52" s="68">
        <v>-267.3229</v>
      </c>
      <c r="BW52" s="75"/>
      <c r="BY52" s="68"/>
      <c r="BZ52" s="68"/>
      <c r="CA52" s="68"/>
      <c r="CC52" s="68"/>
    </row>
    <row r="53" spans="1:81" x14ac:dyDescent="0.15">
      <c r="A53">
        <f t="shared" si="54"/>
        <v>9500</v>
      </c>
      <c r="B53">
        <f t="shared" si="33"/>
        <v>9.5</v>
      </c>
      <c r="C53">
        <f t="shared" si="0"/>
        <v>1.0007757046810697</v>
      </c>
      <c r="D53">
        <f t="shared" si="1"/>
        <v>3.937521000071776E-2</v>
      </c>
      <c r="F53">
        <f t="shared" si="2"/>
        <v>0.33852419347948709</v>
      </c>
      <c r="G53">
        <f t="shared" si="3"/>
        <v>0.22072456032467749</v>
      </c>
      <c r="H53">
        <f t="shared" si="4"/>
        <v>-2.9208680896753227</v>
      </c>
      <c r="J53">
        <f t="shared" si="5"/>
        <v>15</v>
      </c>
      <c r="M53">
        <f t="shared" si="6"/>
        <v>0.10031827499133714</v>
      </c>
      <c r="N53">
        <f t="shared" si="7"/>
        <v>-1.5707963250000001</v>
      </c>
      <c r="O53">
        <f t="shared" si="8"/>
        <v>4.1600260105088136</v>
      </c>
      <c r="P53">
        <f t="shared" si="9"/>
        <v>1.3280358097233649</v>
      </c>
      <c r="Q53">
        <f t="shared" si="10"/>
        <v>2.0832927230336065</v>
      </c>
      <c r="R53">
        <f t="shared" si="11"/>
        <v>1.0701309485304498</v>
      </c>
      <c r="S53">
        <f t="shared" si="12"/>
        <v>0.99932030989622278</v>
      </c>
      <c r="T53">
        <f t="shared" si="13"/>
        <v>-3.687186228481823E-2</v>
      </c>
      <c r="U53">
        <f t="shared" si="14"/>
        <v>0.9973793302767664</v>
      </c>
      <c r="V53">
        <f t="shared" si="15"/>
        <v>-7.2412915636306127E-2</v>
      </c>
      <c r="X53">
        <f t="shared" si="34"/>
        <v>12.876184020738787</v>
      </c>
      <c r="Y53">
        <f t="shared" si="16"/>
        <v>-123.954103464542</v>
      </c>
      <c r="Z53">
        <f t="shared" si="35"/>
        <v>56.045896535457999</v>
      </c>
      <c r="AC53">
        <v>1</v>
      </c>
      <c r="AD53">
        <f t="shared" si="17"/>
        <v>4.0380461126775007</v>
      </c>
      <c r="AE53">
        <f t="shared" si="18"/>
        <v>-3.6154803565653816E-5</v>
      </c>
      <c r="AF53">
        <f t="shared" si="19"/>
        <v>4.9841367392250001E-4</v>
      </c>
      <c r="AG53">
        <f t="shared" si="36"/>
        <v>7914.6083632179534</v>
      </c>
      <c r="AH53">
        <f t="shared" si="37"/>
        <v>-2580.4892160145951</v>
      </c>
      <c r="AJ53">
        <f t="shared" si="20"/>
        <v>20000</v>
      </c>
      <c r="AK53">
        <f t="shared" si="21"/>
        <v>737.77161792600009</v>
      </c>
      <c r="AL53">
        <v>1</v>
      </c>
      <c r="AM53">
        <f t="shared" si="22"/>
        <v>1.8275963913963</v>
      </c>
      <c r="AN53">
        <f t="shared" si="38"/>
        <v>4918.8513151318884</v>
      </c>
      <c r="AO53">
        <f t="shared" si="39"/>
        <v>-8251.9032954239847</v>
      </c>
      <c r="AQ53">
        <f t="shared" si="23"/>
        <v>27.624309392265193</v>
      </c>
      <c r="AR53">
        <f t="shared" si="24"/>
        <v>-524.86187845303868</v>
      </c>
      <c r="AT53">
        <f t="shared" si="52"/>
        <v>-1135764.8271010872</v>
      </c>
      <c r="AU53">
        <f t="shared" si="53"/>
        <v>-4225360.4452252956</v>
      </c>
      <c r="AV53">
        <f t="shared" si="42"/>
        <v>-1.8333866978917928</v>
      </c>
      <c r="AW53">
        <f t="shared" si="25"/>
        <v>-4177766.465185632</v>
      </c>
      <c r="AX53">
        <f t="shared" si="26"/>
        <v>-2840979.0150327864</v>
      </c>
      <c r="AY53">
        <f t="shared" si="50"/>
        <v>-2.5443999849250516</v>
      </c>
      <c r="BA53">
        <f t="shared" si="27"/>
        <v>0.86602454049057032</v>
      </c>
      <c r="BB53">
        <f t="shared" si="43"/>
        <v>-1.2493960245807414</v>
      </c>
      <c r="BC53">
        <f t="shared" si="44"/>
        <v>0.71101328703325883</v>
      </c>
      <c r="BD53">
        <f t="shared" si="28"/>
        <v>-139.26193942872047</v>
      </c>
      <c r="BF53">
        <f t="shared" si="29"/>
        <v>12.870958471375422</v>
      </c>
      <c r="BG53">
        <f t="shared" si="30"/>
        <v>-124.35932031972453</v>
      </c>
      <c r="BH53">
        <f t="shared" si="45"/>
        <v>55.640679680275468</v>
      </c>
      <c r="BI53">
        <f t="shared" si="46"/>
        <v>55.640679680275468</v>
      </c>
      <c r="BJ53">
        <f t="shared" si="31"/>
        <v>0</v>
      </c>
      <c r="BK53">
        <f t="shared" si="47"/>
        <v>0</v>
      </c>
      <c r="BM53">
        <f t="shared" si="48"/>
        <v>14.120354495956164</v>
      </c>
      <c r="BN53">
        <f t="shared" si="32"/>
        <v>-165.09738089100406</v>
      </c>
      <c r="BQ53" s="66">
        <f t="shared" si="49"/>
        <v>15.652564775704397</v>
      </c>
      <c r="BR53" s="68"/>
      <c r="BS53" s="68"/>
      <c r="BT53" s="68">
        <v>269.15300000000002</v>
      </c>
      <c r="BU53" s="68">
        <v>26.235900000000001</v>
      </c>
      <c r="BV53" s="68">
        <v>-265.67700000000002</v>
      </c>
      <c r="BW53" s="75"/>
      <c r="BY53" s="68"/>
      <c r="BZ53" s="68"/>
      <c r="CA53" s="68"/>
      <c r="CC53" s="68"/>
    </row>
    <row r="54" spans="1:81" x14ac:dyDescent="0.15">
      <c r="A54">
        <f t="shared" si="54"/>
        <v>10000</v>
      </c>
      <c r="B54">
        <f t="shared" si="33"/>
        <v>10</v>
      </c>
      <c r="C54">
        <f t="shared" si="0"/>
        <v>1.0008594705886116</v>
      </c>
      <c r="D54">
        <f t="shared" si="1"/>
        <v>4.1445276329197991E-2</v>
      </c>
      <c r="F54">
        <f t="shared" si="2"/>
        <v>0.29647789528464635</v>
      </c>
      <c r="G54">
        <f t="shared" si="3"/>
        <v>0.20323160091468681</v>
      </c>
      <c r="H54">
        <f t="shared" si="4"/>
        <v>-2.9383610490853136</v>
      </c>
      <c r="J54">
        <f t="shared" si="5"/>
        <v>15</v>
      </c>
      <c r="M54">
        <f t="shared" si="6"/>
        <v>9.5302361241770273E-2</v>
      </c>
      <c r="N54">
        <f t="shared" si="7"/>
        <v>-1.5707963250000001</v>
      </c>
      <c r="O54">
        <f t="shared" si="8"/>
        <v>4.3666218752925916</v>
      </c>
      <c r="P54">
        <f t="shared" si="9"/>
        <v>1.3397358120859875</v>
      </c>
      <c r="Q54">
        <f t="shared" si="10"/>
        <v>2.1681677342695913</v>
      </c>
      <c r="R54">
        <f t="shared" si="11"/>
        <v>1.0914278463407399</v>
      </c>
      <c r="S54">
        <f t="shared" si="12"/>
        <v>0.99924696369382793</v>
      </c>
      <c r="T54">
        <f t="shared" si="13"/>
        <v>-3.8810587106314944E-2</v>
      </c>
      <c r="U54">
        <f t="shared" si="14"/>
        <v>0.99709744235402709</v>
      </c>
      <c r="V54">
        <f t="shared" si="15"/>
        <v>-7.62097483785633E-2</v>
      </c>
      <c r="X54">
        <f t="shared" si="34"/>
        <v>12.044184895421226</v>
      </c>
      <c r="Y54">
        <f t="shared" si="16"/>
        <v>-123.27581026985403</v>
      </c>
      <c r="Z54">
        <f t="shared" si="35"/>
        <v>56.724189730145966</v>
      </c>
      <c r="AC54">
        <v>1</v>
      </c>
      <c r="AD54">
        <f t="shared" si="17"/>
        <v>4.25057485545</v>
      </c>
      <c r="AE54">
        <f t="shared" si="18"/>
        <v>-4.0060724172469603E-5</v>
      </c>
      <c r="AF54">
        <f t="shared" si="19"/>
        <v>5.2464597254999997E-4</v>
      </c>
      <c r="AG54">
        <f t="shared" si="36"/>
        <v>7910.1352060824684</v>
      </c>
      <c r="AH54">
        <f t="shared" si="37"/>
        <v>-2510.0464190303273</v>
      </c>
      <c r="AJ54">
        <f t="shared" si="20"/>
        <v>20000</v>
      </c>
      <c r="AK54">
        <f t="shared" si="21"/>
        <v>776.60170307999999</v>
      </c>
      <c r="AL54">
        <v>1</v>
      </c>
      <c r="AM54">
        <f t="shared" si="22"/>
        <v>1.9237856751539999</v>
      </c>
      <c r="AN54">
        <f t="shared" si="38"/>
        <v>4572.2692601136869</v>
      </c>
      <c r="AO54">
        <f t="shared" si="39"/>
        <v>-8019.464402473689</v>
      </c>
      <c r="AQ54">
        <f t="shared" si="23"/>
        <v>24.937655860349128</v>
      </c>
      <c r="AR54">
        <f t="shared" si="24"/>
        <v>-498.75311720698255</v>
      </c>
      <c r="AT54">
        <f t="shared" si="52"/>
        <v>-1054633.2462474832</v>
      </c>
      <c r="AU54">
        <f t="shared" si="53"/>
        <v>-4007799.2653536084</v>
      </c>
      <c r="AV54">
        <f t="shared" si="42"/>
        <v>-1.828108194160426</v>
      </c>
      <c r="AW54">
        <f t="shared" si="25"/>
        <v>-3869018.8017516318</v>
      </c>
      <c r="AX54">
        <f t="shared" si="26"/>
        <v>-2510614.0101101981</v>
      </c>
      <c r="AY54">
        <f t="shared" si="50"/>
        <v>-2.5659897059637053</v>
      </c>
      <c r="BA54">
        <f t="shared" si="27"/>
        <v>0.89853604334318671</v>
      </c>
      <c r="BB54">
        <f t="shared" si="43"/>
        <v>-0.92928994347421512</v>
      </c>
      <c r="BC54">
        <f t="shared" si="44"/>
        <v>0.73788151180327932</v>
      </c>
      <c r="BD54">
        <f t="shared" si="28"/>
        <v>-137.72250354463037</v>
      </c>
      <c r="BF54">
        <f t="shared" si="29"/>
        <v>12.039843676102391</v>
      </c>
      <c r="BG54">
        <f t="shared" si="30"/>
        <v>-123.70355111809626</v>
      </c>
      <c r="BH54">
        <f t="shared" si="45"/>
        <v>56.296448881903743</v>
      </c>
      <c r="BI54">
        <f t="shared" si="46"/>
        <v>56.296448881903743</v>
      </c>
      <c r="BJ54">
        <f t="shared" si="31"/>
        <v>0</v>
      </c>
      <c r="BK54">
        <f t="shared" si="47"/>
        <v>0</v>
      </c>
      <c r="BM54">
        <f t="shared" si="48"/>
        <v>12.969133619576606</v>
      </c>
      <c r="BN54">
        <f t="shared" si="32"/>
        <v>-165.98104757346587</v>
      </c>
      <c r="BQ54" s="66">
        <f t="shared" si="49"/>
        <v>15.972670856810922</v>
      </c>
      <c r="BR54" s="68"/>
      <c r="BS54" s="68"/>
      <c r="BT54" s="68">
        <v>275.423</v>
      </c>
      <c r="BU54" s="68">
        <v>25.845600000000001</v>
      </c>
      <c r="BV54" s="68">
        <v>-266.46569999999997</v>
      </c>
      <c r="BW54" s="75"/>
      <c r="BY54" s="68"/>
      <c r="BZ54" s="68"/>
      <c r="CA54" s="68"/>
      <c r="CC54" s="68"/>
    </row>
    <row r="55" spans="1:81" x14ac:dyDescent="0.15">
      <c r="A55">
        <f t="shared" si="54"/>
        <v>10500</v>
      </c>
      <c r="B55">
        <f t="shared" si="33"/>
        <v>10.5</v>
      </c>
      <c r="C55">
        <f t="shared" si="0"/>
        <v>1.0009475246251798</v>
      </c>
      <c r="D55">
        <f t="shared" si="1"/>
        <v>4.3514987315185195E-2</v>
      </c>
      <c r="F55">
        <f t="shared" si="2"/>
        <v>0.26219982460099672</v>
      </c>
      <c r="G55">
        <f t="shared" si="3"/>
        <v>0.18853974786115421</v>
      </c>
      <c r="H55">
        <f t="shared" si="4"/>
        <v>-2.9530529021388459</v>
      </c>
      <c r="J55">
        <f t="shared" si="5"/>
        <v>15</v>
      </c>
      <c r="M55">
        <f t="shared" si="6"/>
        <v>9.0764153563590744E-2</v>
      </c>
      <c r="N55">
        <f t="shared" si="7"/>
        <v>-1.5707963250000001</v>
      </c>
      <c r="O55">
        <f t="shared" si="8"/>
        <v>4.5737614420153818</v>
      </c>
      <c r="P55">
        <f t="shared" si="9"/>
        <v>1.3503774082745561</v>
      </c>
      <c r="Q55">
        <f t="shared" si="10"/>
        <v>2.2539518261556357</v>
      </c>
      <c r="R55">
        <f t="shared" si="11"/>
        <v>1.1111120219240649</v>
      </c>
      <c r="S55">
        <f t="shared" si="12"/>
        <v>0.99916987355857001</v>
      </c>
      <c r="T55">
        <f t="shared" si="13"/>
        <v>-4.0749020074414596E-2</v>
      </c>
      <c r="U55">
        <f t="shared" si="14"/>
        <v>0.99680135619690868</v>
      </c>
      <c r="V55">
        <f t="shared" si="15"/>
        <v>-8.0004380873251693E-2</v>
      </c>
      <c r="X55">
        <f t="shared" si="34"/>
        <v>11.290308347910422</v>
      </c>
      <c r="Y55">
        <f t="shared" si="16"/>
        <v>-122.58994745963867</v>
      </c>
      <c r="Z55">
        <f t="shared" si="35"/>
        <v>57.410052540361335</v>
      </c>
      <c r="AC55">
        <v>1</v>
      </c>
      <c r="AD55">
        <f t="shared" si="17"/>
        <v>4.4631035982225011</v>
      </c>
      <c r="AE55">
        <f t="shared" si="18"/>
        <v>-4.4166948400147746E-5</v>
      </c>
      <c r="AF55">
        <f t="shared" si="19"/>
        <v>5.5087827117750003E-4</v>
      </c>
      <c r="AG55">
        <f t="shared" si="36"/>
        <v>7905.4381048811356</v>
      </c>
      <c r="AH55">
        <f t="shared" si="37"/>
        <v>-2449.1056326745743</v>
      </c>
      <c r="AJ55">
        <f t="shared" si="20"/>
        <v>20000</v>
      </c>
      <c r="AK55">
        <f t="shared" si="21"/>
        <v>815.43178823400001</v>
      </c>
      <c r="AL55">
        <v>1</v>
      </c>
      <c r="AM55">
        <f t="shared" si="22"/>
        <v>2.0199749589116998</v>
      </c>
      <c r="AN55">
        <f t="shared" si="38"/>
        <v>4260.9996965874279</v>
      </c>
      <c r="AO55">
        <f t="shared" si="39"/>
        <v>-7791.6808988029543</v>
      </c>
      <c r="AQ55">
        <f t="shared" si="23"/>
        <v>22.624434389140273</v>
      </c>
      <c r="AR55">
        <f t="shared" si="24"/>
        <v>-475.11312217194569</v>
      </c>
      <c r="AT55">
        <f t="shared" si="52"/>
        <v>-984746.15794762282</v>
      </c>
      <c r="AU55">
        <f t="shared" si="53"/>
        <v>-3811387.0098456652</v>
      </c>
      <c r="AV55">
        <f t="shared" si="42"/>
        <v>-1.8236365229115052</v>
      </c>
      <c r="AW55">
        <f t="shared" si="25"/>
        <v>-3589527.5577341062</v>
      </c>
      <c r="AX55">
        <f t="shared" si="26"/>
        <v>-2229888.5052039335</v>
      </c>
      <c r="AY55">
        <f t="shared" si="50"/>
        <v>-2.5857157181287498</v>
      </c>
      <c r="BA55">
        <f t="shared" si="27"/>
        <v>0.93155768934584171</v>
      </c>
      <c r="BB55">
        <f t="shared" si="43"/>
        <v>-0.61580490040527847</v>
      </c>
      <c r="BC55">
        <f t="shared" si="44"/>
        <v>0.76207919521724454</v>
      </c>
      <c r="BD55">
        <f t="shared" si="28"/>
        <v>-136.33607840943222</v>
      </c>
      <c r="BF55">
        <f t="shared" si="29"/>
        <v>11.286894415027852</v>
      </c>
      <c r="BG55">
        <f t="shared" si="30"/>
        <v>-123.04032145260935</v>
      </c>
      <c r="BH55">
        <f t="shared" si="45"/>
        <v>56.959678547390652</v>
      </c>
      <c r="BI55">
        <f t="shared" si="46"/>
        <v>56.959678547390652</v>
      </c>
      <c r="BJ55">
        <f t="shared" si="31"/>
        <v>0</v>
      </c>
      <c r="BK55">
        <f t="shared" si="47"/>
        <v>0</v>
      </c>
      <c r="BM55">
        <f t="shared" si="48"/>
        <v>11.902699315433132</v>
      </c>
      <c r="BN55">
        <f t="shared" si="32"/>
        <v>-166.70424304317712</v>
      </c>
      <c r="BQ55" s="66">
        <f t="shared" si="49"/>
        <v>16.286155899879859</v>
      </c>
      <c r="BR55" s="69"/>
      <c r="BS55" s="69"/>
      <c r="BT55" s="69">
        <v>281.83800000000002</v>
      </c>
      <c r="BU55" s="69">
        <v>26.1068</v>
      </c>
      <c r="BV55" s="69">
        <v>-266.67570000000001</v>
      </c>
      <c r="BW55" s="75"/>
      <c r="BY55" s="69"/>
      <c r="BZ55" s="69"/>
      <c r="CA55" s="69"/>
      <c r="CC55" s="69"/>
    </row>
    <row r="56" spans="1:81" x14ac:dyDescent="0.15">
      <c r="A56">
        <f t="shared" si="54"/>
        <v>11000</v>
      </c>
      <c r="B56">
        <f t="shared" si="33"/>
        <v>11</v>
      </c>
      <c r="C56">
        <f t="shared" si="0"/>
        <v>1.0010398656591895</v>
      </c>
      <c r="D56">
        <f t="shared" si="1"/>
        <v>4.5584325322827406E-2</v>
      </c>
      <c r="F56">
        <f t="shared" si="2"/>
        <v>0.23382220558333619</v>
      </c>
      <c r="G56">
        <f t="shared" si="3"/>
        <v>0.17600629933149584</v>
      </c>
      <c r="H56">
        <f t="shared" si="4"/>
        <v>-2.9655863506685045</v>
      </c>
      <c r="J56">
        <f t="shared" si="5"/>
        <v>15</v>
      </c>
      <c r="M56">
        <f t="shared" si="6"/>
        <v>8.6638510219791173E-2</v>
      </c>
      <c r="N56">
        <f t="shared" si="7"/>
        <v>-1.5707963250000001</v>
      </c>
      <c r="O56">
        <f t="shared" si="8"/>
        <v>4.7813740481328573</v>
      </c>
      <c r="P56">
        <f t="shared" si="9"/>
        <v>1.3600958868286268</v>
      </c>
      <c r="Q56">
        <f t="shared" si="10"/>
        <v>2.3405450437777429</v>
      </c>
      <c r="R56">
        <f t="shared" si="11"/>
        <v>1.1293463231285137</v>
      </c>
      <c r="S56">
        <f t="shared" si="12"/>
        <v>0.9990890420946823</v>
      </c>
      <c r="T56">
        <f t="shared" si="13"/>
        <v>-4.2687146691002965E-2</v>
      </c>
      <c r="U56">
        <f t="shared" si="14"/>
        <v>0.99649111001804092</v>
      </c>
      <c r="V56">
        <f t="shared" si="15"/>
        <v>-8.3796705850820621E-2</v>
      </c>
      <c r="X56">
        <f t="shared" si="34"/>
        <v>10.601734175337047</v>
      </c>
      <c r="Y56">
        <f t="shared" si="16"/>
        <v>-121.91625121336619</v>
      </c>
      <c r="Z56">
        <f t="shared" si="35"/>
        <v>58.083748786633805</v>
      </c>
      <c r="AC56">
        <v>1</v>
      </c>
      <c r="AD56">
        <f t="shared" si="17"/>
        <v>4.6756323409950005</v>
      </c>
      <c r="AE56">
        <f t="shared" si="18"/>
        <v>-4.847347624868822E-5</v>
      </c>
      <c r="AF56">
        <f t="shared" si="19"/>
        <v>5.7711056980500009E-4</v>
      </c>
      <c r="AG56">
        <f t="shared" si="36"/>
        <v>7900.5178662230237</v>
      </c>
      <c r="AH56">
        <f t="shared" si="37"/>
        <v>-2396.3615249812337</v>
      </c>
      <c r="AJ56">
        <f t="shared" si="20"/>
        <v>20000</v>
      </c>
      <c r="AK56">
        <f t="shared" si="21"/>
        <v>854.26187338800014</v>
      </c>
      <c r="AL56">
        <v>1</v>
      </c>
      <c r="AM56">
        <f t="shared" si="22"/>
        <v>2.1161642426694001</v>
      </c>
      <c r="AN56">
        <f t="shared" si="38"/>
        <v>3980.8610650711348</v>
      </c>
      <c r="AO56">
        <f t="shared" si="39"/>
        <v>-7569.8939675503598</v>
      </c>
      <c r="AQ56">
        <f t="shared" si="23"/>
        <v>20.618556701030929</v>
      </c>
      <c r="AR56">
        <f t="shared" si="24"/>
        <v>-453.60824742268039</v>
      </c>
      <c r="AT56">
        <f t="shared" si="52"/>
        <v>-924112.07594565186</v>
      </c>
      <c r="AU56">
        <f t="shared" si="53"/>
        <v>-3633149.5790079944</v>
      </c>
      <c r="AV56">
        <f t="shared" si="42"/>
        <v>-1.8198701931904098</v>
      </c>
      <c r="AW56">
        <f t="shared" si="25"/>
        <v>-3336311.2986803255</v>
      </c>
      <c r="AX56">
        <f t="shared" si="26"/>
        <v>-1990001.1914608907</v>
      </c>
      <c r="AY56">
        <f t="shared" si="50"/>
        <v>-2.6037746432661972</v>
      </c>
      <c r="BA56">
        <f t="shared" si="27"/>
        <v>0.96501957167081609</v>
      </c>
      <c r="BB56">
        <f t="shared" si="43"/>
        <v>-0.30927757182999172</v>
      </c>
      <c r="BC56">
        <f t="shared" si="44"/>
        <v>0.78390445007578746</v>
      </c>
      <c r="BD56">
        <f t="shared" si="28"/>
        <v>-135.08558341781142</v>
      </c>
      <c r="BF56">
        <f t="shared" si="29"/>
        <v>10.599290130399543</v>
      </c>
      <c r="BG56">
        <f t="shared" si="30"/>
        <v>-122.38937583094362</v>
      </c>
      <c r="BH56">
        <f t="shared" si="45"/>
        <v>57.610624169056379</v>
      </c>
      <c r="BI56">
        <f t="shared" si="46"/>
        <v>57.610624169056379</v>
      </c>
      <c r="BJ56">
        <f t="shared" si="31"/>
        <v>0</v>
      </c>
      <c r="BK56">
        <f t="shared" si="47"/>
        <v>0</v>
      </c>
      <c r="BM56">
        <f t="shared" si="48"/>
        <v>10.908567702229536</v>
      </c>
      <c r="BN56">
        <f t="shared" si="32"/>
        <v>-167.30379241313219</v>
      </c>
      <c r="BQ56" s="66">
        <f t="shared" si="49"/>
        <v>16.592683228455144</v>
      </c>
      <c r="BR56" s="69"/>
      <c r="BS56" s="69"/>
      <c r="BT56" s="69">
        <v>288.40300000000002</v>
      </c>
      <c r="BU56" s="69">
        <v>25.784400000000002</v>
      </c>
      <c r="BV56" s="69">
        <v>-268.05989999999997</v>
      </c>
      <c r="BW56" s="75"/>
      <c r="BY56" s="69"/>
      <c r="BZ56" s="69"/>
      <c r="CA56" s="69"/>
      <c r="CC56" s="69"/>
    </row>
    <row r="57" spans="1:81" x14ac:dyDescent="0.15">
      <c r="A57">
        <f t="shared" si="54"/>
        <v>11500</v>
      </c>
      <c r="B57">
        <f t="shared" si="33"/>
        <v>11.5</v>
      </c>
      <c r="C57">
        <f t="shared" si="0"/>
        <v>1.0011364925043917</v>
      </c>
      <c r="D57">
        <f t="shared" si="1"/>
        <v>4.7653272735405289E-2</v>
      </c>
      <c r="F57">
        <f t="shared" si="2"/>
        <v>0.21001931089695469</v>
      </c>
      <c r="G57">
        <f t="shared" si="3"/>
        <v>0.16517289749205152</v>
      </c>
      <c r="H57">
        <f t="shared" si="4"/>
        <v>-2.9764197525079488</v>
      </c>
      <c r="J57">
        <f t="shared" si="5"/>
        <v>15</v>
      </c>
      <c r="M57">
        <f t="shared" si="6"/>
        <v>8.2871618471104594E-2</v>
      </c>
      <c r="N57">
        <f t="shared" si="7"/>
        <v>-1.5707963250000001</v>
      </c>
      <c r="O57">
        <f t="shared" si="8"/>
        <v>4.9894006434499794</v>
      </c>
      <c r="P57">
        <f t="shared" si="9"/>
        <v>1.3690047506254519</v>
      </c>
      <c r="Q57">
        <f t="shared" si="10"/>
        <v>2.4278608127103221</v>
      </c>
      <c r="R57">
        <f t="shared" si="11"/>
        <v>1.1462743618590725</v>
      </c>
      <c r="S57">
        <f t="shared" si="12"/>
        <v>0.99900447203163445</v>
      </c>
      <c r="T57">
        <f t="shared" si="13"/>
        <v>-4.4624952471753937E-2</v>
      </c>
      <c r="U57">
        <f t="shared" si="14"/>
        <v>0.99616674379246584</v>
      </c>
      <c r="V57">
        <f t="shared" si="15"/>
        <v>-8.7586616437614687E-2</v>
      </c>
      <c r="X57">
        <f t="shared" si="34"/>
        <v>9.9684247304373628</v>
      </c>
      <c r="Y57">
        <f t="shared" si="16"/>
        <v>-121.26624596461602</v>
      </c>
      <c r="Z57">
        <f t="shared" si="35"/>
        <v>58.733754035383981</v>
      </c>
      <c r="AC57">
        <v>1</v>
      </c>
      <c r="AD57">
        <f t="shared" si="17"/>
        <v>4.8881610837675007</v>
      </c>
      <c r="AE57">
        <f t="shared" si="18"/>
        <v>-5.2980307718091057E-5</v>
      </c>
      <c r="AF57">
        <f t="shared" si="19"/>
        <v>6.0334286843250005E-4</v>
      </c>
      <c r="AG57">
        <f t="shared" si="36"/>
        <v>7895.3753334884532</v>
      </c>
      <c r="AH57">
        <f t="shared" si="37"/>
        <v>-2350.7353594860938</v>
      </c>
      <c r="AJ57">
        <f t="shared" si="20"/>
        <v>20000</v>
      </c>
      <c r="AK57">
        <f t="shared" si="21"/>
        <v>893.09195854199993</v>
      </c>
      <c r="AL57">
        <v>1</v>
      </c>
      <c r="AM57">
        <f t="shared" si="22"/>
        <v>2.2123535264270999</v>
      </c>
      <c r="AN57">
        <f t="shared" si="38"/>
        <v>3728.1881158776919</v>
      </c>
      <c r="AO57">
        <f t="shared" si="39"/>
        <v>-7354.9781668036167</v>
      </c>
      <c r="AQ57">
        <f t="shared" si="23"/>
        <v>18.867924528301888</v>
      </c>
      <c r="AR57">
        <f t="shared" si="24"/>
        <v>-433.96226415094338</v>
      </c>
      <c r="AT57">
        <f t="shared" si="52"/>
        <v>-871161.09310739068</v>
      </c>
      <c r="AU57">
        <f t="shared" si="53"/>
        <v>-3470648.4533909531</v>
      </c>
      <c r="AV57">
        <f t="shared" si="42"/>
        <v>-1.8167236240104252</v>
      </c>
      <c r="AW57">
        <f t="shared" si="25"/>
        <v>-3106627.9603233091</v>
      </c>
      <c r="AX57">
        <f t="shared" si="26"/>
        <v>-1783915.8453489472</v>
      </c>
      <c r="AY57">
        <f t="shared" si="50"/>
        <v>-2.6203379990318076</v>
      </c>
      <c r="BA57">
        <f t="shared" si="27"/>
        <v>0.99886284719521057</v>
      </c>
      <c r="BB57">
        <f t="shared" si="43"/>
        <v>-9.8828039587115623E-3</v>
      </c>
      <c r="BC57">
        <f t="shared" si="44"/>
        <v>0.80361437502138244</v>
      </c>
      <c r="BD57">
        <f t="shared" si="28"/>
        <v>-133.95628790261881</v>
      </c>
      <c r="BF57">
        <f t="shared" si="29"/>
        <v>9.9669928037441462</v>
      </c>
      <c r="BG57">
        <f t="shared" si="30"/>
        <v>-121.76224656471899</v>
      </c>
      <c r="BH57">
        <f t="shared" si="45"/>
        <v>58.237753435281007</v>
      </c>
      <c r="BI57">
        <f t="shared" si="46"/>
        <v>58.237753435281007</v>
      </c>
      <c r="BJ57">
        <f t="shared" si="31"/>
        <v>0</v>
      </c>
      <c r="BK57">
        <f t="shared" si="47"/>
        <v>0</v>
      </c>
      <c r="BM57">
        <f t="shared" si="48"/>
        <v>9.9768756077028584</v>
      </c>
      <c r="BN57">
        <f t="shared" si="32"/>
        <v>-167.80595866210018</v>
      </c>
      <c r="BQ57" s="66">
        <f t="shared" si="49"/>
        <v>16.892077996326424</v>
      </c>
      <c r="BR57" s="69"/>
      <c r="BS57" s="69"/>
      <c r="BT57" s="69">
        <v>295.12099999999998</v>
      </c>
      <c r="BU57" s="69">
        <v>25.581099999999999</v>
      </c>
      <c r="BV57" s="69">
        <v>-265.88</v>
      </c>
      <c r="BW57" s="75"/>
      <c r="BY57" s="69"/>
      <c r="BZ57" s="69"/>
      <c r="CA57" s="69"/>
      <c r="CC57" s="69"/>
    </row>
    <row r="58" spans="1:81" x14ac:dyDescent="0.15">
      <c r="A58">
        <f t="shared" si="54"/>
        <v>12000</v>
      </c>
      <c r="B58">
        <f t="shared" si="33"/>
        <v>12</v>
      </c>
      <c r="C58">
        <f t="shared" si="0"/>
        <v>1.0012374039199488</v>
      </c>
      <c r="D58">
        <f t="shared" si="1"/>
        <v>4.9721811956224798E-2</v>
      </c>
      <c r="F58">
        <f t="shared" si="2"/>
        <v>0.18982635507448758</v>
      </c>
      <c r="G58">
        <f t="shared" si="3"/>
        <v>0.15570378356262793</v>
      </c>
      <c r="H58">
        <f t="shared" si="4"/>
        <v>-2.9858888664373722</v>
      </c>
      <c r="J58">
        <f t="shared" si="5"/>
        <v>15</v>
      </c>
      <c r="M58">
        <f t="shared" si="6"/>
        <v>7.9418634368141908E-2</v>
      </c>
      <c r="N58">
        <f t="shared" si="7"/>
        <v>-1.5707963250000001</v>
      </c>
      <c r="O58">
        <f t="shared" si="8"/>
        <v>5.1977915220378605</v>
      </c>
      <c r="P58">
        <f t="shared" si="9"/>
        <v>1.3771998702847505</v>
      </c>
      <c r="Q58">
        <f t="shared" si="10"/>
        <v>2.5158239021155544</v>
      </c>
      <c r="R58">
        <f t="shared" si="11"/>
        <v>1.1620229134990079</v>
      </c>
      <c r="S58">
        <f t="shared" si="12"/>
        <v>0.99891616622387724</v>
      </c>
      <c r="T58">
        <f t="shared" si="13"/>
        <v>-4.6562422946774498E-2</v>
      </c>
      <c r="U58">
        <f t="shared" si="14"/>
        <v>0.99582829924346306</v>
      </c>
      <c r="V58">
        <f t="shared" si="15"/>
        <v>-9.1374006173433373E-2</v>
      </c>
      <c r="X58">
        <f t="shared" si="34"/>
        <v>9.3823969818172621</v>
      </c>
      <c r="Y58">
        <f t="shared" si="16"/>
        <v>-120.64640667757084</v>
      </c>
      <c r="Z58">
        <f t="shared" si="35"/>
        <v>59.353593322429163</v>
      </c>
      <c r="AC58">
        <v>1</v>
      </c>
      <c r="AD58">
        <f t="shared" si="17"/>
        <v>5.1006898265400009</v>
      </c>
      <c r="AE58">
        <f t="shared" si="18"/>
        <v>-5.7687442808356238E-5</v>
      </c>
      <c r="AF58">
        <f t="shared" si="19"/>
        <v>6.2957516706000011E-4</v>
      </c>
      <c r="AG58">
        <f t="shared" si="36"/>
        <v>7890.0113864708837</v>
      </c>
      <c r="AH58">
        <f t="shared" si="37"/>
        <v>-2311.3277917387086</v>
      </c>
      <c r="AJ58">
        <f t="shared" si="20"/>
        <v>20000</v>
      </c>
      <c r="AK58">
        <f t="shared" si="21"/>
        <v>931.92204369600006</v>
      </c>
      <c r="AL58">
        <v>1</v>
      </c>
      <c r="AM58">
        <f t="shared" si="22"/>
        <v>2.3085428101847998</v>
      </c>
      <c r="AN58">
        <f t="shared" si="38"/>
        <v>3499.7767962704793</v>
      </c>
      <c r="AO58">
        <f t="shared" si="39"/>
        <v>-7147.4625165858079</v>
      </c>
      <c r="AQ58">
        <f t="shared" si="23"/>
        <v>17.331022530329289</v>
      </c>
      <c r="AR58">
        <f t="shared" si="24"/>
        <v>-415.94454072790296</v>
      </c>
      <c r="AT58">
        <f t="shared" si="52"/>
        <v>-824642.21170291374</v>
      </c>
      <c r="AU58">
        <f t="shared" si="53"/>
        <v>-3321864.8365171566</v>
      </c>
      <c r="AV58">
        <f t="shared" si="42"/>
        <v>-1.8141242103798874</v>
      </c>
      <c r="AW58">
        <f t="shared" si="25"/>
        <v>-2897991.5632615141</v>
      </c>
      <c r="AX58">
        <f t="shared" si="26"/>
        <v>-1605971.383046617</v>
      </c>
      <c r="AY58">
        <f t="shared" si="50"/>
        <v>-2.6355558162883015</v>
      </c>
      <c r="BA58">
        <f t="shared" si="27"/>
        <v>1.0330375725552183</v>
      </c>
      <c r="BB58">
        <f t="shared" si="43"/>
        <v>0.28232235017278506</v>
      </c>
      <c r="BC58">
        <f t="shared" si="44"/>
        <v>0.82143160590841413</v>
      </c>
      <c r="BD58">
        <f t="shared" si="28"/>
        <v>-132.93543576901527</v>
      </c>
      <c r="BF58">
        <f t="shared" si="29"/>
        <v>9.382019016273409</v>
      </c>
      <c r="BG58">
        <f t="shared" si="30"/>
        <v>-121.16541612837423</v>
      </c>
      <c r="BH58">
        <f t="shared" si="45"/>
        <v>58.834583871625767</v>
      </c>
      <c r="BI58">
        <f t="shared" si="46"/>
        <v>58.834583871625767</v>
      </c>
      <c r="BJ58">
        <f t="shared" si="31"/>
        <v>0</v>
      </c>
      <c r="BK58">
        <f t="shared" si="47"/>
        <v>0</v>
      </c>
      <c r="BM58">
        <f t="shared" si="48"/>
        <v>9.0996966661006233</v>
      </c>
      <c r="BN58">
        <f t="shared" si="32"/>
        <v>-168.22998035935899</v>
      </c>
      <c r="BQ58" s="66">
        <f t="shared" si="49"/>
        <v>17.184283150457922</v>
      </c>
      <c r="BR58" s="69"/>
      <c r="BS58" s="69"/>
      <c r="BT58" s="69">
        <v>301.995</v>
      </c>
      <c r="BU58" s="69">
        <v>24.917000000000002</v>
      </c>
      <c r="BV58" s="69">
        <v>-267.13580000000002</v>
      </c>
      <c r="BW58" s="75"/>
      <c r="BY58" s="69"/>
      <c r="BZ58" s="69"/>
      <c r="CA58" s="69"/>
      <c r="CC58" s="69"/>
    </row>
    <row r="59" spans="1:81" x14ac:dyDescent="0.15">
      <c r="A59">
        <f t="shared" si="54"/>
        <v>12500</v>
      </c>
      <c r="B59">
        <f t="shared" si="33"/>
        <v>12.5</v>
      </c>
      <c r="C59">
        <f t="shared" si="0"/>
        <v>1.0013425986105133</v>
      </c>
      <c r="D59">
        <f t="shared" si="1"/>
        <v>5.1789925409507151E-2</v>
      </c>
      <c r="F59">
        <f t="shared" si="2"/>
        <v>0.17252588661692467</v>
      </c>
      <c r="G59">
        <f t="shared" si="3"/>
        <v>0.14734727410204129</v>
      </c>
      <c r="H59">
        <f t="shared" si="4"/>
        <v>-2.9942453758979588</v>
      </c>
      <c r="J59">
        <f t="shared" si="5"/>
        <v>15</v>
      </c>
      <c r="M59">
        <f t="shared" si="6"/>
        <v>7.6241888993416218E-2</v>
      </c>
      <c r="N59">
        <f t="shared" si="7"/>
        <v>-1.5707963250000001</v>
      </c>
      <c r="O59">
        <f t="shared" si="8"/>
        <v>5.4065045607385898</v>
      </c>
      <c r="P59">
        <f t="shared" si="9"/>
        <v>1.3847627358933126</v>
      </c>
      <c r="Q59">
        <f t="shared" si="10"/>
        <v>2.6043687226729406</v>
      </c>
      <c r="R59">
        <f t="shared" si="11"/>
        <v>1.1767040468039791</v>
      </c>
      <c r="S59">
        <f t="shared" si="12"/>
        <v>0.99882412765057638</v>
      </c>
      <c r="T59">
        <f t="shared" si="13"/>
        <v>-4.8499543661247937E-2</v>
      </c>
      <c r="U59">
        <f t="shared" si="14"/>
        <v>0.99547581982778832</v>
      </c>
      <c r="V59">
        <f t="shared" si="15"/>
        <v>-9.5158769028915541E-2</v>
      </c>
      <c r="X59">
        <f t="shared" si="34"/>
        <v>8.837213037436527</v>
      </c>
      <c r="Y59">
        <f t="shared" si="16"/>
        <v>-120.06005775021092</v>
      </c>
      <c r="Z59">
        <f t="shared" si="35"/>
        <v>59.939942249789084</v>
      </c>
      <c r="AC59">
        <v>1</v>
      </c>
      <c r="AD59">
        <f t="shared" si="17"/>
        <v>5.3132185693125011</v>
      </c>
      <c r="AE59">
        <f t="shared" si="18"/>
        <v>-6.2594881519483755E-5</v>
      </c>
      <c r="AF59">
        <f t="shared" si="19"/>
        <v>6.5580746568750007E-4</v>
      </c>
      <c r="AG59">
        <f t="shared" si="36"/>
        <v>7884.4269410044162</v>
      </c>
      <c r="AH59">
        <f t="shared" si="37"/>
        <v>-2277.3829948024395</v>
      </c>
      <c r="AJ59">
        <f t="shared" si="20"/>
        <v>20000</v>
      </c>
      <c r="AK59">
        <f t="shared" si="21"/>
        <v>970.75212885000008</v>
      </c>
      <c r="AL59">
        <v>1</v>
      </c>
      <c r="AM59">
        <f t="shared" si="22"/>
        <v>2.4047320939425001</v>
      </c>
      <c r="AN59">
        <f t="shared" si="38"/>
        <v>3292.8301114310011</v>
      </c>
      <c r="AO59">
        <f t="shared" si="39"/>
        <v>-6947.6221200083874</v>
      </c>
      <c r="AQ59">
        <f t="shared" si="23"/>
        <v>15.974440894568691</v>
      </c>
      <c r="AR59">
        <f t="shared" si="24"/>
        <v>-399.36102236421726</v>
      </c>
      <c r="AT59">
        <f t="shared" si="52"/>
        <v>-783548.68896256504</v>
      </c>
      <c r="AU59">
        <f t="shared" si="53"/>
        <v>-3185112.7239602688</v>
      </c>
      <c r="AV59">
        <f t="shared" si="42"/>
        <v>-1.812009999602106</v>
      </c>
      <c r="AW59">
        <f t="shared" si="25"/>
        <v>-2708169.429285726</v>
      </c>
      <c r="AX59">
        <f t="shared" si="26"/>
        <v>-1451585.1105603047</v>
      </c>
      <c r="AY59">
        <f t="shared" si="50"/>
        <v>-2.6495596959212135</v>
      </c>
      <c r="BA59">
        <f t="shared" si="27"/>
        <v>1.0675010344273417</v>
      </c>
      <c r="BB59">
        <f t="shared" si="43"/>
        <v>0.56736609072565591</v>
      </c>
      <c r="BC59">
        <f t="shared" si="44"/>
        <v>0.83754969631910758</v>
      </c>
      <c r="BD59">
        <f t="shared" si="28"/>
        <v>-132.01193721361699</v>
      </c>
      <c r="BF59">
        <f t="shared" si="29"/>
        <v>8.8379304725159997</v>
      </c>
      <c r="BG59">
        <f t="shared" si="30"/>
        <v>-120.60221612451313</v>
      </c>
      <c r="BH59">
        <f t="shared" si="45"/>
        <v>59.397783875486866</v>
      </c>
      <c r="BI59">
        <f t="shared" si="46"/>
        <v>59.397783875486866</v>
      </c>
      <c r="BJ59">
        <f t="shared" si="31"/>
        <v>0</v>
      </c>
      <c r="BK59">
        <f t="shared" si="47"/>
        <v>0</v>
      </c>
      <c r="BM59">
        <f t="shared" si="48"/>
        <v>8.2705643817903436</v>
      </c>
      <c r="BN59">
        <f t="shared" si="32"/>
        <v>-168.59027891089613</v>
      </c>
      <c r="BQ59" s="66">
        <f t="shared" si="49"/>
        <v>17.469326891010791</v>
      </c>
      <c r="BR59" s="69"/>
      <c r="BS59" s="69"/>
      <c r="BT59" s="69">
        <v>309.02999999999997</v>
      </c>
      <c r="BU59" s="69">
        <v>24.825199999999999</v>
      </c>
      <c r="BV59" s="69">
        <v>-265.03610000000003</v>
      </c>
      <c r="BW59" s="75"/>
      <c r="BY59" s="69"/>
      <c r="BZ59" s="69"/>
      <c r="CA59" s="69"/>
      <c r="CC59" s="69"/>
    </row>
    <row r="60" spans="1:81" x14ac:dyDescent="0.15">
      <c r="A60">
        <f t="shared" si="54"/>
        <v>13000</v>
      </c>
      <c r="B60">
        <f t="shared" si="33"/>
        <v>13</v>
      </c>
      <c r="C60">
        <f t="shared" si="0"/>
        <v>1.0014520752263123</v>
      </c>
      <c r="D60">
        <f t="shared" si="1"/>
        <v>5.3857595541276213E-2</v>
      </c>
      <c r="F60">
        <f t="shared" si="2"/>
        <v>0.15757422964681583</v>
      </c>
      <c r="G60">
        <f t="shared" si="3"/>
        <v>0.13991089546667435</v>
      </c>
      <c r="H60">
        <f t="shared" si="4"/>
        <v>-3.0016817545333261</v>
      </c>
      <c r="J60">
        <f t="shared" si="5"/>
        <v>15</v>
      </c>
      <c r="M60">
        <f t="shared" si="6"/>
        <v>7.3309508647515606E-2</v>
      </c>
      <c r="N60">
        <f t="shared" si="7"/>
        <v>-1.5707963250000001</v>
      </c>
      <c r="O60">
        <f t="shared" si="8"/>
        <v>5.6155038382156421</v>
      </c>
      <c r="P60">
        <f t="shared" si="9"/>
        <v>1.3917630240593342</v>
      </c>
      <c r="Q60">
        <f t="shared" si="10"/>
        <v>2.6934379030224305</v>
      </c>
      <c r="R60">
        <f t="shared" si="11"/>
        <v>1.1904169958965141</v>
      </c>
      <c r="S60">
        <f t="shared" si="12"/>
        <v>0.99872835941533367</v>
      </c>
      <c r="T60">
        <f t="shared" si="13"/>
        <v>-5.0436300176075421E-2</v>
      </c>
      <c r="U60">
        <f t="shared" si="14"/>
        <v>0.99510935072034423</v>
      </c>
      <c r="V60">
        <f t="shared" si="15"/>
        <v>-9.8940799422741546E-2</v>
      </c>
      <c r="X60">
        <f t="shared" si="34"/>
        <v>8.3276163249023956</v>
      </c>
      <c r="Y60">
        <f t="shared" si="16"/>
        <v>-119.50854336710502</v>
      </c>
      <c r="Z60">
        <f t="shared" si="35"/>
        <v>60.49145663289498</v>
      </c>
      <c r="AC60">
        <v>1</v>
      </c>
      <c r="AD60">
        <f t="shared" si="17"/>
        <v>5.5257473120850005</v>
      </c>
      <c r="AE60">
        <f t="shared" si="18"/>
        <v>-6.7702623851473637E-5</v>
      </c>
      <c r="AF60">
        <f t="shared" si="19"/>
        <v>6.8203976431500013E-4</v>
      </c>
      <c r="AG60">
        <f t="shared" si="36"/>
        <v>7878.6229485771519</v>
      </c>
      <c r="AH60">
        <f t="shared" si="37"/>
        <v>-2248.2610636275226</v>
      </c>
      <c r="AJ60">
        <f t="shared" si="20"/>
        <v>20000</v>
      </c>
      <c r="AK60">
        <f t="shared" si="21"/>
        <v>1009.5822140040001</v>
      </c>
      <c r="AL60">
        <v>1</v>
      </c>
      <c r="AM60">
        <f t="shared" si="22"/>
        <v>2.5009213777002</v>
      </c>
      <c r="AN60">
        <f t="shared" si="38"/>
        <v>3104.9074680230319</v>
      </c>
      <c r="AO60">
        <f t="shared" si="39"/>
        <v>-6755.5472485557993</v>
      </c>
      <c r="AQ60">
        <f t="shared" si="23"/>
        <v>14.771048744460856</v>
      </c>
      <c r="AR60">
        <f t="shared" si="24"/>
        <v>-384.04726735598229</v>
      </c>
      <c r="AT60">
        <f t="shared" si="52"/>
        <v>-747062.9941763432</v>
      </c>
      <c r="AU60">
        <f t="shared" si="53"/>
        <v>-3058972.7876903024</v>
      </c>
      <c r="AV60">
        <f t="shared" si="42"/>
        <v>-1.8103278389320125</v>
      </c>
      <c r="AW60">
        <f t="shared" si="25"/>
        <v>-2535168.7229638281</v>
      </c>
      <c r="AX60">
        <f t="shared" si="26"/>
        <v>-1317025.3806926995</v>
      </c>
      <c r="AY60">
        <f t="shared" si="50"/>
        <v>-2.6624653946997103</v>
      </c>
      <c r="BA60">
        <f t="shared" si="27"/>
        <v>1.1022164453685841</v>
      </c>
      <c r="BB60">
        <f t="shared" si="43"/>
        <v>0.84533773058721351</v>
      </c>
      <c r="BC60">
        <f t="shared" si="44"/>
        <v>0.85213755576769779</v>
      </c>
      <c r="BD60">
        <f t="shared" si="28"/>
        <v>-131.17611443412767</v>
      </c>
      <c r="BF60">
        <f t="shared" si="29"/>
        <v>8.3294701807641314</v>
      </c>
      <c r="BG60">
        <f t="shared" si="30"/>
        <v>-120.07399768406745</v>
      </c>
      <c r="BH60">
        <f t="shared" si="45"/>
        <v>59.92600231593255</v>
      </c>
      <c r="BI60">
        <f t="shared" si="46"/>
        <v>59.92600231593255</v>
      </c>
      <c r="BJ60">
        <f t="shared" si="31"/>
        <v>0</v>
      </c>
      <c r="BK60">
        <f t="shared" si="47"/>
        <v>0</v>
      </c>
      <c r="BM60">
        <f t="shared" si="48"/>
        <v>7.4841324501769178</v>
      </c>
      <c r="BN60">
        <f t="shared" si="32"/>
        <v>-168.89788324993981</v>
      </c>
      <c r="BQ60" s="66">
        <f t="shared" si="49"/>
        <v>17.747298530872349</v>
      </c>
      <c r="BR60" s="69"/>
      <c r="BS60" s="69"/>
      <c r="BT60" s="69">
        <v>316.22800000000001</v>
      </c>
      <c r="BU60" s="69">
        <v>24.722000000000001</v>
      </c>
      <c r="BV60" s="69">
        <v>-265.21839999999997</v>
      </c>
      <c r="BW60" s="75"/>
      <c r="BY60" s="69"/>
      <c r="BZ60" s="69"/>
      <c r="CA60" s="69"/>
      <c r="CC60" s="69"/>
    </row>
    <row r="61" spans="1:81" x14ac:dyDescent="0.15">
      <c r="A61">
        <f t="shared" si="54"/>
        <v>13500</v>
      </c>
      <c r="B61">
        <f t="shared" si="33"/>
        <v>13.5</v>
      </c>
      <c r="C61">
        <f t="shared" si="0"/>
        <v>1.0015658323632322</v>
      </c>
      <c r="D61">
        <f t="shared" si="1"/>
        <v>5.5924804820243042E-2</v>
      </c>
      <c r="F61">
        <f t="shared" si="2"/>
        <v>0.1445525119402</v>
      </c>
      <c r="G61">
        <f t="shared" si="3"/>
        <v>0.13324485225941471</v>
      </c>
      <c r="H61">
        <f t="shared" si="4"/>
        <v>-3.0083477977405857</v>
      </c>
      <c r="J61">
        <f t="shared" si="5"/>
        <v>15</v>
      </c>
      <c r="M61">
        <f t="shared" si="6"/>
        <v>7.0594341660570575E-2</v>
      </c>
      <c r="N61">
        <f t="shared" si="7"/>
        <v>-1.5707963250000001</v>
      </c>
      <c r="O61">
        <f t="shared" si="8"/>
        <v>5.8247585427853545</v>
      </c>
      <c r="P61">
        <f t="shared" si="9"/>
        <v>1.3982606405389064</v>
      </c>
      <c r="Q61">
        <f t="shared" si="10"/>
        <v>2.7829810972872764</v>
      </c>
      <c r="R61">
        <f t="shared" si="11"/>
        <v>1.2032497947522167</v>
      </c>
      <c r="S61">
        <f t="shared" si="12"/>
        <v>0.99862886474589718</v>
      </c>
      <c r="T61">
        <f t="shared" si="13"/>
        <v>-5.2372678068515859E-2</v>
      </c>
      <c r="U61">
        <f t="shared" si="14"/>
        <v>0.99472893879828772</v>
      </c>
      <c r="V61">
        <f t="shared" si="15"/>
        <v>-0.10271999223864664</v>
      </c>
      <c r="X61">
        <f t="shared" si="34"/>
        <v>7.8492669223403784</v>
      </c>
      <c r="Y61">
        <f t="shared" si="16"/>
        <v>-118.99196400543805</v>
      </c>
      <c r="Z61">
        <f t="shared" si="35"/>
        <v>61.008035994561951</v>
      </c>
      <c r="AC61">
        <v>1</v>
      </c>
      <c r="AD61">
        <f t="shared" si="17"/>
        <v>5.7382760548575007</v>
      </c>
      <c r="AE61">
        <f t="shared" si="18"/>
        <v>-7.3010669804325848E-5</v>
      </c>
      <c r="AF61">
        <f t="shared" si="19"/>
        <v>7.0827206294250009E-4</v>
      </c>
      <c r="AG61">
        <f t="shared" si="36"/>
        <v>7872.60039593075</v>
      </c>
      <c r="AH61">
        <f t="shared" si="37"/>
        <v>-2223.416551919755</v>
      </c>
      <c r="AJ61">
        <f t="shared" si="20"/>
        <v>20000</v>
      </c>
      <c r="AK61">
        <f t="shared" si="21"/>
        <v>1048.412299158</v>
      </c>
      <c r="AL61">
        <v>1</v>
      </c>
      <c r="AM61">
        <f t="shared" si="22"/>
        <v>2.5971106614578998</v>
      </c>
      <c r="AN61">
        <f t="shared" si="38"/>
        <v>2933.8786732348149</v>
      </c>
      <c r="AO61">
        <f t="shared" si="39"/>
        <v>-6571.195282524096</v>
      </c>
      <c r="AQ61">
        <f t="shared" si="23"/>
        <v>13.698630136986301</v>
      </c>
      <c r="AR61">
        <f t="shared" si="24"/>
        <v>-369.86301369863014</v>
      </c>
      <c r="AT61">
        <f t="shared" si="52"/>
        <v>-714515.70556031005</v>
      </c>
      <c r="AU61">
        <f t="shared" si="53"/>
        <v>-2942241.4690691782</v>
      </c>
      <c r="AV61">
        <f t="shared" si="42"/>
        <v>-1.8090318894156032</v>
      </c>
      <c r="AW61">
        <f t="shared" si="25"/>
        <v>-2377217.7210285235</v>
      </c>
      <c r="AX61">
        <f t="shared" si="26"/>
        <v>-1199236.29608533</v>
      </c>
      <c r="AY61">
        <f t="shared" si="50"/>
        <v>-2.6743750155752353</v>
      </c>
      <c r="BA61">
        <f t="shared" si="27"/>
        <v>1.1371519140177333</v>
      </c>
      <c r="BB61">
        <f t="shared" si="43"/>
        <v>1.1163697337291192</v>
      </c>
      <c r="BC61">
        <f t="shared" si="44"/>
        <v>0.86534312615963205</v>
      </c>
      <c r="BD61">
        <f t="shared" si="28"/>
        <v>-130.41949098374235</v>
      </c>
      <c r="BF61">
        <f t="shared" si="29"/>
        <v>7.8522977841030066</v>
      </c>
      <c r="BG61">
        <f t="shared" si="30"/>
        <v>-119.58086800875596</v>
      </c>
      <c r="BH61">
        <f t="shared" si="45"/>
        <v>60.419131991244043</v>
      </c>
      <c r="BI61">
        <f t="shared" si="46"/>
        <v>60.419131991244043</v>
      </c>
      <c r="BJ61">
        <f t="shared" si="31"/>
        <v>0</v>
      </c>
      <c r="BK61">
        <f t="shared" si="47"/>
        <v>0</v>
      </c>
      <c r="BM61">
        <f t="shared" si="48"/>
        <v>6.735928050373885</v>
      </c>
      <c r="BN61">
        <f t="shared" si="32"/>
        <v>-169.16137702501359</v>
      </c>
      <c r="BQ61" s="66">
        <f t="shared" si="49"/>
        <v>18.018330534014254</v>
      </c>
      <c r="BR61" s="69"/>
      <c r="BS61" s="69"/>
      <c r="BT61" s="69">
        <v>323.59399999999999</v>
      </c>
      <c r="BU61" s="69">
        <v>24.5962</v>
      </c>
      <c r="BV61" s="69">
        <v>-266.99490000000003</v>
      </c>
      <c r="BW61" s="75"/>
      <c r="BY61" s="69"/>
      <c r="BZ61" s="69"/>
      <c r="CA61" s="69"/>
      <c r="CC61" s="69"/>
    </row>
    <row r="62" spans="1:81" x14ac:dyDescent="0.15">
      <c r="A62">
        <f t="shared" si="54"/>
        <v>14000</v>
      </c>
      <c r="B62">
        <f t="shared" si="33"/>
        <v>14</v>
      </c>
      <c r="C62">
        <f t="shared" si="0"/>
        <v>1.0016838685629088</v>
      </c>
      <c r="D62">
        <f t="shared" si="1"/>
        <v>5.7991535738687594E-2</v>
      </c>
      <c r="F62">
        <f t="shared" si="2"/>
        <v>0.13313324930190948</v>
      </c>
      <c r="G62">
        <f t="shared" si="3"/>
        <v>0.12723074728435368</v>
      </c>
      <c r="H62">
        <f t="shared" si="4"/>
        <v>-3.0143619027156463</v>
      </c>
      <c r="J62">
        <f t="shared" si="5"/>
        <v>15</v>
      </c>
      <c r="M62">
        <f t="shared" si="6"/>
        <v>6.8073115172693058E-2</v>
      </c>
      <c r="N62">
        <f t="shared" si="7"/>
        <v>-1.5707963250000001</v>
      </c>
      <c r="O62">
        <f t="shared" si="8"/>
        <v>6.0342421014984327</v>
      </c>
      <c r="P62">
        <f t="shared" si="9"/>
        <v>1.4043073578017604</v>
      </c>
      <c r="Q62">
        <f t="shared" si="10"/>
        <v>2.8729539841247642</v>
      </c>
      <c r="R62">
        <f t="shared" si="11"/>
        <v>1.2152806981958415</v>
      </c>
      <c r="S62">
        <f t="shared" si="12"/>
        <v>0.99852564699385982</v>
      </c>
      <c r="T62">
        <f t="shared" si="13"/>
        <v>-5.4308662932823847E-2</v>
      </c>
      <c r="U62">
        <f t="shared" si="14"/>
        <v>0.99433463262458766</v>
      </c>
      <c r="V62">
        <f t="shared" si="15"/>
        <v>-0.10649624284223896</v>
      </c>
      <c r="X62">
        <f t="shared" si="34"/>
        <v>7.3985457355832303</v>
      </c>
      <c r="Y62">
        <f t="shared" si="16"/>
        <v>-118.50964749226652</v>
      </c>
      <c r="Z62">
        <f t="shared" si="35"/>
        <v>61.490352507733476</v>
      </c>
      <c r="AC62">
        <v>1</v>
      </c>
      <c r="AD62">
        <f t="shared" si="17"/>
        <v>5.9508047976300009</v>
      </c>
      <c r="AE62">
        <f t="shared" si="18"/>
        <v>-7.8519019378040417E-5</v>
      </c>
      <c r="AF62">
        <f t="shared" si="19"/>
        <v>7.3450436157000015E-4</v>
      </c>
      <c r="AG62">
        <f t="shared" si="36"/>
        <v>7866.3603046464468</v>
      </c>
      <c r="AH62">
        <f t="shared" si="37"/>
        <v>-2202.3816083779857</v>
      </c>
      <c r="AJ62">
        <f t="shared" si="20"/>
        <v>20000</v>
      </c>
      <c r="AK62">
        <f t="shared" si="21"/>
        <v>1087.242384312</v>
      </c>
      <c r="AL62">
        <v>1</v>
      </c>
      <c r="AM62">
        <f t="shared" si="22"/>
        <v>2.6932999452156001</v>
      </c>
      <c r="AN62">
        <f t="shared" si="38"/>
        <v>2777.8829650628581</v>
      </c>
      <c r="AO62">
        <f t="shared" si="39"/>
        <v>-6394.4296533071447</v>
      </c>
      <c r="AQ62">
        <f t="shared" si="23"/>
        <v>12.738853503184714</v>
      </c>
      <c r="AR62">
        <f t="shared" si="24"/>
        <v>-356.68789808917199</v>
      </c>
      <c r="AT62">
        <f t="shared" si="52"/>
        <v>-685354.45515843516</v>
      </c>
      <c r="AU62">
        <f t="shared" si="53"/>
        <v>-2833891.3393436754</v>
      </c>
      <c r="AV62">
        <f t="shared" si="42"/>
        <v>-1.8080824259509478</v>
      </c>
      <c r="AW62">
        <f t="shared" si="25"/>
        <v>-2232745.0609255722</v>
      </c>
      <c r="AX62">
        <f t="shared" si="26"/>
        <v>-1095701.6968589516</v>
      </c>
      <c r="AY62">
        <f t="shared" si="50"/>
        <v>-2.6853788657941595</v>
      </c>
      <c r="BA62">
        <f t="shared" si="27"/>
        <v>1.17227962391716</v>
      </c>
      <c r="BB62">
        <f t="shared" si="43"/>
        <v>1.3806243264680387</v>
      </c>
      <c r="BC62">
        <f t="shared" si="44"/>
        <v>0.87729643984321171</v>
      </c>
      <c r="BD62">
        <f t="shared" si="28"/>
        <v>-129.73461655769466</v>
      </c>
      <c r="BF62">
        <f t="shared" si="29"/>
        <v>7.4027937377640596</v>
      </c>
      <c r="BG62">
        <f t="shared" si="30"/>
        <v>-119.12216145657025</v>
      </c>
      <c r="BH62">
        <f t="shared" si="45"/>
        <v>60.877838543429746</v>
      </c>
      <c r="BI62">
        <f t="shared" si="46"/>
        <v>60.877838543429746</v>
      </c>
      <c r="BJ62">
        <f t="shared" si="31"/>
        <v>0</v>
      </c>
      <c r="BK62">
        <f t="shared" si="47"/>
        <v>0</v>
      </c>
      <c r="BM62">
        <f t="shared" si="48"/>
        <v>6.0221694112960211</v>
      </c>
      <c r="BN62">
        <f t="shared" si="32"/>
        <v>-169.3875448988756</v>
      </c>
      <c r="BQ62" s="66">
        <f t="shared" si="49"/>
        <v>18.282585126753176</v>
      </c>
      <c r="BR62" s="69"/>
      <c r="BS62" s="69"/>
      <c r="BT62" s="69">
        <v>331.13099999999997</v>
      </c>
      <c r="BU62" s="69">
        <v>24.386800000000001</v>
      </c>
      <c r="BV62" s="69">
        <v>-265.09339999999997</v>
      </c>
      <c r="BW62" s="75"/>
      <c r="BY62" s="69"/>
      <c r="BZ62" s="69"/>
      <c r="CA62" s="69"/>
      <c r="CC62" s="69"/>
    </row>
    <row r="63" spans="1:81" x14ac:dyDescent="0.15">
      <c r="A63">
        <f t="shared" si="54"/>
        <v>14500</v>
      </c>
      <c r="B63">
        <f t="shared" si="33"/>
        <v>14.5</v>
      </c>
      <c r="C63">
        <f t="shared" si="0"/>
        <v>1.0018061823128217</v>
      </c>
      <c r="D63">
        <f t="shared" si="1"/>
        <v>6.0057770813337366E-2</v>
      </c>
      <c r="F63">
        <f t="shared" si="2"/>
        <v>0.12305704075671402</v>
      </c>
      <c r="G63">
        <f t="shared" si="3"/>
        <v>0.1217737058700394</v>
      </c>
      <c r="H63">
        <f t="shared" si="4"/>
        <v>-3.0198189441299608</v>
      </c>
      <c r="J63">
        <f t="shared" si="5"/>
        <v>15</v>
      </c>
      <c r="M63">
        <f t="shared" si="6"/>
        <v>6.572576637363467E-2</v>
      </c>
      <c r="N63">
        <f t="shared" si="7"/>
        <v>-1.5707963250000001</v>
      </c>
      <c r="O63">
        <f t="shared" si="8"/>
        <v>6.2439314802654922</v>
      </c>
      <c r="P63">
        <f t="shared" si="9"/>
        <v>1.4099481372199429</v>
      </c>
      <c r="Q63">
        <f t="shared" si="10"/>
        <v>2.9633174245358966</v>
      </c>
      <c r="R63">
        <f t="shared" si="11"/>
        <v>1.2265794140432336</v>
      </c>
      <c r="S63">
        <f t="shared" si="12"/>
        <v>0.99841870963434731</v>
      </c>
      <c r="T63">
        <f t="shared" si="13"/>
        <v>-5.6244240380885803E-2</v>
      </c>
      <c r="U63">
        <f t="shared" si="14"/>
        <v>0.99392648243104298</v>
      </c>
      <c r="V63">
        <f t="shared" si="15"/>
        <v>-0.11026944709761559</v>
      </c>
      <c r="X63">
        <f t="shared" si="34"/>
        <v>6.9724073720443691</v>
      </c>
      <c r="Y63">
        <f t="shared" si="16"/>
        <v>-118.06045389613152</v>
      </c>
      <c r="Z63">
        <f t="shared" si="35"/>
        <v>61.93954610386848</v>
      </c>
      <c r="AC63">
        <v>1</v>
      </c>
      <c r="AD63">
        <f t="shared" si="17"/>
        <v>6.1633335404025011</v>
      </c>
      <c r="AE63">
        <f t="shared" si="18"/>
        <v>-8.4227672572617356E-5</v>
      </c>
      <c r="AF63">
        <f t="shared" si="19"/>
        <v>7.6073666019750011E-4</v>
      </c>
      <c r="AG63">
        <f t="shared" si="36"/>
        <v>7859.9037307179187</v>
      </c>
      <c r="AH63">
        <f t="shared" si="37"/>
        <v>-2184.7526021050617</v>
      </c>
      <c r="AJ63">
        <f t="shared" si="20"/>
        <v>20000</v>
      </c>
      <c r="AK63">
        <f t="shared" si="21"/>
        <v>1126.072469466</v>
      </c>
      <c r="AL63">
        <v>1</v>
      </c>
      <c r="AM63">
        <f t="shared" si="22"/>
        <v>2.7894892289733</v>
      </c>
      <c r="AN63">
        <f t="shared" si="38"/>
        <v>2635.2929943654763</v>
      </c>
      <c r="AO63">
        <f t="shared" si="39"/>
        <v>-6225.048953505292</v>
      </c>
      <c r="AQ63">
        <f t="shared" si="23"/>
        <v>11.876484560570072</v>
      </c>
      <c r="AR63">
        <f t="shared" si="24"/>
        <v>-344.41805225653206</v>
      </c>
      <c r="AT63">
        <f t="shared" si="52"/>
        <v>-659120.21057397709</v>
      </c>
      <c r="AU63">
        <f t="shared" si="53"/>
        <v>-2733039.9144052817</v>
      </c>
      <c r="AV63">
        <f t="shared" si="42"/>
        <v>-1.8074448624679578</v>
      </c>
      <c r="AW63">
        <f t="shared" si="25"/>
        <v>-2100358.871181244</v>
      </c>
      <c r="AX63">
        <f t="shared" si="26"/>
        <v>-1004338.9886244308</v>
      </c>
      <c r="AY63">
        <f t="shared" si="50"/>
        <v>-2.6955570360066563</v>
      </c>
      <c r="BA63">
        <f t="shared" si="27"/>
        <v>1.2075751728404154</v>
      </c>
      <c r="BB63">
        <f t="shared" si="43"/>
        <v>1.6382835111807323</v>
      </c>
      <c r="BC63">
        <f t="shared" si="44"/>
        <v>0.88811217353869853</v>
      </c>
      <c r="BD63">
        <f t="shared" si="28"/>
        <v>-129.11492066389775</v>
      </c>
      <c r="BF63">
        <f t="shared" si="29"/>
        <v>6.9779121831681223</v>
      </c>
      <c r="BG63">
        <f t="shared" si="30"/>
        <v>-118.69674445540431</v>
      </c>
      <c r="BH63">
        <f t="shared" si="45"/>
        <v>61.303255544595686</v>
      </c>
      <c r="BI63">
        <f t="shared" si="46"/>
        <v>61.303255544595686</v>
      </c>
      <c r="BJ63">
        <f t="shared" si="31"/>
        <v>0</v>
      </c>
      <c r="BK63">
        <f t="shared" si="47"/>
        <v>0</v>
      </c>
      <c r="BM63">
        <f t="shared" si="48"/>
        <v>5.3396286719873896</v>
      </c>
      <c r="BN63">
        <f t="shared" si="32"/>
        <v>-169.58182379150659</v>
      </c>
      <c r="BQ63" s="66">
        <f t="shared" si="49"/>
        <v>18.540244311465869</v>
      </c>
      <c r="BR63" s="69"/>
      <c r="BS63" s="69"/>
      <c r="BT63" s="69">
        <v>338.84399999999999</v>
      </c>
      <c r="BU63" s="69">
        <v>24.136900000000001</v>
      </c>
      <c r="BV63" s="69">
        <v>-266.42009999999999</v>
      </c>
      <c r="BW63" s="75"/>
      <c r="BY63" s="69"/>
      <c r="BZ63" s="69"/>
      <c r="CA63" s="69"/>
      <c r="CC63" s="69"/>
    </row>
    <row r="64" spans="1:81" x14ac:dyDescent="0.15">
      <c r="A64">
        <f t="shared" si="54"/>
        <v>15000</v>
      </c>
      <c r="B64">
        <f t="shared" si="33"/>
        <v>15</v>
      </c>
      <c r="C64">
        <f t="shared" si="0"/>
        <v>1.0019327720463886</v>
      </c>
      <c r="D64">
        <f t="shared" si="1"/>
        <v>6.2123492586243015E-2</v>
      </c>
      <c r="F64">
        <f t="shared" si="2"/>
        <v>0.11411599480667318</v>
      </c>
      <c r="G64">
        <f t="shared" si="3"/>
        <v>0.11679676343000564</v>
      </c>
      <c r="H64">
        <f t="shared" si="4"/>
        <v>-3.0247958865699944</v>
      </c>
      <c r="J64">
        <f t="shared" si="5"/>
        <v>15</v>
      </c>
      <c r="M64">
        <f t="shared" si="6"/>
        <v>6.3534907494513515E-2</v>
      </c>
      <c r="N64">
        <f t="shared" si="7"/>
        <v>-1.5707963250000001</v>
      </c>
      <c r="O64">
        <f t="shared" si="8"/>
        <v>6.4538066173393771</v>
      </c>
      <c r="P64">
        <f t="shared" si="9"/>
        <v>1.4152222038230948</v>
      </c>
      <c r="Q64">
        <f t="shared" si="10"/>
        <v>3.0540367513894457</v>
      </c>
      <c r="R64">
        <f t="shared" si="11"/>
        <v>1.2372081699730721</v>
      </c>
      <c r="S64">
        <f t="shared" si="12"/>
        <v>0.99830805626569419</v>
      </c>
      <c r="T64">
        <f t="shared" si="13"/>
        <v>-5.817939604285402E-2</v>
      </c>
      <c r="U64">
        <f t="shared" si="14"/>
        <v>0.99350454010077371</v>
      </c>
      <c r="V64">
        <f t="shared" si="15"/>
        <v>-0.11403950138377066</v>
      </c>
      <c r="X64">
        <f t="shared" si="34"/>
        <v>6.5682680506363065</v>
      </c>
      <c r="Y64">
        <f t="shared" si="16"/>
        <v>-117.64297439088982</v>
      </c>
      <c r="Z64">
        <f t="shared" si="35"/>
        <v>62.357025609110181</v>
      </c>
      <c r="AC64">
        <v>1</v>
      </c>
      <c r="AD64">
        <f t="shared" si="17"/>
        <v>6.3758622831750005</v>
      </c>
      <c r="AE64">
        <f t="shared" si="18"/>
        <v>-9.0136629388056598E-5</v>
      </c>
      <c r="AF64">
        <f t="shared" si="19"/>
        <v>7.8696895882500006E-4</v>
      </c>
      <c r="AG64">
        <f t="shared" si="36"/>
        <v>7853.2317641112604</v>
      </c>
      <c r="AH64">
        <f t="shared" si="37"/>
        <v>-2170.1794230488722</v>
      </c>
      <c r="AJ64">
        <f t="shared" si="20"/>
        <v>20000</v>
      </c>
      <c r="AK64">
        <f t="shared" si="21"/>
        <v>1164.90255462</v>
      </c>
      <c r="AL64">
        <v>1</v>
      </c>
      <c r="AM64">
        <f t="shared" si="22"/>
        <v>2.8856785127309998</v>
      </c>
      <c r="AN64">
        <f t="shared" si="38"/>
        <v>2504.6834369331109</v>
      </c>
      <c r="AO64">
        <f t="shared" si="39"/>
        <v>-6062.8086205311074</v>
      </c>
      <c r="AQ64">
        <f t="shared" si="23"/>
        <v>11.098779134295228</v>
      </c>
      <c r="AR64">
        <f t="shared" si="24"/>
        <v>-332.96337402885683</v>
      </c>
      <c r="AT64">
        <f t="shared" si="52"/>
        <v>-635428.97810604784</v>
      </c>
      <c r="AU64">
        <f t="shared" si="53"/>
        <v>-2638924.8873072886</v>
      </c>
      <c r="AV64">
        <f t="shared" si="42"/>
        <v>-1.8070889552722216</v>
      </c>
      <c r="AW64">
        <f t="shared" si="25"/>
        <v>-1978826.845698785</v>
      </c>
      <c r="AX64">
        <f t="shared" si="26"/>
        <v>-923415.77648662147</v>
      </c>
      <c r="AY64">
        <f t="shared" si="50"/>
        <v>-2.7049807449193017</v>
      </c>
      <c r="BA64">
        <f t="shared" si="27"/>
        <v>1.2430170369255271</v>
      </c>
      <c r="BB64">
        <f t="shared" si="43"/>
        <v>1.8895416233886275</v>
      </c>
      <c r="BC64">
        <f t="shared" si="44"/>
        <v>0.89789178964708016</v>
      </c>
      <c r="BD64">
        <f t="shared" si="28"/>
        <v>-128.55458993498905</v>
      </c>
      <c r="BF64">
        <f t="shared" si="29"/>
        <v>6.575068858019196</v>
      </c>
      <c r="BG64">
        <f t="shared" si="30"/>
        <v>-118.3032143841439</v>
      </c>
      <c r="BH64">
        <f t="shared" si="45"/>
        <v>61.696785615856101</v>
      </c>
      <c r="BI64">
        <f t="shared" si="46"/>
        <v>61.696785615856101</v>
      </c>
      <c r="BJ64">
        <f t="shared" si="31"/>
        <v>0</v>
      </c>
      <c r="BK64">
        <f t="shared" si="47"/>
        <v>0</v>
      </c>
      <c r="BM64">
        <f t="shared" si="48"/>
        <v>4.6855272346305679</v>
      </c>
      <c r="BN64">
        <f t="shared" si="32"/>
        <v>-169.74862444915485</v>
      </c>
      <c r="BQ64" s="66">
        <f t="shared" si="49"/>
        <v>18.791502423673762</v>
      </c>
      <c r="BR64" s="69"/>
      <c r="BS64" s="69"/>
      <c r="BT64" s="69">
        <v>346.73700000000002</v>
      </c>
      <c r="BU64" s="69">
        <v>24.040400000000002</v>
      </c>
      <c r="BV64" s="69">
        <v>-265.87940000000003</v>
      </c>
      <c r="BW64" s="75"/>
      <c r="BY64" s="69"/>
      <c r="BZ64" s="69"/>
      <c r="CA64" s="69"/>
      <c r="CC64" s="69"/>
    </row>
    <row r="65" spans="1:81" x14ac:dyDescent="0.15">
      <c r="A65">
        <f t="shared" si="54"/>
        <v>15500</v>
      </c>
      <c r="B65">
        <f t="shared" si="33"/>
        <v>15.5</v>
      </c>
      <c r="C65">
        <f t="shared" si="0"/>
        <v>1.002063636143067</v>
      </c>
      <c r="D65">
        <f t="shared" si="1"/>
        <v>6.4188683625650653E-2</v>
      </c>
      <c r="F65">
        <f t="shared" si="2"/>
        <v>0.10614173424439155</v>
      </c>
      <c r="G65">
        <f t="shared" si="3"/>
        <v>0.11223679188060619</v>
      </c>
      <c r="H65">
        <f t="shared" si="4"/>
        <v>-3.029355858119394</v>
      </c>
      <c r="J65">
        <f t="shared" si="5"/>
        <v>15</v>
      </c>
      <c r="M65">
        <f t="shared" si="6"/>
        <v>6.148539434952921E-2</v>
      </c>
      <c r="N65">
        <f t="shared" si="7"/>
        <v>-1.5707963250000001</v>
      </c>
      <c r="O65">
        <f t="shared" si="8"/>
        <v>6.6638499616051954</v>
      </c>
      <c r="P65">
        <f t="shared" si="9"/>
        <v>1.4201639255076814</v>
      </c>
      <c r="Q65">
        <f t="shared" si="10"/>
        <v>3.1450811683860209</v>
      </c>
      <c r="R65">
        <f t="shared" si="11"/>
        <v>1.247222636816447</v>
      </c>
      <c r="S65">
        <f t="shared" si="12"/>
        <v>0.99819369060910856</v>
      </c>
      <c r="T65">
        <f t="shared" si="13"/>
        <v>-6.011411556777882E-2</v>
      </c>
      <c r="U65">
        <f t="shared" si="14"/>
        <v>0.99306885915019494</v>
      </c>
      <c r="V65">
        <f t="shared" si="15"/>
        <v>-0.1178063026107892</v>
      </c>
      <c r="X65">
        <f t="shared" si="34"/>
        <v>6.1839191157117597</v>
      </c>
      <c r="Y65">
        <f t="shared" si="16"/>
        <v>-117.25566138011972</v>
      </c>
      <c r="Z65">
        <f t="shared" si="35"/>
        <v>62.744338619880281</v>
      </c>
      <c r="AC65">
        <v>1</v>
      </c>
      <c r="AD65">
        <f t="shared" si="17"/>
        <v>6.5883910259475007</v>
      </c>
      <c r="AE65">
        <f t="shared" si="18"/>
        <v>-9.6245889824358237E-5</v>
      </c>
      <c r="AF65">
        <f t="shared" si="19"/>
        <v>8.1320125745250012E-4</v>
      </c>
      <c r="AG65">
        <f t="shared" si="36"/>
        <v>7846.345528312434</v>
      </c>
      <c r="AH65">
        <f t="shared" si="37"/>
        <v>-2158.3568534316073</v>
      </c>
      <c r="AJ65">
        <f t="shared" si="20"/>
        <v>20000</v>
      </c>
      <c r="AK65">
        <f t="shared" si="21"/>
        <v>1203.7326397740001</v>
      </c>
      <c r="AL65">
        <v>1</v>
      </c>
      <c r="AM65">
        <f t="shared" si="22"/>
        <v>2.9818677964887002</v>
      </c>
      <c r="AN65">
        <f t="shared" si="38"/>
        <v>2384.8038013111418</v>
      </c>
      <c r="AO65">
        <f t="shared" si="39"/>
        <v>-5907.4370162995292</v>
      </c>
      <c r="AQ65">
        <f t="shared" si="23"/>
        <v>10.395010395010395</v>
      </c>
      <c r="AR65">
        <f t="shared" si="24"/>
        <v>-322.24532224532226</v>
      </c>
      <c r="AT65">
        <f t="shared" si="52"/>
        <v>-613957.55642481707</v>
      </c>
      <c r="AU65">
        <f t="shared" si="53"/>
        <v>-2550884.2851467473</v>
      </c>
      <c r="AV65">
        <f t="shared" si="42"/>
        <v>-1.8069881482576471</v>
      </c>
      <c r="AW65">
        <f t="shared" si="25"/>
        <v>-1867057.8054906803</v>
      </c>
      <c r="AX65">
        <f t="shared" si="26"/>
        <v>-851484.03303929791</v>
      </c>
      <c r="AY65">
        <f t="shared" si="50"/>
        <v>-2.7137134867526709</v>
      </c>
      <c r="BA65">
        <f t="shared" si="27"/>
        <v>1.2785861327950001</v>
      </c>
      <c r="BB65">
        <f t="shared" si="43"/>
        <v>2.1345997976198294</v>
      </c>
      <c r="BC65">
        <f t="shared" si="44"/>
        <v>0.90672533849502379</v>
      </c>
      <c r="BD65">
        <f t="shared" si="28"/>
        <v>-128.04846486730091</v>
      </c>
      <c r="BF65">
        <f t="shared" si="29"/>
        <v>6.1920546104263305</v>
      </c>
      <c r="BG65">
        <f t="shared" si="30"/>
        <v>-117.94002971065314</v>
      </c>
      <c r="BH65">
        <f t="shared" si="45"/>
        <v>62.059970289346865</v>
      </c>
      <c r="BI65">
        <f t="shared" si="46"/>
        <v>62.059970289346865</v>
      </c>
      <c r="BJ65">
        <f t="shared" si="31"/>
        <v>0</v>
      </c>
      <c r="BK65">
        <f t="shared" si="47"/>
        <v>0</v>
      </c>
      <c r="BM65">
        <f t="shared" si="48"/>
        <v>4.0574548128065011</v>
      </c>
      <c r="BN65">
        <f t="shared" si="32"/>
        <v>-169.89156484335223</v>
      </c>
      <c r="BQ65" s="66">
        <f t="shared" si="49"/>
        <v>19.036560597904966</v>
      </c>
      <c r="BR65" s="69"/>
      <c r="BS65" s="69"/>
      <c r="BT65" s="69">
        <v>354.81299999999999</v>
      </c>
      <c r="BU65" s="69">
        <v>23.629000000000001</v>
      </c>
      <c r="BV65" s="69">
        <v>-265.95490000000001</v>
      </c>
      <c r="BW65" s="75"/>
      <c r="BY65" s="69"/>
      <c r="BZ65" s="69"/>
      <c r="CA65" s="69"/>
      <c r="CC65" s="69"/>
    </row>
    <row r="66" spans="1:81" x14ac:dyDescent="0.15">
      <c r="A66">
        <f t="shared" si="54"/>
        <v>16000</v>
      </c>
      <c r="B66">
        <f t="shared" si="33"/>
        <v>16</v>
      </c>
      <c r="C66">
        <f t="shared" si="0"/>
        <v>1.0021987729284567</v>
      </c>
      <c r="D66">
        <f t="shared" si="1"/>
        <v>6.6253326526870909E-2</v>
      </c>
      <c r="F66">
        <f t="shared" si="2"/>
        <v>9.8996576348017701E-2</v>
      </c>
      <c r="G66">
        <f t="shared" si="3"/>
        <v>0.10804149375885122</v>
      </c>
      <c r="H66">
        <f t="shared" si="4"/>
        <v>-3.033551156241149</v>
      </c>
      <c r="J66">
        <f t="shared" si="5"/>
        <v>15</v>
      </c>
      <c r="M66">
        <f t="shared" si="6"/>
        <v>5.956397577610642E-2</v>
      </c>
      <c r="N66">
        <f t="shared" si="7"/>
        <v>-1.5707963250000001</v>
      </c>
      <c r="O66">
        <f t="shared" si="8"/>
        <v>6.8740460938639707</v>
      </c>
      <c r="P66">
        <f t="shared" si="9"/>
        <v>1.4248035366314942</v>
      </c>
      <c r="Q66">
        <f t="shared" si="10"/>
        <v>3.2364232401302209</v>
      </c>
      <c r="R66">
        <f t="shared" si="11"/>
        <v>1.2566727277096323</v>
      </c>
      <c r="S66">
        <f t="shared" si="12"/>
        <v>0.99807561650832677</v>
      </c>
      <c r="T66">
        <f t="shared" si="13"/>
        <v>-6.2048384624238472E-2</v>
      </c>
      <c r="U66">
        <f t="shared" si="14"/>
        <v>0.99261949471048705</v>
      </c>
      <c r="V66">
        <f t="shared" si="15"/>
        <v>-0.12156974823582098</v>
      </c>
      <c r="X66">
        <f t="shared" si="34"/>
        <v>5.8174595312930268</v>
      </c>
      <c r="Y66">
        <f t="shared" si="16"/>
        <v>-116.89691347539215</v>
      </c>
      <c r="Z66">
        <f t="shared" si="35"/>
        <v>63.103086524607846</v>
      </c>
      <c r="AC66">
        <v>1</v>
      </c>
      <c r="AD66">
        <f t="shared" si="17"/>
        <v>6.8009197687200009</v>
      </c>
      <c r="AE66">
        <f t="shared" si="18"/>
        <v>-1.0255545388152217E-4</v>
      </c>
      <c r="AF66">
        <f t="shared" si="19"/>
        <v>8.3943355607999997E-4</v>
      </c>
      <c r="AG66">
        <f t="shared" si="36"/>
        <v>7839.2461798625636</v>
      </c>
      <c r="AH66">
        <f t="shared" si="37"/>
        <v>-2149.0175571357222</v>
      </c>
      <c r="AJ66">
        <f t="shared" si="20"/>
        <v>20000</v>
      </c>
      <c r="AK66">
        <f t="shared" si="21"/>
        <v>1242.5627249280001</v>
      </c>
      <c r="AL66">
        <v>1</v>
      </c>
      <c r="AM66">
        <f t="shared" si="22"/>
        <v>3.0780570802464</v>
      </c>
      <c r="AN66">
        <f t="shared" si="38"/>
        <v>2274.5549624140122</v>
      </c>
      <c r="AO66">
        <f t="shared" si="39"/>
        <v>-5758.6472815400348</v>
      </c>
      <c r="AQ66">
        <f t="shared" si="23"/>
        <v>9.7560975609756095</v>
      </c>
      <c r="AR66">
        <f t="shared" si="24"/>
        <v>-312.19512195121951</v>
      </c>
      <c r="AT66">
        <f t="shared" si="52"/>
        <v>-594432.34779005405</v>
      </c>
      <c r="AU66">
        <f t="shared" si="53"/>
        <v>-2468340.4420754905</v>
      </c>
      <c r="AV66">
        <f t="shared" si="42"/>
        <v>-1.8071190317638515</v>
      </c>
      <c r="AW66">
        <f t="shared" si="25"/>
        <v>-1764084.976497076</v>
      </c>
      <c r="AX66">
        <f t="shared" si="26"/>
        <v>-787327.82537834148</v>
      </c>
      <c r="AY66">
        <f t="shared" si="50"/>
        <v>-2.7218120126424123</v>
      </c>
      <c r="BA66">
        <f t="shared" si="27"/>
        <v>1.3142654572873123</v>
      </c>
      <c r="BB66">
        <f t="shared" si="43"/>
        <v>2.3736618705542951</v>
      </c>
      <c r="BC66">
        <f t="shared" si="44"/>
        <v>0.91469298087856088</v>
      </c>
      <c r="BD66">
        <f t="shared" si="28"/>
        <v>-127.59195258553302</v>
      </c>
      <c r="BF66">
        <f t="shared" si="29"/>
        <v>5.8269678933191891</v>
      </c>
      <c r="BG66">
        <f t="shared" si="30"/>
        <v>-117.60559498075888</v>
      </c>
      <c r="BH66">
        <f t="shared" si="45"/>
        <v>62.39440501924112</v>
      </c>
      <c r="BI66">
        <f t="shared" si="46"/>
        <v>62.39440501924112</v>
      </c>
      <c r="BJ66">
        <f t="shared" si="31"/>
        <v>0</v>
      </c>
      <c r="BK66">
        <f t="shared" si="47"/>
        <v>0</v>
      </c>
      <c r="BM66">
        <f t="shared" si="48"/>
        <v>3.4533060227648962</v>
      </c>
      <c r="BN66">
        <f t="shared" si="32"/>
        <v>-170.0136423952259</v>
      </c>
      <c r="BQ66" s="66">
        <f t="shared" si="49"/>
        <v>19.275622670839432</v>
      </c>
      <c r="BR66" s="69"/>
      <c r="BS66" s="69"/>
      <c r="BT66" s="69">
        <v>363.07799999999997</v>
      </c>
      <c r="BU66" s="69">
        <v>23.6126</v>
      </c>
      <c r="BV66" s="69">
        <v>-265.39159999999998</v>
      </c>
      <c r="BW66" s="75"/>
      <c r="BY66" s="69"/>
      <c r="BZ66" s="69"/>
      <c r="CA66" s="69"/>
      <c r="CC66" s="69"/>
    </row>
    <row r="67" spans="1:81" x14ac:dyDescent="0.15">
      <c r="A67">
        <f t="shared" si="54"/>
        <v>16500</v>
      </c>
      <c r="B67">
        <f t="shared" si="33"/>
        <v>16.5</v>
      </c>
      <c r="C67">
        <f t="shared" si="0"/>
        <v>1.0023381806744061</v>
      </c>
      <c r="D67">
        <f t="shared" si="1"/>
        <v>6.8317403913144475E-2</v>
      </c>
      <c r="F67">
        <f t="shared" si="2"/>
        <v>9.2566954304847696E-2</v>
      </c>
      <c r="G67">
        <f t="shared" si="3"/>
        <v>0.10416715079357201</v>
      </c>
      <c r="H67">
        <f t="shared" si="4"/>
        <v>-3.037425499206428</v>
      </c>
      <c r="J67">
        <f t="shared" si="5"/>
        <v>15</v>
      </c>
      <c r="M67">
        <f t="shared" si="6"/>
        <v>5.7759006813194111E-2</v>
      </c>
      <c r="N67">
        <f t="shared" si="7"/>
        <v>-1.5707963250000001</v>
      </c>
      <c r="O67">
        <f t="shared" si="8"/>
        <v>7.084381414305442</v>
      </c>
      <c r="P67">
        <f t="shared" si="9"/>
        <v>1.429167736950923</v>
      </c>
      <c r="Q67">
        <f t="shared" si="10"/>
        <v>3.3280384582202851</v>
      </c>
      <c r="R67">
        <f t="shared" si="11"/>
        <v>1.2656032902550436</v>
      </c>
      <c r="S67">
        <f t="shared" si="12"/>
        <v>0.99795383792925563</v>
      </c>
      <c r="T67">
        <f t="shared" si="13"/>
        <v>-6.3982188900966991E-2</v>
      </c>
      <c r="U67">
        <f t="shared" si="14"/>
        <v>0.99215650350857554</v>
      </c>
      <c r="V67">
        <f t="shared" si="15"/>
        <v>-0.12532973627882846</v>
      </c>
      <c r="X67">
        <f t="shared" si="34"/>
        <v>5.4672426305764894</v>
      </c>
      <c r="Y67">
        <f t="shared" si="16"/>
        <v>-116.56513052005015</v>
      </c>
      <c r="Z67">
        <f t="shared" si="35"/>
        <v>63.434869479949853</v>
      </c>
      <c r="AC67">
        <v>1</v>
      </c>
      <c r="AD67">
        <f t="shared" si="17"/>
        <v>7.0134485114925003</v>
      </c>
      <c r="AE67">
        <f t="shared" si="18"/>
        <v>-1.0906532155954851E-4</v>
      </c>
      <c r="AF67">
        <f t="shared" si="19"/>
        <v>8.6566585470750003E-4</v>
      </c>
      <c r="AG67">
        <f t="shared" si="36"/>
        <v>7831.934907881363</v>
      </c>
      <c r="AH67">
        <f t="shared" si="37"/>
        <v>-2141.9263438408889</v>
      </c>
      <c r="AJ67">
        <f t="shared" si="20"/>
        <v>20000</v>
      </c>
      <c r="AK67">
        <f t="shared" si="21"/>
        <v>1281.3928100820001</v>
      </c>
      <c r="AL67">
        <v>1</v>
      </c>
      <c r="AM67">
        <f t="shared" si="22"/>
        <v>3.1742463640041003</v>
      </c>
      <c r="AN67">
        <f t="shared" si="38"/>
        <v>2172.9689588366764</v>
      </c>
      <c r="AO67">
        <f t="shared" si="39"/>
        <v>-5616.1460065990941</v>
      </c>
      <c r="AQ67">
        <f t="shared" si="23"/>
        <v>9.1743119266055047</v>
      </c>
      <c r="AR67">
        <f t="shared" si="24"/>
        <v>-302.75229357798167</v>
      </c>
      <c r="AT67">
        <f t="shared" si="52"/>
        <v>-576620.49943915568</v>
      </c>
      <c r="AU67">
        <f t="shared" si="53"/>
        <v>-2390786.9569167513</v>
      </c>
      <c r="AV67">
        <f t="shared" si="42"/>
        <v>-1.8074608929989233</v>
      </c>
      <c r="AW67">
        <f t="shared" si="25"/>
        <v>-1669051.0258202646</v>
      </c>
      <c r="AX67">
        <f t="shared" si="26"/>
        <v>-729921.5865231097</v>
      </c>
      <c r="AY67">
        <f t="shared" si="50"/>
        <v>-2.7293271719961862</v>
      </c>
      <c r="BA67">
        <f t="shared" si="27"/>
        <v>1.3500397891605405</v>
      </c>
      <c r="BB67">
        <f t="shared" si="43"/>
        <v>2.6069313692810638</v>
      </c>
      <c r="BC67">
        <f t="shared" si="44"/>
        <v>0.92186627899726292</v>
      </c>
      <c r="BD67">
        <f t="shared" si="28"/>
        <v>-127.18095287767264</v>
      </c>
      <c r="BF67">
        <f t="shared" si="29"/>
        <v>5.4781615141440687</v>
      </c>
      <c r="BG67">
        <f t="shared" si="30"/>
        <v>-117.29831585049185</v>
      </c>
      <c r="BH67">
        <f t="shared" si="45"/>
        <v>62.701684149508154</v>
      </c>
      <c r="BI67">
        <f t="shared" si="46"/>
        <v>62.701684149508154</v>
      </c>
      <c r="BJ67">
        <f t="shared" si="31"/>
        <v>0</v>
      </c>
      <c r="BK67">
        <f t="shared" si="47"/>
        <v>0</v>
      </c>
      <c r="BM67">
        <f t="shared" si="48"/>
        <v>2.8712301448630049</v>
      </c>
      <c r="BN67">
        <f t="shared" si="32"/>
        <v>-170.11736297281919</v>
      </c>
      <c r="BQ67" s="66">
        <f t="shared" si="49"/>
        <v>19.508892169566202</v>
      </c>
      <c r="BR67" s="69"/>
      <c r="BS67" s="69"/>
      <c r="BT67" s="69">
        <v>371.53500000000003</v>
      </c>
      <c r="BU67" s="69">
        <v>23.315999999999999</v>
      </c>
      <c r="BV67" s="69">
        <v>-265.2439</v>
      </c>
      <c r="BW67" s="75"/>
      <c r="BY67" s="69"/>
      <c r="BZ67" s="69"/>
      <c r="CA67" s="69"/>
      <c r="CC67" s="69"/>
    </row>
    <row r="68" spans="1:81" x14ac:dyDescent="0.15">
      <c r="A68">
        <f t="shared" si="54"/>
        <v>17000</v>
      </c>
      <c r="B68">
        <f t="shared" si="33"/>
        <v>17</v>
      </c>
      <c r="C68">
        <f t="shared" si="0"/>
        <v>1.0024818575991221</v>
      </c>
      <c r="D68">
        <f t="shared" si="1"/>
        <v>7.0380898436504219E-2</v>
      </c>
      <c r="F68">
        <f t="shared" si="2"/>
        <v>8.6758445959756833E-2</v>
      </c>
      <c r="G68">
        <f t="shared" si="3"/>
        <v>0.10057691449464869</v>
      </c>
      <c r="H68">
        <f t="shared" si="4"/>
        <v>-3.0410157355053515</v>
      </c>
      <c r="J68">
        <f t="shared" si="5"/>
        <v>15</v>
      </c>
      <c r="M68">
        <f t="shared" si="6"/>
        <v>5.6060212495158988E-2</v>
      </c>
      <c r="N68">
        <f t="shared" si="7"/>
        <v>-1.5707963250000001</v>
      </c>
      <c r="O68">
        <f t="shared" si="8"/>
        <v>7.2948438831242406</v>
      </c>
      <c r="P68">
        <f t="shared" si="9"/>
        <v>1.4332801900711649</v>
      </c>
      <c r="Q68">
        <f t="shared" si="10"/>
        <v>3.4199048709212874</v>
      </c>
      <c r="R68">
        <f t="shared" si="11"/>
        <v>1.2740547066365528</v>
      </c>
      <c r="S68">
        <f t="shared" si="12"/>
        <v>0.99782835895960442</v>
      </c>
      <c r="T68">
        <f t="shared" si="13"/>
        <v>-6.5915514107479714E-2</v>
      </c>
      <c r="U68">
        <f t="shared" si="14"/>
        <v>0.99167994384763025</v>
      </c>
      <c r="V68">
        <f t="shared" si="15"/>
        <v>-0.12908616533810321</v>
      </c>
      <c r="X68">
        <f t="shared" si="34"/>
        <v>5.1318337011312218</v>
      </c>
      <c r="Y68">
        <f t="shared" si="16"/>
        <v>-116.25874858893887</v>
      </c>
      <c r="Z68">
        <f t="shared" si="35"/>
        <v>63.741251411061128</v>
      </c>
      <c r="AC68">
        <v>1</v>
      </c>
      <c r="AD68">
        <f t="shared" si="17"/>
        <v>7.2259772542650005</v>
      </c>
      <c r="AE68">
        <f t="shared" si="18"/>
        <v>-1.1577549285843716E-4</v>
      </c>
      <c r="AF68">
        <f t="shared" si="19"/>
        <v>8.918981533350001E-4</v>
      </c>
      <c r="AG68">
        <f t="shared" si="36"/>
        <v>7824.4129335791422</v>
      </c>
      <c r="AH68">
        <f t="shared" si="37"/>
        <v>-2136.8754454604214</v>
      </c>
      <c r="AJ68">
        <f t="shared" si="20"/>
        <v>20000</v>
      </c>
      <c r="AK68">
        <f t="shared" si="21"/>
        <v>1320.2228952360001</v>
      </c>
      <c r="AL68">
        <v>1</v>
      </c>
      <c r="AM68">
        <f t="shared" si="22"/>
        <v>3.2704356477617997</v>
      </c>
      <c r="AN68">
        <f t="shared" si="38"/>
        <v>2079.1916226519893</v>
      </c>
      <c r="AO68">
        <f t="shared" si="39"/>
        <v>-5479.6395060127661</v>
      </c>
      <c r="AQ68">
        <f t="shared" si="23"/>
        <v>8.6430423509075194</v>
      </c>
      <c r="AR68">
        <f t="shared" si="24"/>
        <v>-293.86343993085563</v>
      </c>
      <c r="AT68">
        <f t="shared" si="52"/>
        <v>-560322.83675086591</v>
      </c>
      <c r="AU68">
        <f t="shared" si="53"/>
        <v>-2317778.005074773</v>
      </c>
      <c r="AV68">
        <f t="shared" si="42"/>
        <v>-1.8079953406527263</v>
      </c>
      <c r="AW68">
        <f t="shared" si="25"/>
        <v>-1581194.7929992217</v>
      </c>
      <c r="AX68">
        <f t="shared" si="26"/>
        <v>-678396.63191117905</v>
      </c>
      <c r="AY68">
        <f t="shared" si="50"/>
        <v>-2.7363046355397933</v>
      </c>
      <c r="BA68">
        <f t="shared" si="27"/>
        <v>1.3858954406505102</v>
      </c>
      <c r="BB68">
        <f t="shared" si="43"/>
        <v>2.8346093203578788</v>
      </c>
      <c r="BC68">
        <f t="shared" si="44"/>
        <v>0.92830929488706704</v>
      </c>
      <c r="BD68">
        <f t="shared" si="28"/>
        <v>-126.81179525942932</v>
      </c>
      <c r="BF68">
        <f t="shared" si="29"/>
        <v>5.144200220259294</v>
      </c>
      <c r="BG68">
        <f t="shared" si="30"/>
        <v>-117.01663409249458</v>
      </c>
      <c r="BH68">
        <f t="shared" si="45"/>
        <v>62.983365907505416</v>
      </c>
      <c r="BI68">
        <f t="shared" si="46"/>
        <v>62.983365907505416</v>
      </c>
      <c r="BJ68">
        <f t="shared" si="31"/>
        <v>0</v>
      </c>
      <c r="BK68">
        <f t="shared" si="47"/>
        <v>0</v>
      </c>
      <c r="BM68">
        <f t="shared" si="48"/>
        <v>2.3095908999014165</v>
      </c>
      <c r="BN68">
        <f t="shared" si="32"/>
        <v>-170.20483883306525</v>
      </c>
      <c r="BQ68" s="66">
        <f t="shared" si="49"/>
        <v>19.736570120643016</v>
      </c>
      <c r="BR68" s="69"/>
      <c r="BS68" s="69"/>
      <c r="BT68" s="69">
        <v>380.18900000000002</v>
      </c>
      <c r="BU68" s="69">
        <v>23.2133</v>
      </c>
      <c r="BV68" s="69">
        <v>-265.49869999999999</v>
      </c>
      <c r="BW68" s="75"/>
      <c r="BY68" s="69"/>
      <c r="BZ68" s="69"/>
      <c r="CA68" s="69"/>
      <c r="CC68" s="69"/>
    </row>
    <row r="69" spans="1:81" x14ac:dyDescent="0.15">
      <c r="A69">
        <f t="shared" si="54"/>
        <v>17500</v>
      </c>
      <c r="B69">
        <f t="shared" si="33"/>
        <v>17.5</v>
      </c>
      <c r="C69">
        <f t="shared" si="0"/>
        <v>1.0026298018672841</v>
      </c>
      <c r="D69">
        <f t="shared" si="1"/>
        <v>7.2443792778633581E-2</v>
      </c>
      <c r="F69">
        <f t="shared" si="2"/>
        <v>8.1491972173279359E-2</v>
      </c>
      <c r="G69">
        <f t="shared" si="3"/>
        <v>9.723949206854593E-2</v>
      </c>
      <c r="H69">
        <f t="shared" si="4"/>
        <v>-3.0443531579314542</v>
      </c>
      <c r="J69">
        <f t="shared" si="5"/>
        <v>15</v>
      </c>
      <c r="M69">
        <f t="shared" si="6"/>
        <v>5.4458492138154443E-2</v>
      </c>
      <c r="N69">
        <f t="shared" si="7"/>
        <v>-1.5707963250000001</v>
      </c>
      <c r="O69">
        <f t="shared" si="8"/>
        <v>7.505422804077253</v>
      </c>
      <c r="P69">
        <f t="shared" si="9"/>
        <v>1.4371619404078839</v>
      </c>
      <c r="Q69">
        <f t="shared" si="10"/>
        <v>3.5120027661618778</v>
      </c>
      <c r="R69">
        <f t="shared" si="11"/>
        <v>1.2820634146179339</v>
      </c>
      <c r="S69">
        <f t="shared" si="12"/>
        <v>0.99769918380850542</v>
      </c>
      <c r="T69">
        <f t="shared" si="13"/>
        <v>-6.784834597469655E-2</v>
      </c>
      <c r="U69">
        <f t="shared" si="14"/>
        <v>0.99118987558709915</v>
      </c>
      <c r="V69">
        <f t="shared" si="15"/>
        <v>-0.13283893460554561</v>
      </c>
      <c r="X69">
        <f t="shared" si="34"/>
        <v>4.8099758978283784</v>
      </c>
      <c r="Y69">
        <f t="shared" si="16"/>
        <v>-115.97626153960607</v>
      </c>
      <c r="Z69">
        <f t="shared" si="35"/>
        <v>64.023738460393929</v>
      </c>
      <c r="AC69">
        <v>1</v>
      </c>
      <c r="AD69">
        <f t="shared" si="17"/>
        <v>7.4385059970375007</v>
      </c>
      <c r="AE69">
        <f t="shared" si="18"/>
        <v>-1.2268596777818814E-4</v>
      </c>
      <c r="AF69">
        <f t="shared" si="19"/>
        <v>9.1813045196250016E-4</v>
      </c>
      <c r="AG69">
        <f t="shared" si="36"/>
        <v>7816.6815097576664</v>
      </c>
      <c r="AH69">
        <f t="shared" si="37"/>
        <v>-2133.6806024145476</v>
      </c>
      <c r="AJ69">
        <f t="shared" si="20"/>
        <v>20000</v>
      </c>
      <c r="AK69">
        <f t="shared" si="21"/>
        <v>1359.0529803899999</v>
      </c>
      <c r="AL69">
        <v>1</v>
      </c>
      <c r="AM69">
        <f t="shared" si="22"/>
        <v>3.3666249315194996</v>
      </c>
      <c r="AN69">
        <f t="shared" si="38"/>
        <v>1992.4676519367274</v>
      </c>
      <c r="AO69">
        <f t="shared" si="39"/>
        <v>-5348.8382918663037</v>
      </c>
      <c r="AQ69">
        <f t="shared" si="23"/>
        <v>8.1566068515497552</v>
      </c>
      <c r="AR69">
        <f t="shared" si="24"/>
        <v>-285.48123980424145</v>
      </c>
      <c r="AT69">
        <f t="shared" si="52"/>
        <v>-545368.18576469424</v>
      </c>
      <c r="AU69">
        <f t="shared" si="53"/>
        <v>-2248919.5223811818</v>
      </c>
      <c r="AV69">
        <f t="shared" si="42"/>
        <v>-1.8087059899486948</v>
      </c>
      <c r="AW69">
        <f t="shared" si="25"/>
        <v>-1499839.5973183906</v>
      </c>
      <c r="AX69">
        <f t="shared" si="26"/>
        <v>-632014.15742387215</v>
      </c>
      <c r="AY69">
        <f t="shared" si="50"/>
        <v>-2.7427855182213987</v>
      </c>
      <c r="BA69">
        <f t="shared" si="27"/>
        <v>1.4218200494130864</v>
      </c>
      <c r="BB69">
        <f t="shared" si="43"/>
        <v>3.0568926804449688</v>
      </c>
      <c r="BC69">
        <f t="shared" si="44"/>
        <v>0.93407952827270391</v>
      </c>
      <c r="BD69">
        <f t="shared" si="28"/>
        <v>-126.48118523924904</v>
      </c>
      <c r="BF69">
        <f t="shared" si="29"/>
        <v>4.8238266120665694</v>
      </c>
      <c r="BG69">
        <f t="shared" si="30"/>
        <v>-116.75904915248033</v>
      </c>
      <c r="BH69">
        <f t="shared" si="45"/>
        <v>63.24095084751967</v>
      </c>
      <c r="BI69">
        <f t="shared" si="46"/>
        <v>63.24095084751967</v>
      </c>
      <c r="BJ69">
        <f t="shared" si="31"/>
        <v>0</v>
      </c>
      <c r="BK69">
        <f t="shared" si="47"/>
        <v>0</v>
      </c>
      <c r="BM69">
        <f t="shared" si="48"/>
        <v>1.7669339316215995</v>
      </c>
      <c r="BN69">
        <f t="shared" si="32"/>
        <v>-170.2778639132313</v>
      </c>
      <c r="BQ69" s="66">
        <f t="shared" si="49"/>
        <v>19.958853480730106</v>
      </c>
      <c r="BR69" s="69"/>
      <c r="BS69" s="69"/>
      <c r="BT69" s="69">
        <v>389.04500000000002</v>
      </c>
      <c r="BU69" s="69">
        <v>22.955200000000001</v>
      </c>
      <c r="BV69" s="69">
        <v>-266.06720000000001</v>
      </c>
      <c r="BW69" s="75"/>
      <c r="BY69" s="69"/>
      <c r="BZ69" s="69"/>
      <c r="CA69" s="69"/>
      <c r="CC69" s="69"/>
    </row>
    <row r="70" spans="1:81" x14ac:dyDescent="0.15">
      <c r="A70">
        <f t="shared" si="54"/>
        <v>18000</v>
      </c>
      <c r="B70">
        <f t="shared" si="33"/>
        <v>18</v>
      </c>
      <c r="C70">
        <f t="shared" si="0"/>
        <v>1.0027820115901596</v>
      </c>
      <c r="D70">
        <f t="shared" si="1"/>
        <v>7.4506069651721143E-2</v>
      </c>
      <c r="F70">
        <f t="shared" si="2"/>
        <v>7.6700857691303567E-2</v>
      </c>
      <c r="G70">
        <f t="shared" si="3"/>
        <v>9.4128124682367365E-2</v>
      </c>
      <c r="H70">
        <f t="shared" si="4"/>
        <v>-3.0474645253176327</v>
      </c>
      <c r="J70">
        <f t="shared" si="5"/>
        <v>15</v>
      </c>
      <c r="M70">
        <f t="shared" si="6"/>
        <v>5.2945756245427925E-2</v>
      </c>
      <c r="N70">
        <f t="shared" si="7"/>
        <v>-1.5707963250000001</v>
      </c>
      <c r="O70">
        <f t="shared" si="8"/>
        <v>7.7161086429481722</v>
      </c>
      <c r="P70">
        <f t="shared" si="9"/>
        <v>1.4408317636901882</v>
      </c>
      <c r="Q70">
        <f t="shared" si="10"/>
        <v>3.6043143993727647</v>
      </c>
      <c r="R70">
        <f t="shared" si="11"/>
        <v>1.2896623605494844</v>
      </c>
      <c r="S70">
        <f t="shared" si="12"/>
        <v>0.99756631680612529</v>
      </c>
      <c r="T70">
        <f t="shared" si="13"/>
        <v>-6.9780670255562741E-2</v>
      </c>
      <c r="U70">
        <f t="shared" si="14"/>
        <v>0.99068636012228894</v>
      </c>
      <c r="V70">
        <f t="shared" si="15"/>
        <v>-0.13658794388170242</v>
      </c>
      <c r="X70">
        <f t="shared" si="34"/>
        <v>4.5005626214124721</v>
      </c>
      <c r="Y70">
        <f t="shared" si="16"/>
        <v>-115.71623351659888</v>
      </c>
      <c r="Z70">
        <f t="shared" si="35"/>
        <v>64.283766483401124</v>
      </c>
      <c r="AC70">
        <v>1</v>
      </c>
      <c r="AD70">
        <f t="shared" si="17"/>
        <v>7.6510347398100009</v>
      </c>
      <c r="AE70">
        <f t="shared" si="18"/>
        <v>-1.2979674631880152E-4</v>
      </c>
      <c r="AF70">
        <f t="shared" si="19"/>
        <v>9.4436275059000001E-4</v>
      </c>
      <c r="AG70">
        <f t="shared" si="36"/>
        <v>7808.7419203003119</v>
      </c>
      <c r="AH70">
        <f t="shared" si="37"/>
        <v>-2132.1778022695471</v>
      </c>
      <c r="AJ70">
        <f t="shared" si="20"/>
        <v>20000</v>
      </c>
      <c r="AK70">
        <f t="shared" si="21"/>
        <v>1397.8830655439999</v>
      </c>
      <c r="AL70">
        <v>1</v>
      </c>
      <c r="AM70">
        <f t="shared" si="22"/>
        <v>3.4628142152771999</v>
      </c>
      <c r="AN70">
        <f t="shared" si="38"/>
        <v>1912.1277809693306</v>
      </c>
      <c r="AO70">
        <f t="shared" si="39"/>
        <v>-5223.4601958230469</v>
      </c>
      <c r="AQ70">
        <f t="shared" si="23"/>
        <v>7.7101002313030067</v>
      </c>
      <c r="AR70">
        <f t="shared" si="24"/>
        <v>-277.56360832690825</v>
      </c>
      <c r="AT70">
        <f t="shared" si="52"/>
        <v>-531608.78150657972</v>
      </c>
      <c r="AU70">
        <f t="shared" si="53"/>
        <v>-2183861.8884586026</v>
      </c>
      <c r="AV70">
        <f t="shared" si="42"/>
        <v>-1.8095781971878864</v>
      </c>
      <c r="AW70">
        <f t="shared" si="25"/>
        <v>-1424382.9771561124</v>
      </c>
      <c r="AX70">
        <f t="shared" si="26"/>
        <v>-590143.35899516148</v>
      </c>
      <c r="AY70">
        <f t="shared" si="50"/>
        <v>-2.7488069171776064</v>
      </c>
      <c r="BA70">
        <f t="shared" si="27"/>
        <v>1.457802403389858</v>
      </c>
      <c r="BB70">
        <f t="shared" si="43"/>
        <v>3.273973237759364</v>
      </c>
      <c r="BC70">
        <f t="shared" si="44"/>
        <v>0.93922871998972002</v>
      </c>
      <c r="BD70">
        <f t="shared" si="28"/>
        <v>-126.18615828562318</v>
      </c>
      <c r="BF70">
        <f t="shared" si="29"/>
        <v>4.5159335217892673</v>
      </c>
      <c r="BG70">
        <f t="shared" si="30"/>
        <v>-116.52413065765046</v>
      </c>
      <c r="BH70">
        <f t="shared" si="45"/>
        <v>63.47586934234954</v>
      </c>
      <c r="BI70">
        <f t="shared" si="46"/>
        <v>63.47586934234954</v>
      </c>
      <c r="BJ70">
        <f t="shared" si="31"/>
        <v>0</v>
      </c>
      <c r="BK70">
        <f t="shared" si="47"/>
        <v>0</v>
      </c>
      <c r="BM70">
        <f t="shared" si="48"/>
        <v>1.241960284029904</v>
      </c>
      <c r="BN70">
        <f t="shared" si="32"/>
        <v>-170.33797237202728</v>
      </c>
      <c r="BQ70" s="66">
        <f t="shared" si="49"/>
        <v>20.175934038044502</v>
      </c>
      <c r="BR70" s="69"/>
      <c r="BS70" s="69"/>
      <c r="BT70" s="69">
        <v>398.10700000000003</v>
      </c>
      <c r="BU70" s="69">
        <v>22.738499999999998</v>
      </c>
      <c r="BV70" s="69">
        <v>-265.2319</v>
      </c>
      <c r="BW70" s="75"/>
      <c r="BY70" s="69"/>
      <c r="BZ70" s="69"/>
      <c r="CA70" s="69"/>
      <c r="CC70" s="69"/>
    </row>
    <row r="71" spans="1:81" x14ac:dyDescent="0.15">
      <c r="A71">
        <f t="shared" si="54"/>
        <v>18500</v>
      </c>
      <c r="B71">
        <f t="shared" si="33"/>
        <v>18.5</v>
      </c>
      <c r="C71">
        <f t="shared" si="0"/>
        <v>1.0029384848257241</v>
      </c>
      <c r="D71">
        <f t="shared" si="1"/>
        <v>7.65677117993116E-2</v>
      </c>
      <c r="F71">
        <f t="shared" si="2"/>
        <v>7.2328535896051094E-2</v>
      </c>
      <c r="G71">
        <f t="shared" si="3"/>
        <v>9.1219784685198313E-2</v>
      </c>
      <c r="H71">
        <f t="shared" si="4"/>
        <v>-3.0503728653148019</v>
      </c>
      <c r="J71">
        <f t="shared" si="5"/>
        <v>15</v>
      </c>
      <c r="M71">
        <f t="shared" si="6"/>
        <v>5.1514789860416368E-2</v>
      </c>
      <c r="N71">
        <f t="shared" si="7"/>
        <v>-1.5707963250000001</v>
      </c>
      <c r="O71">
        <f t="shared" si="8"/>
        <v>7.9268928745508491</v>
      </c>
      <c r="P71">
        <f t="shared" si="9"/>
        <v>1.4443064629684845</v>
      </c>
      <c r="Q71">
        <f t="shared" si="10"/>
        <v>3.6968237591400901</v>
      </c>
      <c r="R71">
        <f t="shared" si="11"/>
        <v>1.2968813939225874</v>
      </c>
      <c r="S71">
        <f t="shared" si="12"/>
        <v>0.99742976240326198</v>
      </c>
      <c r="T71">
        <f t="shared" si="13"/>
        <v>-7.1712472725667456E-2</v>
      </c>
      <c r="U71">
        <f t="shared" si="14"/>
        <v>0.99016946036350684</v>
      </c>
      <c r="V71">
        <f t="shared" si="15"/>
        <v>-0.14033309359055718</v>
      </c>
      <c r="X71">
        <f t="shared" si="34"/>
        <v>4.2026149643957744</v>
      </c>
      <c r="Y71">
        <f t="shared" si="16"/>
        <v>-115.4773053818151</v>
      </c>
      <c r="Z71">
        <f t="shared" si="35"/>
        <v>64.5226946181849</v>
      </c>
      <c r="AC71">
        <v>1</v>
      </c>
      <c r="AD71">
        <f t="shared" si="17"/>
        <v>7.8635634825825003</v>
      </c>
      <c r="AE71">
        <f t="shared" si="18"/>
        <v>-1.3710782848027719E-4</v>
      </c>
      <c r="AF71">
        <f t="shared" si="19"/>
        <v>9.7059504921750007E-4</v>
      </c>
      <c r="AG71">
        <f t="shared" si="36"/>
        <v>7800.5954796518499</v>
      </c>
      <c r="AH71">
        <f t="shared" si="37"/>
        <v>-2132.2205473194963</v>
      </c>
      <c r="AJ71">
        <f t="shared" si="20"/>
        <v>20000</v>
      </c>
      <c r="AK71">
        <f t="shared" si="21"/>
        <v>1436.7131506980002</v>
      </c>
      <c r="AL71">
        <v>1</v>
      </c>
      <c r="AM71">
        <f t="shared" si="22"/>
        <v>3.5590034990349002</v>
      </c>
      <c r="AN71">
        <f t="shared" si="38"/>
        <v>1837.5777468589113</v>
      </c>
      <c r="AO71">
        <f t="shared" si="39"/>
        <v>-5103.2324801215336</v>
      </c>
      <c r="AQ71">
        <f t="shared" si="23"/>
        <v>7.2992700729927007</v>
      </c>
      <c r="AR71">
        <f t="shared" si="24"/>
        <v>-270.07299270072991</v>
      </c>
      <c r="AT71">
        <f t="shared" si="52"/>
        <v>-518916.53117641981</v>
      </c>
      <c r="AU71">
        <f t="shared" si="53"/>
        <v>-2122293.8196674301</v>
      </c>
      <c r="AV71">
        <f t="shared" si="42"/>
        <v>-1.8105988350246009</v>
      </c>
      <c r="AW71">
        <f t="shared" si="25"/>
        <v>-1354287.7107006647</v>
      </c>
      <c r="AX71">
        <f t="shared" si="26"/>
        <v>-552243.61953643139</v>
      </c>
      <c r="AY71">
        <f t="shared" si="50"/>
        <v>-2.7544023775001674</v>
      </c>
      <c r="BA71">
        <f t="shared" si="27"/>
        <v>1.4938322926760252</v>
      </c>
      <c r="BB71">
        <f t="shared" si="43"/>
        <v>3.486036869886747</v>
      </c>
      <c r="BC71">
        <f t="shared" si="44"/>
        <v>0.94380354247556641</v>
      </c>
      <c r="BD71">
        <f t="shared" si="28"/>
        <v>-125.92404026486312</v>
      </c>
      <c r="BF71">
        <f t="shared" si="29"/>
        <v>4.21954145957889</v>
      </c>
      <c r="BG71">
        <f t="shared" si="30"/>
        <v>-116.31052485024952</v>
      </c>
      <c r="BH71">
        <f t="shared" si="45"/>
        <v>63.689475149750479</v>
      </c>
      <c r="BI71">
        <f t="shared" si="46"/>
        <v>63.689475149750479</v>
      </c>
      <c r="BJ71">
        <f t="shared" si="31"/>
        <v>0</v>
      </c>
      <c r="BK71">
        <f t="shared" si="47"/>
        <v>0</v>
      </c>
      <c r="BM71">
        <f t="shared" si="48"/>
        <v>0.73350458969214416</v>
      </c>
      <c r="BN71">
        <f t="shared" si="32"/>
        <v>-170.3864845853864</v>
      </c>
      <c r="BQ71" s="66">
        <f t="shared" si="49"/>
        <v>20.387997670171885</v>
      </c>
      <c r="BR71" s="69"/>
      <c r="BS71" s="69"/>
      <c r="BT71" s="69">
        <v>407.38</v>
      </c>
      <c r="BU71" s="69">
        <v>22.7593</v>
      </c>
      <c r="BV71" s="69">
        <v>-265.7319</v>
      </c>
      <c r="BW71" s="75"/>
      <c r="BY71" s="69"/>
      <c r="BZ71" s="69"/>
      <c r="CA71" s="69"/>
      <c r="CC71" s="69"/>
    </row>
    <row r="72" spans="1:81" x14ac:dyDescent="0.15">
      <c r="A72">
        <f t="shared" si="54"/>
        <v>19000</v>
      </c>
      <c r="B72">
        <f t="shared" si="33"/>
        <v>19</v>
      </c>
      <c r="C72">
        <f t="shared" si="0"/>
        <v>1.0030992195787842</v>
      </c>
      <c r="D72">
        <f t="shared" si="1"/>
        <v>7.8628701997152467E-2</v>
      </c>
      <c r="F72">
        <f t="shared" si="2"/>
        <v>6.8326739681556503E-2</v>
      </c>
      <c r="G72">
        <f t="shared" si="3"/>
        <v>8.8494538749312096E-2</v>
      </c>
      <c r="H72">
        <f t="shared" si="4"/>
        <v>-3.0530981112506881</v>
      </c>
      <c r="J72">
        <f t="shared" si="5"/>
        <v>15</v>
      </c>
      <c r="M72">
        <f t="shared" si="6"/>
        <v>5.0159137495668568E-2</v>
      </c>
      <c r="N72">
        <f t="shared" si="7"/>
        <v>-1.5707963250000001</v>
      </c>
      <c r="O72">
        <f t="shared" si="8"/>
        <v>8.1377678531916526</v>
      </c>
      <c r="P72">
        <f t="shared" si="9"/>
        <v>1.4476011197061147</v>
      </c>
      <c r="Q72">
        <f t="shared" si="10"/>
        <v>3.7895163648385415</v>
      </c>
      <c r="R72">
        <f t="shared" si="11"/>
        <v>1.3037476116349096</v>
      </c>
      <c r="S72">
        <f t="shared" si="12"/>
        <v>0.99728952517093594</v>
      </c>
      <c r="T72">
        <f t="shared" si="13"/>
        <v>-7.3643739183859552E-2</v>
      </c>
      <c r="U72">
        <f t="shared" si="14"/>
        <v>0.98963924071477472</v>
      </c>
      <c r="V72">
        <f t="shared" si="15"/>
        <v>-0.14407428479406839</v>
      </c>
      <c r="X72">
        <f t="shared" si="34"/>
        <v>3.915263163132809</v>
      </c>
      <c r="Y72">
        <f t="shared" si="16"/>
        <v>-115.25819709320972</v>
      </c>
      <c r="Z72">
        <f t="shared" si="35"/>
        <v>64.741802906790284</v>
      </c>
      <c r="AC72">
        <v>1</v>
      </c>
      <c r="AD72">
        <f t="shared" si="17"/>
        <v>8.0760922253550014</v>
      </c>
      <c r="AE72">
        <f t="shared" si="18"/>
        <v>-1.4461921426261526E-4</v>
      </c>
      <c r="AF72">
        <f t="shared" si="19"/>
        <v>9.9682734784500003E-4</v>
      </c>
      <c r="AG72">
        <f t="shared" si="36"/>
        <v>7792.2435322882902</v>
      </c>
      <c r="AH72">
        <f t="shared" si="37"/>
        <v>-2133.6775536712084</v>
      </c>
      <c r="AJ72">
        <f t="shared" si="20"/>
        <v>20000</v>
      </c>
      <c r="AK72">
        <f t="shared" si="21"/>
        <v>1475.5432358520002</v>
      </c>
      <c r="AL72">
        <v>1</v>
      </c>
      <c r="AM72">
        <f t="shared" si="22"/>
        <v>3.6551927827926001</v>
      </c>
      <c r="AN72">
        <f t="shared" si="38"/>
        <v>1768.2887921327251</v>
      </c>
      <c r="AO72">
        <f t="shared" si="39"/>
        <v>-4987.8931950445813</v>
      </c>
      <c r="AQ72">
        <f t="shared" si="23"/>
        <v>6.9204152249134951</v>
      </c>
      <c r="AR72">
        <f t="shared" si="24"/>
        <v>-262.97577854671277</v>
      </c>
      <c r="AT72">
        <f t="shared" si="52"/>
        <v>-507179.95506725</v>
      </c>
      <c r="AU72">
        <f t="shared" si="53"/>
        <v>-2063937.2441565827</v>
      </c>
      <c r="AV72">
        <f t="shared" si="42"/>
        <v>-1.8117561014248245</v>
      </c>
      <c r="AW72">
        <f t="shared" si="25"/>
        <v>-1289073.9712184079</v>
      </c>
      <c r="AX72">
        <f t="shared" si="26"/>
        <v>-517849.94166814035</v>
      </c>
      <c r="AY72">
        <f t="shared" si="50"/>
        <v>-2.7596022964931288</v>
      </c>
      <c r="BA72">
        <f t="shared" si="27"/>
        <v>1.5299003836587348</v>
      </c>
      <c r="BB72">
        <f t="shared" si="43"/>
        <v>3.6932630707863074</v>
      </c>
      <c r="BC72">
        <f t="shared" si="44"/>
        <v>0.94784619506830436</v>
      </c>
      <c r="BD72">
        <f t="shared" si="28"/>
        <v>-125.69241333299695</v>
      </c>
      <c r="BF72">
        <f t="shared" si="29"/>
        <v>3.9337800658064959</v>
      </c>
      <c r="BG72">
        <f t="shared" si="30"/>
        <v>-116.11695696873417</v>
      </c>
      <c r="BH72">
        <f t="shared" si="45"/>
        <v>63.883043031265828</v>
      </c>
      <c r="BI72">
        <f t="shared" si="46"/>
        <v>63.883043031265828</v>
      </c>
      <c r="BJ72">
        <f t="shared" si="31"/>
        <v>0</v>
      </c>
      <c r="BK72">
        <f t="shared" si="47"/>
        <v>0</v>
      </c>
      <c r="BM72">
        <f t="shared" si="48"/>
        <v>0.24051699502018856</v>
      </c>
      <c r="BN72">
        <f t="shared" si="32"/>
        <v>-170.42454363573725</v>
      </c>
      <c r="BQ72" s="66">
        <f t="shared" si="49"/>
        <v>20.595223871071443</v>
      </c>
      <c r="BR72" s="69"/>
      <c r="BS72" s="69"/>
      <c r="BT72" s="69">
        <v>416.86900000000003</v>
      </c>
      <c r="BU72" s="69">
        <v>22.4206</v>
      </c>
      <c r="BV72" s="69">
        <v>-265.24939999999998</v>
      </c>
      <c r="BW72" s="75"/>
      <c r="BY72" s="69"/>
      <c r="BZ72" s="69"/>
      <c r="CA72" s="69"/>
      <c r="CC72" s="69"/>
    </row>
    <row r="73" spans="1:81" x14ac:dyDescent="0.15">
      <c r="A73">
        <f t="shared" si="54"/>
        <v>19500</v>
      </c>
      <c r="B73">
        <f t="shared" si="33"/>
        <v>19.5</v>
      </c>
      <c r="C73">
        <f t="shared" ref="C73:C136" si="55">SQRT((A73/Fesr)^2+1)</f>
        <v>1.0032642138011041</v>
      </c>
      <c r="D73">
        <f t="shared" ref="D73:D136" si="56">ATAN(A73/Fesr)</f>
        <v>8.0689023054037037E-2</v>
      </c>
      <c r="F73">
        <f t="shared" ref="F73:F136" si="57">(Ro/(Ro+Rdcr))/SQRT((A73/(Q*Fo))^2+(1-(A73^2/Fo^2))^2)</f>
        <v>6.4654063197930448E-2</v>
      </c>
      <c r="G73">
        <f t="shared" ref="G73:G136" si="58">-ATAN(A73*Fo/(Q*(Fo^2-A73^2)))</f>
        <v>8.5935038107851552E-2</v>
      </c>
      <c r="H73">
        <f t="shared" ref="H73:H136" si="59">IF(G73&gt;0,G73-Pi,G73)</f>
        <v>-3.0556576118921486</v>
      </c>
      <c r="J73">
        <f t="shared" ref="J73:J136" si="60">Vin/Vramp</f>
        <v>15</v>
      </c>
      <c r="M73">
        <f t="shared" ref="M73:M136" si="61">1/(2*Pi*_Rfb1*(Cc1ea_u+Cc2ea_u)*A73)</f>
        <v>4.8873005765010399E-2</v>
      </c>
      <c r="N73">
        <f t="shared" ref="N73:N136" si="62">-Pi/2</f>
        <v>-1.5707963250000001</v>
      </c>
      <c r="O73">
        <f t="shared" ref="O73:O136" si="63">SQRT(1+(A73/Fz1_u)^2)</f>
        <v>8.3487267025147531</v>
      </c>
      <c r="P73">
        <f t="shared" ref="P73:P136" si="64">ATAN2(Fz1_u,A73)</f>
        <v>1.4507293076674943</v>
      </c>
      <c r="Q73">
        <f t="shared" ref="Q73:Q136" si="65">SQRT(1+(A73/Fz2_u)^2)</f>
        <v>3.8823790913865182</v>
      </c>
      <c r="R73">
        <f t="shared" ref="R73:R136" si="66">ATAN2(Fz2_u,A73)</f>
        <v>1.3102856589422909</v>
      </c>
      <c r="S73">
        <f t="shared" ref="S73:S136" si="67">1/SQRT(1+(A73/Fp1_u)^2)</f>
        <v>0.99714560979996525</v>
      </c>
      <c r="T73">
        <f t="shared" ref="T73:T136" si="68">-ATAN2(Fp1_u,A73)</f>
        <v>-7.5574455452860956E-2</v>
      </c>
      <c r="U73">
        <f t="shared" ref="U73:U136" si="69">1/SQRT(1+(A73/Fp2_u)^2)</f>
        <v>0.9890957670521312</v>
      </c>
      <c r="V73">
        <f t="shared" ref="V73:V136" si="70">-ATAN2(Fp2_u,A73)</f>
        <v>-0.14781141920645136</v>
      </c>
      <c r="X73">
        <f t="shared" si="34"/>
        <v>3.6377312429147124</v>
      </c>
      <c r="Y73">
        <f t="shared" ref="Y73:Y136" si="71">(180/Pi)*(D73+H73+N73+P73+R73+T73+V73)</f>
        <v>-115.05770741466914</v>
      </c>
      <c r="Z73">
        <f t="shared" si="35"/>
        <v>64.942292585330861</v>
      </c>
      <c r="AC73">
        <v>1</v>
      </c>
      <c r="AD73">
        <f t="shared" ref="AD73:AD136" si="72">Rcea1_u*Cc1ea_u*A73*2*Pi</f>
        <v>8.2886209681274998</v>
      </c>
      <c r="AE73">
        <f t="shared" ref="AE73:AE136" si="73">-Rcea1_u*Cc1ea_u*Cc2ea_u*(A73*2*Pi)^2</f>
        <v>-1.5233090366581568E-4</v>
      </c>
      <c r="AF73">
        <f t="shared" ref="AF73:AF136" si="74">(Cc2ea_u+Cc1ea_u)*A73*2*Pi</f>
        <v>1.0230596464725001E-3</v>
      </c>
      <c r="AG73">
        <f t="shared" si="36"/>
        <v>7783.6874521771042</v>
      </c>
      <c r="AH73">
        <f t="shared" si="37"/>
        <v>-2136.4308043804367</v>
      </c>
      <c r="AJ73">
        <f t="shared" ref="AJ73:AJ136" si="75">_Rfb1</f>
        <v>20000</v>
      </c>
      <c r="AK73">
        <f t="shared" ref="AK73:AK136" si="76">_Rfb1*Rcea2_u*Cc3ea_u*A73*2*Pi</f>
        <v>1514.373321006</v>
      </c>
      <c r="AL73">
        <v>1</v>
      </c>
      <c r="AM73">
        <f t="shared" ref="AM73:AM136" si="77">(_Rfb1+Rcea2_u)*Cc3ea_u*A73*2*Pi</f>
        <v>3.7513820665503004</v>
      </c>
      <c r="AN73">
        <f t="shared" si="38"/>
        <v>1703.7894795484824</v>
      </c>
      <c r="AO73">
        <f t="shared" si="39"/>
        <v>-4877.1919777492467</v>
      </c>
      <c r="AQ73">
        <f t="shared" ref="AQ73:AQ136" si="78">Eadcg/(1+(Eadcg*A73/GBP)^2)</f>
        <v>6.5703022339027592</v>
      </c>
      <c r="AR73">
        <f t="shared" ref="AR73:AR136" si="79">-(A73*Eadcg*Eadcg/GBP)/(1+(Eadcg*A73/GBP)^2)</f>
        <v>-256.2417871222076</v>
      </c>
      <c r="AT73">
        <f t="shared" si="52"/>
        <v>-496301.66832233849</v>
      </c>
      <c r="AU73">
        <f t="shared" si="53"/>
        <v>-2008542.9792331634</v>
      </c>
      <c r="AV73">
        <f t="shared" si="42"/>
        <v>-1.8130393566070726</v>
      </c>
      <c r="AW73">
        <f t="shared" si="25"/>
        <v>-1228312.479587853</v>
      </c>
      <c r="AX73">
        <f t="shared" si="26"/>
        <v>-486560.98290915729</v>
      </c>
      <c r="AY73">
        <f t="shared" si="50"/>
        <v>-2.7644342754063471</v>
      </c>
      <c r="BA73">
        <f t="shared" ref="BA73:BA136" si="80">SQRT(AT73^2+AU73^2)/SQRT(AW73^2+AX73^2)</f>
        <v>1.5659981116202559</v>
      </c>
      <c r="BB73">
        <f t="shared" si="43"/>
        <v>3.8958246804487469</v>
      </c>
      <c r="BC73">
        <f t="shared" si="44"/>
        <v>0.95139491879927451</v>
      </c>
      <c r="BD73">
        <f t="shared" ref="BD73:BD136" si="81">BC73*180/Pi-180</f>
        <v>-125.4890864403221</v>
      </c>
      <c r="BF73">
        <f t="shared" ref="BF73:BF136" si="82">20*LOG(BA73*J73*F73*C73)</f>
        <v>3.6578727563787794</v>
      </c>
      <c r="BG73">
        <f t="shared" ref="BG73:BG136" si="83">(180/Pi)*(D73+H73+BC73)</f>
        <v>-115.94223095950731</v>
      </c>
      <c r="BH73">
        <f t="shared" si="45"/>
        <v>64.057769040492687</v>
      </c>
      <c r="BI73">
        <f t="shared" si="46"/>
        <v>64.057769040492687</v>
      </c>
      <c r="BJ73">
        <f t="shared" ref="BJ73:BJ136" si="84">SUM((BF74&lt;0)*(BF73&gt;0))*A73</f>
        <v>0</v>
      </c>
      <c r="BK73">
        <f t="shared" si="47"/>
        <v>0</v>
      </c>
      <c r="BM73">
        <f t="shared" si="48"/>
        <v>-0.2379519240699659</v>
      </c>
      <c r="BN73">
        <f t="shared" ref="BN73:BN136" si="85">(H73+D73)*180/Pi</f>
        <v>-170.45314451918523</v>
      </c>
      <c r="BQ73" s="66">
        <f t="shared" si="49"/>
        <v>20.797785480733882</v>
      </c>
      <c r="BR73" s="69"/>
      <c r="BS73" s="69"/>
      <c r="BT73" s="69">
        <v>426.58</v>
      </c>
      <c r="BU73" s="69">
        <v>22.373699999999999</v>
      </c>
      <c r="BV73" s="69">
        <v>-265.14060000000001</v>
      </c>
      <c r="BW73" s="75"/>
      <c r="BY73" s="69"/>
      <c r="BZ73" s="69"/>
      <c r="CA73" s="69"/>
      <c r="CC73" s="69"/>
    </row>
    <row r="74" spans="1:81" x14ac:dyDescent="0.15">
      <c r="A74">
        <f t="shared" si="54"/>
        <v>20000</v>
      </c>
      <c r="B74">
        <f t="shared" ref="B74:B137" si="86">A74/1000</f>
        <v>20</v>
      </c>
      <c r="C74">
        <f t="shared" si="55"/>
        <v>1.0034334653915342</v>
      </c>
      <c r="D74">
        <f t="shared" si="56"/>
        <v>8.2748657812642845E-2</v>
      </c>
      <c r="F74">
        <f t="shared" si="57"/>
        <v>6.1274809284991079E-2</v>
      </c>
      <c r="G74">
        <f t="shared" si="58"/>
        <v>8.3526107130655475E-2</v>
      </c>
      <c r="H74">
        <f t="shared" si="59"/>
        <v>-3.0580665428693448</v>
      </c>
      <c r="J74">
        <f t="shared" si="60"/>
        <v>15</v>
      </c>
      <c r="M74">
        <f t="shared" si="61"/>
        <v>4.7651180620885136E-2</v>
      </c>
      <c r="N74">
        <f t="shared" si="62"/>
        <v>-1.5707963250000001</v>
      </c>
      <c r="O74">
        <f t="shared" si="63"/>
        <v>8.5597632214410666</v>
      </c>
      <c r="P74">
        <f t="shared" si="64"/>
        <v>1.4537032758462352</v>
      </c>
      <c r="Q74">
        <f t="shared" si="65"/>
        <v>3.9754000170688397</v>
      </c>
      <c r="R74">
        <f t="shared" si="66"/>
        <v>1.3165179930565298</v>
      </c>
      <c r="S74">
        <f t="shared" si="67"/>
        <v>0.99699802110053526</v>
      </c>
      <c r="T74">
        <f t="shared" si="68"/>
        <v>-7.750460737987741E-2</v>
      </c>
      <c r="U74">
        <f t="shared" si="69"/>
        <v>0.988539106701537</v>
      </c>
      <c r="V74">
        <f t="shared" si="70"/>
        <v>-0.15154439920819854</v>
      </c>
      <c r="X74">
        <f t="shared" ref="X74:X137" si="87">20*LOG(C74*J74*O74*Q74*F74*M74*S74*U74)</f>
        <v>3.3693242272758717</v>
      </c>
      <c r="Y74">
        <f t="shared" si="71"/>
        <v>-114.87471190561968</v>
      </c>
      <c r="Z74">
        <f t="shared" ref="Z74:Z137" si="88">Y74+180</f>
        <v>65.125288094380323</v>
      </c>
      <c r="AC74">
        <v>1</v>
      </c>
      <c r="AD74">
        <f t="shared" si="72"/>
        <v>8.5011497109</v>
      </c>
      <c r="AE74">
        <f t="shared" si="73"/>
        <v>-1.6024289668987841E-4</v>
      </c>
      <c r="AF74">
        <f t="shared" si="74"/>
        <v>1.0492919450999999E-3</v>
      </c>
      <c r="AG74">
        <f t="shared" ref="AG74:AG137" si="89">AC74*AE74/(AE74^2+AF74^2)+AD74*AF74/(AE74^2+AF74^2)</f>
        <v>7774.928642228293</v>
      </c>
      <c r="AH74">
        <f t="shared" ref="AH74:AH137" si="90">AD74*AE74/(AE74^2+AF74^2)-AC74*AF74/(AE74^2+AF74^2)</f>
        <v>-2140.3738946778321</v>
      </c>
      <c r="AJ74">
        <f t="shared" si="75"/>
        <v>20000</v>
      </c>
      <c r="AK74">
        <f t="shared" si="76"/>
        <v>1553.20340616</v>
      </c>
      <c r="AL74">
        <v>1</v>
      </c>
      <c r="AM74">
        <f t="shared" si="77"/>
        <v>3.8475713503079998</v>
      </c>
      <c r="AN74">
        <f t="shared" ref="AN74:AN137" si="91">AJ74*AL74/(AL74^2+AM74^2)+AK74*AM74/(AL74^2+AM74^2)</f>
        <v>1643.6586278237553</v>
      </c>
      <c r="AO74">
        <f t="shared" ref="AO74:AO137" si="92">AK74*AL74/(AL74^2+AM74^2)-AJ74*AM74/(AL74^2+AM74^2)</f>
        <v>-4770.8904399412404</v>
      </c>
      <c r="AQ74">
        <f t="shared" si="78"/>
        <v>6.2460961898813245</v>
      </c>
      <c r="AR74">
        <f t="shared" si="79"/>
        <v>-249.84384759525295</v>
      </c>
      <c r="AT74">
        <f t="shared" si="52"/>
        <v>-486196.296969925</v>
      </c>
      <c r="AU74">
        <f t="shared" si="53"/>
        <v>-1955887.0679813214</v>
      </c>
      <c r="AV74">
        <f t="shared" ref="AV74:AV137" si="93">ATAN2(AT74,AU74)</f>
        <v>-1.8144389833328363</v>
      </c>
      <c r="AW74">
        <f t="shared" ref="AW74:AW137" si="94">AG74-AH74*AO74/_Rfb2+AG74*AN74/_Rfb2+AN74-AO74*AR74+AQ74*AN74</f>
        <v>-1171618.5290197937</v>
      </c>
      <c r="AX74">
        <f t="shared" ref="AX74:AX137" si="95">AH74+AH74*AN74/_Rfb2+AG74*AO74/_Rfb2+AO74+AO74*AQ74+AN74*AR74</f>
        <v>-458029.18703916017</v>
      </c>
      <c r="AY74">
        <f t="shared" si="50"/>
        <v>-2.7689234262133251</v>
      </c>
      <c r="BA74">
        <f t="shared" si="80"/>
        <v>1.6021175887268151</v>
      </c>
      <c r="BB74">
        <f t="shared" ref="BB74:BB137" si="96">20*LOG(BA74)</f>
        <v>4.0938877663133191</v>
      </c>
      <c r="BC74">
        <f t="shared" ref="BC74:BC137" si="97">AV74-AY74</f>
        <v>0.95448444288048884</v>
      </c>
      <c r="BD74">
        <f t="shared" si="81"/>
        <v>-125.31206974956223</v>
      </c>
      <c r="BF74">
        <f t="shared" si="82"/>
        <v>3.391123932271181</v>
      </c>
      <c r="BG74">
        <f t="shared" si="83"/>
        <v>-115.78522746789542</v>
      </c>
      <c r="BH74">
        <f t="shared" ref="BH74:BH137" si="98">IF(BG74&gt;180,BG74-180,BG74+180)</f>
        <v>64.214772532104575</v>
      </c>
      <c r="BI74">
        <f t="shared" ref="BI74:BI137" si="99">IF(BH74&gt;180,BH74-360,BH74)</f>
        <v>64.214772532104575</v>
      </c>
      <c r="BJ74">
        <f t="shared" si="84"/>
        <v>0</v>
      </c>
      <c r="BK74">
        <f t="shared" ref="BK74:BK137" si="100">IF(BJ74&gt;0,BI74,0)</f>
        <v>0</v>
      </c>
      <c r="BM74">
        <f t="shared" ref="BM74:BM137" si="101">20*LOG(J74*F74*C74)</f>
        <v>-0.70276383404213616</v>
      </c>
      <c r="BN74">
        <f t="shared" si="85"/>
        <v>-170.4731577183332</v>
      </c>
      <c r="BQ74" s="66">
        <f t="shared" ref="BQ74:BQ137" si="102">20*LOG(BA74*7)</f>
        <v>20.995848566598454</v>
      </c>
      <c r="BR74" s="71"/>
      <c r="BS74" s="71"/>
      <c r="BT74" s="71">
        <v>436.51600000000002</v>
      </c>
      <c r="BU74" s="71">
        <v>22.074100000000001</v>
      </c>
      <c r="BV74" s="71">
        <v>-264.9151</v>
      </c>
      <c r="BW74" s="75"/>
      <c r="BY74" s="71"/>
      <c r="BZ74" s="71"/>
      <c r="CA74" s="71"/>
      <c r="CC74" s="71"/>
    </row>
    <row r="75" spans="1:81" x14ac:dyDescent="0.15">
      <c r="A75">
        <f t="shared" si="54"/>
        <v>20500</v>
      </c>
      <c r="B75">
        <f t="shared" si="86"/>
        <v>20.5</v>
      </c>
      <c r="C75">
        <f t="shared" si="55"/>
        <v>1.0036069721961449</v>
      </c>
      <c r="D75">
        <f t="shared" si="56"/>
        <v>8.480758915036625E-2</v>
      </c>
      <c r="F75">
        <f t="shared" si="57"/>
        <v>5.8158058967387197E-2</v>
      </c>
      <c r="G75">
        <f t="shared" si="58"/>
        <v>8.1254408699323211E-2</v>
      </c>
      <c r="H75">
        <f t="shared" si="59"/>
        <v>-3.060338241300677</v>
      </c>
      <c r="J75">
        <f t="shared" si="60"/>
        <v>15</v>
      </c>
      <c r="M75">
        <f t="shared" si="61"/>
        <v>4.6488956703302574E-2</v>
      </c>
      <c r="N75">
        <f t="shared" si="62"/>
        <v>-1.5707963250000001</v>
      </c>
      <c r="O75">
        <f t="shared" si="63"/>
        <v>8.7708718035322111</v>
      </c>
      <c r="P75">
        <f t="shared" si="64"/>
        <v>1.4565341055133545</v>
      </c>
      <c r="Q75">
        <f t="shared" si="65"/>
        <v>4.0685682910338734</v>
      </c>
      <c r="R75">
        <f t="shared" si="66"/>
        <v>1.3224651144801438</v>
      </c>
      <c r="S75">
        <f t="shared" si="67"/>
        <v>0.99684676400175409</v>
      </c>
      <c r="T75">
        <f t="shared" si="68"/>
        <v>-7.9434180837206367E-2</v>
      </c>
      <c r="U75">
        <f t="shared" si="69"/>
        <v>0.98796932841639296</v>
      </c>
      <c r="V75">
        <f t="shared" si="70"/>
        <v>-0.1552731278598343</v>
      </c>
      <c r="X75">
        <f t="shared" si="87"/>
        <v>3.1094174211322545</v>
      </c>
      <c r="Y75">
        <f t="shared" si="71"/>
        <v>-114.70815984169478</v>
      </c>
      <c r="Z75">
        <f t="shared" si="88"/>
        <v>65.29184015830522</v>
      </c>
      <c r="AC75">
        <v>1</v>
      </c>
      <c r="AD75">
        <f t="shared" si="72"/>
        <v>8.713678453672502</v>
      </c>
      <c r="AE75">
        <f t="shared" si="73"/>
        <v>-1.6835519333480351E-4</v>
      </c>
      <c r="AF75">
        <f t="shared" si="74"/>
        <v>1.0755242437275E-3</v>
      </c>
      <c r="AG75">
        <f t="shared" si="89"/>
        <v>7765.9685337366454</v>
      </c>
      <c r="AH75">
        <f t="shared" si="90"/>
        <v>-2145.4106194131109</v>
      </c>
      <c r="AJ75">
        <f t="shared" si="75"/>
        <v>20000</v>
      </c>
      <c r="AK75">
        <f t="shared" si="76"/>
        <v>1592.033491314</v>
      </c>
      <c r="AL75">
        <v>1</v>
      </c>
      <c r="AM75">
        <f t="shared" si="77"/>
        <v>3.9437606340656997</v>
      </c>
      <c r="AN75">
        <f t="shared" si="91"/>
        <v>1587.5192051919071</v>
      </c>
      <c r="AO75">
        <f t="shared" si="92"/>
        <v>-4668.7622559451111</v>
      </c>
      <c r="AQ75">
        <f t="shared" si="78"/>
        <v>5.9453032104637336</v>
      </c>
      <c r="AR75">
        <f t="shared" si="79"/>
        <v>-243.75743162901307</v>
      </c>
      <c r="AT75">
        <f t="shared" si="52"/>
        <v>-476788.74472176516</v>
      </c>
      <c r="AU75">
        <f t="shared" si="53"/>
        <v>-1905767.660538737</v>
      </c>
      <c r="AV75">
        <f t="shared" si="93"/>
        <v>-1.8159462667635544</v>
      </c>
      <c r="AW75">
        <f t="shared" si="94"/>
        <v>-1118646.7699608426</v>
      </c>
      <c r="AX75">
        <f t="shared" si="95"/>
        <v>-431952.61132361542</v>
      </c>
      <c r="AY75">
        <f t="shared" ref="AY75:AY138" si="103">ATAN2(AW75,AX75)</f>
        <v>-2.7730926398199021</v>
      </c>
      <c r="BA75">
        <f t="shared" si="80"/>
        <v>1.6382515248975482</v>
      </c>
      <c r="BB75">
        <f t="shared" si="96"/>
        <v>4.2876116174624412</v>
      </c>
      <c r="BC75">
        <f t="shared" si="97"/>
        <v>0.95714637305634764</v>
      </c>
      <c r="BD75">
        <f t="shared" si="81"/>
        <v>-125.15955238495272</v>
      </c>
      <c r="BF75">
        <f t="shared" si="82"/>
        <v>3.1329082628972409</v>
      </c>
      <c r="BG75">
        <f t="shared" si="83"/>
        <v>-115.64490075978289</v>
      </c>
      <c r="BH75">
        <f t="shared" si="98"/>
        <v>64.355099240217115</v>
      </c>
      <c r="BI75">
        <f t="shared" si="99"/>
        <v>64.355099240217115</v>
      </c>
      <c r="BJ75">
        <f t="shared" si="84"/>
        <v>0</v>
      </c>
      <c r="BK75">
        <f t="shared" si="100"/>
        <v>0</v>
      </c>
      <c r="BM75">
        <f t="shared" si="101"/>
        <v>-1.1547033545652006</v>
      </c>
      <c r="BN75">
        <f t="shared" si="85"/>
        <v>-170.48534837483015</v>
      </c>
      <c r="BQ75" s="66">
        <f t="shared" si="102"/>
        <v>21.189572417747581</v>
      </c>
      <c r="BR75" s="71"/>
      <c r="BS75" s="71"/>
      <c r="BT75" s="71">
        <v>446.68400000000003</v>
      </c>
      <c r="BU75" s="71">
        <v>21.761099999999999</v>
      </c>
      <c r="BV75" s="71">
        <v>-265.3082</v>
      </c>
      <c r="BW75" s="75"/>
      <c r="BY75" s="71"/>
      <c r="BZ75" s="71"/>
      <c r="CA75" s="71"/>
      <c r="CC75" s="71"/>
    </row>
    <row r="76" spans="1:81" x14ac:dyDescent="0.15">
      <c r="A76">
        <f t="shared" si="54"/>
        <v>21000</v>
      </c>
      <c r="B76">
        <f t="shared" si="86"/>
        <v>21</v>
      </c>
      <c r="C76">
        <f t="shared" si="55"/>
        <v>1.0037847320083617</v>
      </c>
      <c r="D76">
        <f t="shared" si="56"/>
        <v>8.6865799980152383E-2</v>
      </c>
      <c r="F76">
        <f t="shared" si="57"/>
        <v>5.5276915006929141E-2</v>
      </c>
      <c r="G76">
        <f t="shared" si="58"/>
        <v>7.9108170083230137E-2</v>
      </c>
      <c r="H76">
        <f t="shared" si="59"/>
        <v>-3.0624844799167699</v>
      </c>
      <c r="J76">
        <f t="shared" si="60"/>
        <v>15</v>
      </c>
      <c r="M76">
        <f t="shared" si="61"/>
        <v>4.5382076781795372E-2</v>
      </c>
      <c r="N76">
        <f t="shared" si="62"/>
        <v>-1.5707963250000001</v>
      </c>
      <c r="O76">
        <f t="shared" si="63"/>
        <v>8.9820473676031405</v>
      </c>
      <c r="P76">
        <f t="shared" si="64"/>
        <v>1.4592318455393791</v>
      </c>
      <c r="Q76">
        <f t="shared" si="65"/>
        <v>4.1618740176177003</v>
      </c>
      <c r="R76">
        <f t="shared" si="66"/>
        <v>1.3281457704298463</v>
      </c>
      <c r="S76">
        <f t="shared" si="67"/>
        <v>0.99669184355119844</v>
      </c>
      <c r="T76">
        <f t="shared" si="68"/>
        <v>-8.1363161722842275E-2</v>
      </c>
      <c r="U76">
        <f t="shared" si="69"/>
        <v>0.98738650235469017</v>
      </c>
      <c r="V76">
        <f t="shared" si="70"/>
        <v>-0.15899750891540021</v>
      </c>
      <c r="X76">
        <f t="shared" si="87"/>
        <v>2.8574473822879538</v>
      </c>
      <c r="Y76">
        <f t="shared" si="71"/>
        <v>-114.55707051294964</v>
      </c>
      <c r="Z76">
        <f t="shared" si="88"/>
        <v>65.442929487050364</v>
      </c>
      <c r="AC76">
        <v>1</v>
      </c>
      <c r="AD76">
        <f t="shared" si="72"/>
        <v>8.9262071964450023</v>
      </c>
      <c r="AE76">
        <f t="shared" si="73"/>
        <v>-1.7666779360059098E-4</v>
      </c>
      <c r="AF76">
        <f t="shared" si="74"/>
        <v>1.1017565423550001E-3</v>
      </c>
      <c r="AG76">
        <f t="shared" si="89"/>
        <v>7756.8085858156028</v>
      </c>
      <c r="AH76">
        <f t="shared" si="90"/>
        <v>-2151.4537623452538</v>
      </c>
      <c r="AJ76">
        <f t="shared" si="75"/>
        <v>20000</v>
      </c>
      <c r="AK76">
        <f t="shared" si="76"/>
        <v>1630.863576468</v>
      </c>
      <c r="AL76">
        <v>1</v>
      </c>
      <c r="AM76">
        <f t="shared" si="77"/>
        <v>4.0399499178233995</v>
      </c>
      <c r="AN76">
        <f t="shared" si="91"/>
        <v>1535.0330420096134</v>
      </c>
      <c r="AO76">
        <f t="shared" si="92"/>
        <v>-4570.59303545494</v>
      </c>
      <c r="AQ76">
        <f t="shared" si="78"/>
        <v>5.6657223796033991</v>
      </c>
      <c r="AR76">
        <f t="shared" si="79"/>
        <v>-237.96033994334277</v>
      </c>
      <c r="AT76">
        <f t="shared" si="52"/>
        <v>-468012.74466110516</v>
      </c>
      <c r="AU76">
        <f t="shared" si="53"/>
        <v>-1858002.3476861222</v>
      </c>
      <c r="AV76">
        <f t="shared" si="93"/>
        <v>-1.8175532907807441</v>
      </c>
      <c r="AW76">
        <f t="shared" si="94"/>
        <v>-1069086.6560740708</v>
      </c>
      <c r="AX76">
        <f t="shared" si="95"/>
        <v>-408068.1316249338</v>
      </c>
      <c r="AY76">
        <f t="shared" si="103"/>
        <v>-2.7769628211047244</v>
      </c>
      <c r="BA76">
        <f t="shared" si="80"/>
        <v>1.6743931595039503</v>
      </c>
      <c r="BB76">
        <f t="shared" si="96"/>
        <v>4.4771488217134587</v>
      </c>
      <c r="BC76">
        <f t="shared" si="97"/>
        <v>0.95940953032398024</v>
      </c>
      <c r="BD76">
        <f t="shared" si="81"/>
        <v>-125.02988302499485</v>
      </c>
      <c r="BF76">
        <f t="shared" si="82"/>
        <v>2.8826616578506883</v>
      </c>
      <c r="BG76">
        <f t="shared" si="83"/>
        <v>-115.52027502046603</v>
      </c>
      <c r="BH76">
        <f t="shared" si="98"/>
        <v>64.47972497953397</v>
      </c>
      <c r="BI76">
        <f t="shared" si="99"/>
        <v>64.47972497953397</v>
      </c>
      <c r="BJ76">
        <f t="shared" si="84"/>
        <v>0</v>
      </c>
      <c r="BK76">
        <f t="shared" si="100"/>
        <v>0</v>
      </c>
      <c r="BM76">
        <f t="shared" si="101"/>
        <v>-1.5944871638627705</v>
      </c>
      <c r="BN76">
        <f t="shared" si="85"/>
        <v>-170.49039199547119</v>
      </c>
      <c r="BQ76" s="66">
        <f t="shared" si="102"/>
        <v>21.379109621998595</v>
      </c>
      <c r="BR76" s="70"/>
      <c r="BS76" s="70"/>
      <c r="BT76" s="71">
        <v>457.08800000000002</v>
      </c>
      <c r="BU76" s="70">
        <v>21.6126</v>
      </c>
      <c r="BV76" s="70">
        <v>-265.65139999999997</v>
      </c>
      <c r="BW76" s="75"/>
      <c r="BY76" s="71"/>
      <c r="BZ76" s="70"/>
      <c r="CA76" s="70"/>
      <c r="CC76" s="71"/>
    </row>
    <row r="77" spans="1:81" x14ac:dyDescent="0.15">
      <c r="A77">
        <f t="shared" si="54"/>
        <v>21500</v>
      </c>
      <c r="B77">
        <f t="shared" si="86"/>
        <v>21.5</v>
      </c>
      <c r="C77">
        <f t="shared" si="55"/>
        <v>1.0039667425691043</v>
      </c>
      <c r="D77">
        <f t="shared" si="56"/>
        <v>8.8923273251320781E-2</v>
      </c>
      <c r="F77">
        <f t="shared" si="57"/>
        <v>5.260788295742274E-2</v>
      </c>
      <c r="G77">
        <f t="shared" si="58"/>
        <v>7.7076956865035157E-2</v>
      </c>
      <c r="H77">
        <f t="shared" si="59"/>
        <v>-3.0645156931349651</v>
      </c>
      <c r="J77">
        <f t="shared" si="60"/>
        <v>15</v>
      </c>
      <c r="M77">
        <f t="shared" si="61"/>
        <v>4.4326679647335013E-2</v>
      </c>
      <c r="N77">
        <f t="shared" si="62"/>
        <v>-1.5707963250000001</v>
      </c>
      <c r="O77">
        <f t="shared" si="63"/>
        <v>9.1932852977999975</v>
      </c>
      <c r="P77">
        <f t="shared" si="64"/>
        <v>1.4618056294027268</v>
      </c>
      <c r="Q77">
        <f t="shared" si="65"/>
        <v>4.2553081550994571</v>
      </c>
      <c r="R77">
        <f t="shared" si="66"/>
        <v>1.3335771340717177</v>
      </c>
      <c r="S77">
        <f t="shared" si="67"/>
        <v>0.99653326491445116</v>
      </c>
      <c r="T77">
        <f t="shared" si="68"/>
        <v>-8.3291535961078994E-2</v>
      </c>
      <c r="U77">
        <f t="shared" si="69"/>
        <v>0.9867907000558036</v>
      </c>
      <c r="V77">
        <f t="shared" si="70"/>
        <v>-0.16271744683566666</v>
      </c>
      <c r="X77">
        <f t="shared" si="87"/>
        <v>2.6129042760633689</v>
      </c>
      <c r="Y77">
        <f t="shared" si="71"/>
        <v>-114.42052920421433</v>
      </c>
      <c r="Z77">
        <f t="shared" si="88"/>
        <v>65.579470795785667</v>
      </c>
      <c r="AC77">
        <v>1</v>
      </c>
      <c r="AD77">
        <f t="shared" si="72"/>
        <v>9.1387359392175025</v>
      </c>
      <c r="AE77">
        <f t="shared" si="73"/>
        <v>-1.8518069748724077E-4</v>
      </c>
      <c r="AF77">
        <f t="shared" si="74"/>
        <v>1.1279888409825001E-3</v>
      </c>
      <c r="AG77">
        <f t="shared" si="89"/>
        <v>7747.4502848231541</v>
      </c>
      <c r="AH77">
        <f t="shared" si="90"/>
        <v>-2158.4240544176146</v>
      </c>
      <c r="AJ77">
        <f t="shared" si="75"/>
        <v>20000</v>
      </c>
      <c r="AK77">
        <f t="shared" si="76"/>
        <v>1669.6936616220003</v>
      </c>
      <c r="AL77">
        <v>1</v>
      </c>
      <c r="AM77">
        <f t="shared" si="77"/>
        <v>4.1361392015811003</v>
      </c>
      <c r="AN77">
        <f t="shared" si="91"/>
        <v>1485.896244451952</v>
      </c>
      <c r="AO77">
        <f t="shared" si="92"/>
        <v>-4476.1800445378531</v>
      </c>
      <c r="AQ77">
        <f t="shared" si="78"/>
        <v>5.4054054054054053</v>
      </c>
      <c r="AR77">
        <f t="shared" si="79"/>
        <v>-232.43243243243242</v>
      </c>
      <c r="AT77">
        <f t="shared" si="52"/>
        <v>-459809.64354126633</v>
      </c>
      <c r="AU77">
        <f t="shared" si="53"/>
        <v>-1812425.8719016931</v>
      </c>
      <c r="AV77">
        <f t="shared" si="93"/>
        <v>-1.8192528482122698</v>
      </c>
      <c r="AW77">
        <f t="shared" si="94"/>
        <v>-1022658.4643284458</v>
      </c>
      <c r="AX77">
        <f t="shared" si="95"/>
        <v>-386145.77169376082</v>
      </c>
      <c r="AY77">
        <f t="shared" si="103"/>
        <v>-2.7805530953687994</v>
      </c>
      <c r="BA77">
        <f t="shared" si="80"/>
        <v>1.710536202214711</v>
      </c>
      <c r="BB77">
        <f t="shared" si="96"/>
        <v>4.6626454027011226</v>
      </c>
      <c r="BC77">
        <f t="shared" si="97"/>
        <v>0.96130024715652951</v>
      </c>
      <c r="BD77">
        <f t="shared" si="81"/>
        <v>-124.92155293011164</v>
      </c>
      <c r="BF77">
        <f t="shared" si="82"/>
        <v>2.6398736217735346</v>
      </c>
      <c r="BG77">
        <f t="shared" si="83"/>
        <v>-115.41044033537594</v>
      </c>
      <c r="BH77">
        <f t="shared" si="98"/>
        <v>64.589559664624062</v>
      </c>
      <c r="BI77">
        <f t="shared" si="99"/>
        <v>64.589559664624062</v>
      </c>
      <c r="BJ77">
        <f t="shared" si="84"/>
        <v>0</v>
      </c>
      <c r="BK77">
        <f t="shared" si="100"/>
        <v>0</v>
      </c>
      <c r="BM77">
        <f t="shared" si="101"/>
        <v>-2.0227717809275885</v>
      </c>
      <c r="BN77">
        <f t="shared" si="85"/>
        <v>-170.48888740526431</v>
      </c>
      <c r="BQ77" s="66">
        <f t="shared" si="102"/>
        <v>21.564606202986258</v>
      </c>
      <c r="BR77" s="72"/>
      <c r="BS77" s="72"/>
      <c r="BT77" s="72">
        <v>467.73500000000001</v>
      </c>
      <c r="BU77" s="72">
        <v>21.3672</v>
      </c>
      <c r="BV77" s="72">
        <v>-265.05009999999999</v>
      </c>
      <c r="BW77" s="75"/>
      <c r="BY77" s="72"/>
      <c r="BZ77" s="72"/>
      <c r="CA77" s="72"/>
      <c r="CC77" s="72"/>
    </row>
    <row r="78" spans="1:81" x14ac:dyDescent="0.15">
      <c r="A78">
        <f t="shared" si="54"/>
        <v>22000</v>
      </c>
      <c r="B78">
        <f t="shared" si="86"/>
        <v>22</v>
      </c>
      <c r="C78">
        <f t="shared" si="55"/>
        <v>1.0041530015669287</v>
      </c>
      <c r="D78">
        <f t="shared" si="56"/>
        <v>9.0979991950386363E-2</v>
      </c>
      <c r="F78">
        <f t="shared" si="57"/>
        <v>5.0130361643376128E-2</v>
      </c>
      <c r="G78">
        <f t="shared" si="58"/>
        <v>7.5151485317503069E-2</v>
      </c>
      <c r="H78">
        <f t="shared" si="59"/>
        <v>-3.0664411646824972</v>
      </c>
      <c r="J78">
        <f t="shared" si="60"/>
        <v>15</v>
      </c>
      <c r="M78">
        <f t="shared" si="61"/>
        <v>4.3319255109895587E-2</v>
      </c>
      <c r="N78">
        <f t="shared" si="62"/>
        <v>-1.5707963250000001</v>
      </c>
      <c r="O78">
        <f t="shared" si="63"/>
        <v>9.4045813916746734</v>
      </c>
      <c r="P78">
        <f t="shared" si="64"/>
        <v>1.4642637767002851</v>
      </c>
      <c r="Q78">
        <f t="shared" si="65"/>
        <v>4.3488624268663898</v>
      </c>
      <c r="R78">
        <f t="shared" si="66"/>
        <v>1.3387749627567092</v>
      </c>
      <c r="S78">
        <f t="shared" si="67"/>
        <v>0.99637103337462629</v>
      </c>
      <c r="T78">
        <f t="shared" si="68"/>
        <v>-8.5219289503109238E-2</v>
      </c>
      <c r="U78">
        <f t="shared" si="69"/>
        <v>0.98618199441694354</v>
      </c>
      <c r="V78">
        <f t="shared" si="70"/>
        <v>-0.16643284680106701</v>
      </c>
      <c r="X78">
        <f t="shared" si="87"/>
        <v>2.375325369634016</v>
      </c>
      <c r="Y78">
        <f t="shared" si="71"/>
        <v>-114.2976830634846</v>
      </c>
      <c r="Z78">
        <f t="shared" si="88"/>
        <v>65.702316936515402</v>
      </c>
      <c r="AC78">
        <v>1</v>
      </c>
      <c r="AD78">
        <f t="shared" si="72"/>
        <v>9.3512646819900009</v>
      </c>
      <c r="AE78">
        <f t="shared" si="73"/>
        <v>-1.9389390499475288E-4</v>
      </c>
      <c r="AF78">
        <f t="shared" si="74"/>
        <v>1.1542211396100002E-3</v>
      </c>
      <c r="AG78">
        <f t="shared" si="89"/>
        <v>7737.895143780127</v>
      </c>
      <c r="AH78">
        <f t="shared" si="90"/>
        <v>-2166.2492741315586</v>
      </c>
      <c r="AJ78">
        <f t="shared" si="75"/>
        <v>20000</v>
      </c>
      <c r="AK78">
        <f t="shared" si="76"/>
        <v>1708.5237467760003</v>
      </c>
      <c r="AL78">
        <v>1</v>
      </c>
      <c r="AM78">
        <f t="shared" si="77"/>
        <v>4.2323284853388001</v>
      </c>
      <c r="AN78">
        <f t="shared" si="91"/>
        <v>1439.8352090583785</v>
      </c>
      <c r="AO78">
        <f t="shared" si="92"/>
        <v>-4385.3318227155214</v>
      </c>
      <c r="AQ78">
        <f t="shared" si="78"/>
        <v>5.1626226122870422</v>
      </c>
      <c r="AR78">
        <f t="shared" si="79"/>
        <v>-227.15539494062983</v>
      </c>
      <c r="AT78">
        <f t="shared" si="52"/>
        <v>-452127.37696442154</v>
      </c>
      <c r="AU78">
        <f t="shared" si="53"/>
        <v>-1768888.1548810382</v>
      </c>
      <c r="AV78">
        <f t="shared" si="93"/>
        <v>-1.8210383628489342</v>
      </c>
      <c r="AW78">
        <f t="shared" si="94"/>
        <v>-979109.81332507986</v>
      </c>
      <c r="AX78">
        <f t="shared" si="95"/>
        <v>-365983.95333548891</v>
      </c>
      <c r="AY78">
        <f t="shared" si="103"/>
        <v>-2.7838809900820252</v>
      </c>
      <c r="BA78">
        <f t="shared" si="80"/>
        <v>1.7466747815939276</v>
      </c>
      <c r="BB78">
        <f t="shared" si="96"/>
        <v>4.8442409994027775</v>
      </c>
      <c r="BC78">
        <f t="shared" si="97"/>
        <v>0.962842627233091</v>
      </c>
      <c r="BD78">
        <f t="shared" si="81"/>
        <v>-124.83318106121862</v>
      </c>
      <c r="BF78">
        <f t="shared" si="82"/>
        <v>2.4040807489391098</v>
      </c>
      <c r="BG78">
        <f t="shared" si="83"/>
        <v>-115.31454855861837</v>
      </c>
      <c r="BH78">
        <f t="shared" si="98"/>
        <v>64.68545144138163</v>
      </c>
      <c r="BI78">
        <f t="shared" si="99"/>
        <v>64.68545144138163</v>
      </c>
      <c r="BJ78">
        <f t="shared" si="84"/>
        <v>0</v>
      </c>
      <c r="BK78">
        <f t="shared" si="100"/>
        <v>0</v>
      </c>
      <c r="BM78">
        <f t="shared" si="101"/>
        <v>-2.4401602504636681</v>
      </c>
      <c r="BN78">
        <f t="shared" si="85"/>
        <v>-170.48136749739976</v>
      </c>
      <c r="BQ78" s="66">
        <f t="shared" si="102"/>
        <v>21.746201799687913</v>
      </c>
      <c r="BR78" s="72"/>
      <c r="BS78" s="72"/>
      <c r="BT78" s="72">
        <v>478.63</v>
      </c>
      <c r="BU78" s="72">
        <v>21.195799999999998</v>
      </c>
      <c r="BV78" s="72">
        <v>-264.35129999999998</v>
      </c>
      <c r="BW78" s="75"/>
      <c r="BY78" s="72"/>
      <c r="BZ78" s="72"/>
      <c r="CA78" s="72"/>
      <c r="CC78" s="72"/>
    </row>
    <row r="79" spans="1:81" x14ac:dyDescent="0.15">
      <c r="A79">
        <f t="shared" si="54"/>
        <v>22500</v>
      </c>
      <c r="B79">
        <f t="shared" si="86"/>
        <v>22.5</v>
      </c>
      <c r="C79">
        <f t="shared" si="55"/>
        <v>1.0043435066381727</v>
      </c>
      <c r="D79">
        <f t="shared" si="56"/>
        <v>9.3035939101875964E-2</v>
      </c>
      <c r="F79">
        <f t="shared" si="57"/>
        <v>4.7826221318504454E-2</v>
      </c>
      <c r="G79">
        <f t="shared" si="58"/>
        <v>7.3323465770539067E-2</v>
      </c>
      <c r="H79">
        <f t="shared" si="59"/>
        <v>-3.0682691842294609</v>
      </c>
      <c r="J79">
        <f t="shared" si="60"/>
        <v>15</v>
      </c>
      <c r="M79">
        <f t="shared" si="61"/>
        <v>4.2356604996342348E-2</v>
      </c>
      <c r="N79">
        <f t="shared" si="62"/>
        <v>-1.5707963250000001</v>
      </c>
      <c r="O79">
        <f t="shared" si="63"/>
        <v>9.6159318150416642</v>
      </c>
      <c r="P79">
        <f t="shared" si="64"/>
        <v>1.4666138814939238</v>
      </c>
      <c r="Q79">
        <f t="shared" si="65"/>
        <v>4.442529243278444</v>
      </c>
      <c r="R79">
        <f t="shared" si="66"/>
        <v>1.3437537379910471</v>
      </c>
      <c r="S79">
        <f t="shared" si="67"/>
        <v>0.99620515433188384</v>
      </c>
      <c r="T79">
        <f t="shared" si="68"/>
        <v>-8.7146408327621105E-2</v>
      </c>
      <c r="U79">
        <f t="shared" si="69"/>
        <v>0.98556045966928185</v>
      </c>
      <c r="V79">
        <f t="shared" si="70"/>
        <v>-0.17014361472435116</v>
      </c>
      <c r="X79">
        <f t="shared" si="87"/>
        <v>2.1442894707034568</v>
      </c>
      <c r="Y79">
        <f t="shared" si="71"/>
        <v>-114.18773699544576</v>
      </c>
      <c r="Z79">
        <f t="shared" si="88"/>
        <v>65.812263004554239</v>
      </c>
      <c r="AC79">
        <v>1</v>
      </c>
      <c r="AD79">
        <f t="shared" si="72"/>
        <v>9.5637934247625012</v>
      </c>
      <c r="AE79">
        <f t="shared" si="73"/>
        <v>-2.0280741612312738E-4</v>
      </c>
      <c r="AF79">
        <f t="shared" si="74"/>
        <v>1.1804534382375E-3</v>
      </c>
      <c r="AG79">
        <f t="shared" si="89"/>
        <v>7728.1447017813171</v>
      </c>
      <c r="AH79">
        <f t="shared" si="90"/>
        <v>-2174.8634679120446</v>
      </c>
      <c r="AJ79">
        <f t="shared" si="75"/>
        <v>20000</v>
      </c>
      <c r="AK79">
        <f t="shared" si="76"/>
        <v>1747.3538319299998</v>
      </c>
      <c r="AL79">
        <v>1</v>
      </c>
      <c r="AM79">
        <f t="shared" si="77"/>
        <v>4.3285177690965</v>
      </c>
      <c r="AN79">
        <f t="shared" si="91"/>
        <v>1396.6031529451172</v>
      </c>
      <c r="AO79">
        <f t="shared" si="92"/>
        <v>-4297.8677319691369</v>
      </c>
      <c r="AQ79">
        <f t="shared" si="78"/>
        <v>4.9358341559723593</v>
      </c>
      <c r="AR79">
        <f t="shared" si="79"/>
        <v>-222.11253701875617</v>
      </c>
      <c r="AT79">
        <f t="shared" si="52"/>
        <v>-444919.60194600536</v>
      </c>
      <c r="AU79">
        <f t="shared" si="53"/>
        <v>-1727252.5915502037</v>
      </c>
      <c r="AV79">
        <f t="shared" si="93"/>
        <v>-1.8229038214935014</v>
      </c>
      <c r="AW79">
        <f t="shared" si="94"/>
        <v>-938212.61393844499</v>
      </c>
      <c r="AX79">
        <f t="shared" si="95"/>
        <v>-347405.50384926971</v>
      </c>
      <c r="AY79">
        <f t="shared" si="103"/>
        <v>-2.7869625952364325</v>
      </c>
      <c r="BA79">
        <f t="shared" si="80"/>
        <v>1.7828034002975868</v>
      </c>
      <c r="BB79">
        <f t="shared" si="96"/>
        <v>5.0220690746847332</v>
      </c>
      <c r="BC79">
        <f t="shared" si="97"/>
        <v>0.96405877374293114</v>
      </c>
      <c r="BD79">
        <f t="shared" si="81"/>
        <v>-124.76350099885559</v>
      </c>
      <c r="BF79">
        <f t="shared" si="82"/>
        <v>2.1748611621733422</v>
      </c>
      <c r="BG79">
        <f t="shared" si="83"/>
        <v>-115.23180920646656</v>
      </c>
      <c r="BH79">
        <f t="shared" si="98"/>
        <v>64.768190793533435</v>
      </c>
      <c r="BI79">
        <f t="shared" si="99"/>
        <v>64.768190793533435</v>
      </c>
      <c r="BJ79">
        <f t="shared" si="84"/>
        <v>0</v>
      </c>
      <c r="BK79">
        <f t="shared" si="100"/>
        <v>0</v>
      </c>
      <c r="BM79">
        <f t="shared" si="101"/>
        <v>-2.8472079125113914</v>
      </c>
      <c r="BN79">
        <f t="shared" si="85"/>
        <v>-170.46830820761096</v>
      </c>
      <c r="BQ79" s="66">
        <f t="shared" si="102"/>
        <v>21.924029874969868</v>
      </c>
      <c r="BR79" s="71"/>
      <c r="BS79" s="71"/>
      <c r="BT79" s="71">
        <v>489.779</v>
      </c>
      <c r="BU79" s="71">
        <v>20.944800000000001</v>
      </c>
      <c r="BV79" s="71">
        <v>-263.91079999999999</v>
      </c>
      <c r="BW79" s="75"/>
      <c r="BY79" s="71"/>
      <c r="BZ79" s="71"/>
      <c r="CA79" s="71"/>
      <c r="CC79" s="71"/>
    </row>
    <row r="80" spans="1:81" x14ac:dyDescent="0.15">
      <c r="A80">
        <f t="shared" si="54"/>
        <v>23000</v>
      </c>
      <c r="B80">
        <f t="shared" si="86"/>
        <v>23</v>
      </c>
      <c r="C80">
        <f t="shared" si="55"/>
        <v>1.0045382553671036</v>
      </c>
      <c r="D80">
        <f t="shared" si="56"/>
        <v>9.5091097769139904E-2</v>
      </c>
      <c r="F80">
        <f t="shared" si="57"/>
        <v>4.5679452536336908E-2</v>
      </c>
      <c r="G80">
        <f t="shared" si="58"/>
        <v>7.1585471122678532E-2</v>
      </c>
      <c r="H80">
        <f t="shared" si="59"/>
        <v>-3.0700071788773218</v>
      </c>
      <c r="J80">
        <f t="shared" si="60"/>
        <v>15</v>
      </c>
      <c r="M80">
        <f t="shared" si="61"/>
        <v>4.1435809235552297E-2</v>
      </c>
      <c r="N80">
        <f t="shared" si="62"/>
        <v>-1.5707963250000001</v>
      </c>
      <c r="O80">
        <f t="shared" si="63"/>
        <v>9.8273330626084032</v>
      </c>
      <c r="P80">
        <f t="shared" si="64"/>
        <v>1.4688628894350624</v>
      </c>
      <c r="Q80">
        <f t="shared" si="65"/>
        <v>4.5363016327816768</v>
      </c>
      <c r="R80">
        <f t="shared" si="66"/>
        <v>1.3485267894901583</v>
      </c>
      <c r="S80">
        <f t="shared" si="67"/>
        <v>0.9960356333029361</v>
      </c>
      <c r="T80">
        <f t="shared" si="68"/>
        <v>-8.9072878441391709E-2</v>
      </c>
      <c r="U80">
        <f t="shared" si="69"/>
        <v>0.98492617135376492</v>
      </c>
      <c r="V80">
        <f t="shared" si="70"/>
        <v>-0.17384965726295459</v>
      </c>
      <c r="X80">
        <f t="shared" si="87"/>
        <v>1.9194121527179329</v>
      </c>
      <c r="Y80">
        <f t="shared" si="71"/>
        <v>-114.08994966922759</v>
      </c>
      <c r="Z80">
        <f t="shared" si="88"/>
        <v>65.910050330772407</v>
      </c>
      <c r="AC80">
        <v>1</v>
      </c>
      <c r="AD80">
        <f t="shared" si="72"/>
        <v>9.7763221675350014</v>
      </c>
      <c r="AE80">
        <f t="shared" si="73"/>
        <v>-2.1192123087236423E-4</v>
      </c>
      <c r="AF80">
        <f t="shared" si="74"/>
        <v>1.2066857368650001E-3</v>
      </c>
      <c r="AG80">
        <f t="shared" si="89"/>
        <v>7718.2005233998452</v>
      </c>
      <c r="AH80">
        <f t="shared" si="90"/>
        <v>-2184.2062722031569</v>
      </c>
      <c r="AJ80">
        <f t="shared" si="75"/>
        <v>20000</v>
      </c>
      <c r="AK80">
        <f t="shared" si="76"/>
        <v>1786.1839170839999</v>
      </c>
      <c r="AL80">
        <v>1</v>
      </c>
      <c r="AM80">
        <f t="shared" si="77"/>
        <v>4.4247070528541999</v>
      </c>
      <c r="AN80">
        <f t="shared" si="91"/>
        <v>1355.9770872538488</v>
      </c>
      <c r="AO80">
        <f t="shared" si="92"/>
        <v>-4213.6174643967997</v>
      </c>
      <c r="AQ80">
        <f t="shared" si="78"/>
        <v>4.7236655644780345</v>
      </c>
      <c r="AR80">
        <f t="shared" si="79"/>
        <v>-217.28861596598961</v>
      </c>
      <c r="AT80">
        <f t="shared" si="52"/>
        <v>-438144.95983913733</v>
      </c>
      <c r="AU80">
        <f t="shared" si="53"/>
        <v>-1687394.5694312518</v>
      </c>
      <c r="AV80">
        <f t="shared" si="93"/>
        <v>-1.8248437145758927</v>
      </c>
      <c r="AW80">
        <f t="shared" si="94"/>
        <v>-899760.39515530004</v>
      </c>
      <c r="AX80">
        <f t="shared" si="95"/>
        <v>-330254.28854777722</v>
      </c>
      <c r="AY80">
        <f t="shared" si="103"/>
        <v>-2.7898127051300126</v>
      </c>
      <c r="BA80">
        <f t="shared" si="80"/>
        <v>1.8189168959057205</v>
      </c>
      <c r="BB80">
        <f t="shared" si="96"/>
        <v>5.1962571426325264</v>
      </c>
      <c r="BC80">
        <f t="shared" si="97"/>
        <v>0.96496899055411989</v>
      </c>
      <c r="BD80">
        <f t="shared" si="81"/>
        <v>-124.71134941707302</v>
      </c>
      <c r="BF80">
        <f t="shared" si="82"/>
        <v>1.9518297383218237</v>
      </c>
      <c r="BG80">
        <f t="shared" si="83"/>
        <v>-115.16148546493801</v>
      </c>
      <c r="BH80">
        <f t="shared" si="98"/>
        <v>64.838514535061989</v>
      </c>
      <c r="BI80">
        <f t="shared" si="99"/>
        <v>64.838514535061989</v>
      </c>
      <c r="BJ80">
        <f t="shared" si="84"/>
        <v>0</v>
      </c>
      <c r="BK80">
        <f t="shared" si="100"/>
        <v>0</v>
      </c>
      <c r="BM80">
        <f t="shared" si="101"/>
        <v>-3.2444274043107022</v>
      </c>
      <c r="BN80">
        <f t="shared" si="85"/>
        <v>-170.45013604786496</v>
      </c>
      <c r="BQ80" s="66">
        <f t="shared" si="102"/>
        <v>22.098217942917664</v>
      </c>
      <c r="BR80" s="71"/>
      <c r="BS80" s="71"/>
      <c r="BT80" s="71">
        <v>501.18700000000001</v>
      </c>
      <c r="BU80" s="71">
        <v>20.7819</v>
      </c>
      <c r="BV80" s="71">
        <v>-264.7826</v>
      </c>
      <c r="BW80" s="75"/>
      <c r="BY80" s="71"/>
      <c r="BZ80" s="71"/>
      <c r="CA80" s="71"/>
      <c r="CC80" s="71"/>
    </row>
    <row r="81" spans="1:81" x14ac:dyDescent="0.15">
      <c r="A81">
        <f t="shared" si="54"/>
        <v>23500</v>
      </c>
      <c r="B81">
        <f t="shared" si="86"/>
        <v>23.5</v>
      </c>
      <c r="C81">
        <f t="shared" si="55"/>
        <v>1.004737245286071</v>
      </c>
      <c r="D81">
        <f t="shared" si="56"/>
        <v>9.7145451055158913E-2</v>
      </c>
      <c r="F81">
        <f t="shared" si="57"/>
        <v>4.3675872396938736E-2</v>
      </c>
      <c r="G81">
        <f t="shared" si="58"/>
        <v>6.993082588280447E-2</v>
      </c>
      <c r="H81">
        <f t="shared" si="59"/>
        <v>-3.0716618241171956</v>
      </c>
      <c r="J81">
        <f t="shared" si="60"/>
        <v>15</v>
      </c>
      <c r="M81">
        <f t="shared" si="61"/>
        <v>4.0554196273093736E-2</v>
      </c>
      <c r="N81">
        <f t="shared" si="62"/>
        <v>-1.5707963250000001</v>
      </c>
      <c r="O81">
        <f t="shared" si="63"/>
        <v>10.038781923537885</v>
      </c>
      <c r="P81">
        <f t="shared" si="64"/>
        <v>1.4710171652899109</v>
      </c>
      <c r="Q81">
        <f t="shared" si="65"/>
        <v>4.6301731810366338</v>
      </c>
      <c r="R81">
        <f t="shared" si="66"/>
        <v>1.3531064053364268</v>
      </c>
      <c r="S81">
        <f t="shared" si="67"/>
        <v>0.99586247592054356</v>
      </c>
      <c r="T81">
        <f t="shared" si="68"/>
        <v>-9.0998685879877542E-2</v>
      </c>
      <c r="U81">
        <f t="shared" si="69"/>
        <v>0.98427920629663113</v>
      </c>
      <c r="V81">
        <f t="shared" si="70"/>
        <v>-0.17755088183108017</v>
      </c>
      <c r="X81">
        <f t="shared" si="87"/>
        <v>1.7003416384394581</v>
      </c>
      <c r="Y81">
        <f t="shared" si="71"/>
        <v>-114.0036296960391</v>
      </c>
      <c r="Z81">
        <f t="shared" si="88"/>
        <v>65.996370303960902</v>
      </c>
      <c r="AC81">
        <v>1</v>
      </c>
      <c r="AD81">
        <f t="shared" si="72"/>
        <v>9.9888509103075016</v>
      </c>
      <c r="AE81">
        <f t="shared" si="73"/>
        <v>-2.2123534924246339E-4</v>
      </c>
      <c r="AF81">
        <f t="shared" si="74"/>
        <v>1.2329180354925002E-3</v>
      </c>
      <c r="AG81">
        <f t="shared" si="89"/>
        <v>7708.0641980851678</v>
      </c>
      <c r="AH81">
        <f t="shared" si="90"/>
        <v>-2194.2223221400486</v>
      </c>
      <c r="AJ81">
        <f t="shared" si="75"/>
        <v>20000</v>
      </c>
      <c r="AK81">
        <f t="shared" si="76"/>
        <v>1825.0140022380001</v>
      </c>
      <c r="AL81">
        <v>1</v>
      </c>
      <c r="AM81">
        <f t="shared" si="77"/>
        <v>4.5208963366118997</v>
      </c>
      <c r="AN81">
        <f t="shared" si="91"/>
        <v>1317.7551722005983</v>
      </c>
      <c r="AO81">
        <f t="shared" si="92"/>
        <v>-4132.4205283150677</v>
      </c>
      <c r="AQ81">
        <f t="shared" si="78"/>
        <v>4.5248868778280542</v>
      </c>
      <c r="AR81">
        <f t="shared" si="79"/>
        <v>-212.66968325791856</v>
      </c>
      <c r="AT81">
        <f t="shared" si="52"/>
        <v>-431766.44770360691</v>
      </c>
      <c r="AU81">
        <f t="shared" si="53"/>
        <v>-1649200.1793309636</v>
      </c>
      <c r="AV81">
        <f t="shared" si="93"/>
        <v>-1.826852984106901</v>
      </c>
      <c r="AW81">
        <f t="shared" si="94"/>
        <v>-863565.95571266185</v>
      </c>
      <c r="AX81">
        <f t="shared" si="95"/>
        <v>-314392.3611227505</v>
      </c>
      <c r="AY81">
        <f t="shared" si="103"/>
        <v>-2.7924449439959638</v>
      </c>
      <c r="BA81">
        <f t="shared" si="80"/>
        <v>1.8550104065847566</v>
      </c>
      <c r="BB81">
        <f t="shared" si="96"/>
        <v>5.3669270068882255</v>
      </c>
      <c r="BC81">
        <f t="shared" si="97"/>
        <v>0.96559195988906277</v>
      </c>
      <c r="BD81">
        <f t="shared" si="81"/>
        <v>-124.67565590337395</v>
      </c>
      <c r="BF81">
        <f t="shared" si="82"/>
        <v>1.7346339920792175</v>
      </c>
      <c r="BG81">
        <f t="shared" si="83"/>
        <v>-115.10289036713122</v>
      </c>
      <c r="BH81">
        <f t="shared" si="98"/>
        <v>64.897109632868776</v>
      </c>
      <c r="BI81">
        <f t="shared" si="99"/>
        <v>64.897109632868776</v>
      </c>
      <c r="BJ81">
        <f t="shared" si="84"/>
        <v>0</v>
      </c>
      <c r="BK81">
        <f t="shared" si="100"/>
        <v>0</v>
      </c>
      <c r="BM81">
        <f t="shared" si="101"/>
        <v>-3.6322930148090093</v>
      </c>
      <c r="BN81">
        <f t="shared" si="85"/>
        <v>-170.42723446375729</v>
      </c>
      <c r="BQ81" s="66">
        <f t="shared" si="102"/>
        <v>22.268887807173364</v>
      </c>
      <c r="BR81" s="71"/>
      <c r="BS81" s="71"/>
      <c r="BT81" s="71">
        <v>512.86099999999999</v>
      </c>
      <c r="BU81" s="71">
        <v>20.634799999999998</v>
      </c>
      <c r="BV81" s="71">
        <v>-265.04300000000001</v>
      </c>
      <c r="BW81" s="75"/>
      <c r="BY81" s="71"/>
      <c r="BZ81" s="71"/>
      <c r="CA81" s="71"/>
      <c r="CC81" s="71"/>
    </row>
    <row r="82" spans="1:81" x14ac:dyDescent="0.15">
      <c r="A82">
        <f t="shared" si="54"/>
        <v>24000</v>
      </c>
      <c r="B82">
        <f t="shared" si="86"/>
        <v>24</v>
      </c>
      <c r="C82">
        <f t="shared" si="55"/>
        <v>1.0049404738756593</v>
      </c>
      <c r="D82">
        <f t="shared" si="56"/>
        <v>9.9198982103345948E-2</v>
      </c>
      <c r="F82">
        <f t="shared" si="57"/>
        <v>4.1802877616933937E-2</v>
      </c>
      <c r="G82">
        <f t="shared" si="58"/>
        <v>6.8353512074404904E-2</v>
      </c>
      <c r="H82">
        <f t="shared" si="59"/>
        <v>-3.0732391379255954</v>
      </c>
      <c r="J82">
        <f t="shared" si="60"/>
        <v>15</v>
      </c>
      <c r="M82">
        <f t="shared" si="61"/>
        <v>3.9709317184070954E-2</v>
      </c>
      <c r="N82">
        <f t="shared" si="62"/>
        <v>-1.5707963250000001</v>
      </c>
      <c r="O82">
        <f t="shared" si="63"/>
        <v>10.250275451239085</v>
      </c>
      <c r="P82">
        <f t="shared" si="64"/>
        <v>1.4730825522262507</v>
      </c>
      <c r="Q82">
        <f t="shared" si="65"/>
        <v>4.7241379770095344</v>
      </c>
      <c r="R82">
        <f t="shared" si="66"/>
        <v>1.3575039299815919</v>
      </c>
      <c r="S82">
        <f t="shared" si="67"/>
        <v>0.99568568793299894</v>
      </c>
      <c r="T82">
        <f t="shared" si="68"/>
        <v>-9.292381670780181E-2</v>
      </c>
      <c r="U82">
        <f t="shared" si="69"/>
        <v>0.98361964258464307</v>
      </c>
      <c r="V82">
        <f t="shared" si="70"/>
        <v>-0.18124719661148983</v>
      </c>
      <c r="X82">
        <f t="shared" si="87"/>
        <v>1.4867552371703694</v>
      </c>
      <c r="Y82">
        <f t="shared" si="71"/>
        <v>-113.9281320091151</v>
      </c>
      <c r="Z82">
        <f t="shared" si="88"/>
        <v>66.071867990884897</v>
      </c>
      <c r="AC82">
        <v>1</v>
      </c>
      <c r="AD82">
        <f t="shared" si="72"/>
        <v>10.201379653080002</v>
      </c>
      <c r="AE82">
        <f t="shared" si="73"/>
        <v>-2.3074977123342495E-4</v>
      </c>
      <c r="AF82">
        <f t="shared" si="74"/>
        <v>1.2591503341200002E-3</v>
      </c>
      <c r="AG82">
        <f t="shared" si="89"/>
        <v>7697.7373395551531</v>
      </c>
      <c r="AH82">
        <f t="shared" si="90"/>
        <v>-2204.8607341693014</v>
      </c>
      <c r="AJ82">
        <f t="shared" si="75"/>
        <v>20000</v>
      </c>
      <c r="AK82">
        <f t="shared" si="76"/>
        <v>1863.8440873920001</v>
      </c>
      <c r="AL82">
        <v>1</v>
      </c>
      <c r="AM82">
        <f t="shared" si="77"/>
        <v>4.6170856203695996</v>
      </c>
      <c r="AN82">
        <f t="shared" si="91"/>
        <v>1281.7544012187122</v>
      </c>
      <c r="AO82">
        <f t="shared" si="92"/>
        <v>-4054.1257273203628</v>
      </c>
      <c r="AQ82">
        <f t="shared" si="78"/>
        <v>4.3383947939262475</v>
      </c>
      <c r="AR82">
        <f t="shared" si="79"/>
        <v>-208.24295010845987</v>
      </c>
      <c r="AT82">
        <f t="shared" si="52"/>
        <v>-425750.88026278227</v>
      </c>
      <c r="AU82">
        <f t="shared" si="53"/>
        <v>-1612565.0890794648</v>
      </c>
      <c r="AV82">
        <f t="shared" si="93"/>
        <v>-1.8289269779388153</v>
      </c>
      <c r="AW82">
        <f t="shared" si="94"/>
        <v>-829459.29885788751</v>
      </c>
      <c r="AX82">
        <f t="shared" si="95"/>
        <v>-299697.54453199793</v>
      </c>
      <c r="AY82">
        <f t="shared" si="103"/>
        <v>-2.7948718775469978</v>
      </c>
      <c r="BA82">
        <f t="shared" si="80"/>
        <v>1.8910793409034592</v>
      </c>
      <c r="BB82">
        <f t="shared" si="96"/>
        <v>5.5341950041214911</v>
      </c>
      <c r="BC82">
        <f t="shared" si="97"/>
        <v>0.96594489960818253</v>
      </c>
      <c r="BD82">
        <f t="shared" si="81"/>
        <v>-124.65543394702274</v>
      </c>
      <c r="BF82">
        <f t="shared" si="82"/>
        <v>1.5229505134740431</v>
      </c>
      <c r="BG82">
        <f t="shared" si="83"/>
        <v>-115.05538317277767</v>
      </c>
      <c r="BH82">
        <f t="shared" si="98"/>
        <v>64.944616827222333</v>
      </c>
      <c r="BI82">
        <f t="shared" si="99"/>
        <v>64.944616827222333</v>
      </c>
      <c r="BJ82">
        <f t="shared" si="84"/>
        <v>0</v>
      </c>
      <c r="BK82">
        <f t="shared" si="100"/>
        <v>0</v>
      </c>
      <c r="BM82">
        <f t="shared" si="101"/>
        <v>-4.0112444906474485</v>
      </c>
      <c r="BN82">
        <f t="shared" si="85"/>
        <v>-170.39994922575491</v>
      </c>
      <c r="BQ82" s="66">
        <f t="shared" si="102"/>
        <v>22.436155804406628</v>
      </c>
      <c r="BR82" s="71"/>
      <c r="BS82" s="71"/>
      <c r="BT82" s="71">
        <v>524.80700000000002</v>
      </c>
      <c r="BU82" s="71">
        <v>20.243600000000001</v>
      </c>
      <c r="BV82" s="71">
        <v>-263.95569999999998</v>
      </c>
      <c r="BW82" s="75"/>
      <c r="BY82" s="71"/>
      <c r="BZ82" s="71"/>
      <c r="CA82" s="71"/>
      <c r="CC82" s="71"/>
    </row>
    <row r="83" spans="1:81" x14ac:dyDescent="0.15">
      <c r="A83">
        <f t="shared" si="54"/>
        <v>24500</v>
      </c>
      <c r="B83">
        <f t="shared" si="86"/>
        <v>24.5</v>
      </c>
      <c r="C83">
        <f t="shared" si="55"/>
        <v>1.0051479385648472</v>
      </c>
      <c r="D83">
        <f t="shared" si="56"/>
        <v>0.10125167409834324</v>
      </c>
      <c r="F83">
        <f t="shared" si="57"/>
        <v>4.004923601879927E-2</v>
      </c>
      <c r="G83">
        <f t="shared" si="58"/>
        <v>6.6848089067758382E-2</v>
      </c>
      <c r="H83">
        <f t="shared" si="59"/>
        <v>-3.0747445609322419</v>
      </c>
      <c r="J83">
        <f t="shared" si="60"/>
        <v>15</v>
      </c>
      <c r="M83">
        <f t="shared" si="61"/>
        <v>3.8898922955824602E-2</v>
      </c>
      <c r="N83">
        <f t="shared" si="62"/>
        <v>-1.5707963250000001</v>
      </c>
      <c r="O83">
        <f t="shared" si="63"/>
        <v>10.461810936793267</v>
      </c>
      <c r="P83">
        <f t="shared" si="64"/>
        <v>1.4750644240072326</v>
      </c>
      <c r="Q83">
        <f t="shared" si="65"/>
        <v>4.8181905651267272</v>
      </c>
      <c r="R83">
        <f t="shared" si="66"/>
        <v>1.361729851596347</v>
      </c>
      <c r="S83">
        <f t="shared" si="67"/>
        <v>0.99550527520360499</v>
      </c>
      <c r="T83">
        <f t="shared" si="68"/>
        <v>-9.4848257019738563E-2</v>
      </c>
      <c r="U83">
        <f t="shared" si="69"/>
        <v>0.98294755954005608</v>
      </c>
      <c r="V83">
        <f t="shared" si="70"/>
        <v>-0.18493851056700281</v>
      </c>
      <c r="X83">
        <f t="shared" si="87"/>
        <v>1.2783562496511895</v>
      </c>
      <c r="Y83">
        <f t="shared" si="71"/>
        <v>-113.86285446239215</v>
      </c>
      <c r="Z83">
        <f t="shared" si="88"/>
        <v>66.13714553760785</v>
      </c>
      <c r="AC83">
        <v>1</v>
      </c>
      <c r="AD83">
        <f t="shared" si="72"/>
        <v>10.413908395852502</v>
      </c>
      <c r="AE83">
        <f t="shared" si="73"/>
        <v>-2.4046449684524875E-4</v>
      </c>
      <c r="AF83">
        <f t="shared" si="74"/>
        <v>1.2853826327475001E-3</v>
      </c>
      <c r="AG83">
        <f t="shared" si="89"/>
        <v>7687.2215851826177</v>
      </c>
      <c r="AH83">
        <f t="shared" si="90"/>
        <v>-2216.0746520514349</v>
      </c>
      <c r="AJ83">
        <f t="shared" si="75"/>
        <v>20000</v>
      </c>
      <c r="AK83">
        <f t="shared" si="76"/>
        <v>1902.6741725460001</v>
      </c>
      <c r="AL83">
        <v>1</v>
      </c>
      <c r="AM83">
        <f t="shared" si="77"/>
        <v>4.7132749041273003</v>
      </c>
      <c r="AN83">
        <f t="shared" si="91"/>
        <v>1247.8085694118079</v>
      </c>
      <c r="AO83">
        <f t="shared" si="92"/>
        <v>-3978.5906428176622</v>
      </c>
      <c r="AQ83">
        <f t="shared" si="78"/>
        <v>4.1631973355537051</v>
      </c>
      <c r="AR83">
        <f t="shared" si="79"/>
        <v>-203.99666944213155</v>
      </c>
      <c r="AT83">
        <f t="shared" si="52"/>
        <v>-420068.42783238005</v>
      </c>
      <c r="AU83">
        <f t="shared" si="53"/>
        <v>-1577393.5567277255</v>
      </c>
      <c r="AV83">
        <f t="shared" si="93"/>
        <v>-1.8310614094630253</v>
      </c>
      <c r="AW83">
        <f t="shared" si="94"/>
        <v>-797285.8133800698</v>
      </c>
      <c r="AX83">
        <f t="shared" si="95"/>
        <v>-286061.37103212299</v>
      </c>
      <c r="AY83">
        <f t="shared" si="103"/>
        <v>-2.7971051122124915</v>
      </c>
      <c r="BA83">
        <f t="shared" si="80"/>
        <v>1.9271193512319769</v>
      </c>
      <c r="BB83">
        <f t="shared" si="96"/>
        <v>5.6981722482344583</v>
      </c>
      <c r="BC83">
        <f t="shared" si="97"/>
        <v>0.96604370274946616</v>
      </c>
      <c r="BD83">
        <f t="shared" si="81"/>
        <v>-124.6497729440181</v>
      </c>
      <c r="BF83">
        <f t="shared" si="82"/>
        <v>1.3164818730303787</v>
      </c>
      <c r="BG83">
        <f t="shared" si="83"/>
        <v>-115.01836596644628</v>
      </c>
      <c r="BH83">
        <f t="shared" si="98"/>
        <v>64.981634033553718</v>
      </c>
      <c r="BI83">
        <f t="shared" si="99"/>
        <v>64.981634033553718</v>
      </c>
      <c r="BJ83">
        <f t="shared" si="84"/>
        <v>0</v>
      </c>
      <c r="BK83">
        <f t="shared" si="100"/>
        <v>0</v>
      </c>
      <c r="BM83">
        <f t="shared" si="101"/>
        <v>-4.3816903752040819</v>
      </c>
      <c r="BN83">
        <f t="shared" si="85"/>
        <v>-170.3685930224282</v>
      </c>
      <c r="BQ83" s="66">
        <f t="shared" si="102"/>
        <v>22.600133048519595</v>
      </c>
      <c r="BR83" s="71"/>
      <c r="BS83" s="71"/>
      <c r="BT83" s="71">
        <v>537.03200000000004</v>
      </c>
      <c r="BU83" s="71">
        <v>20.2926</v>
      </c>
      <c r="BV83" s="71">
        <v>-264.56819999999999</v>
      </c>
      <c r="BW83" s="75"/>
      <c r="BY83" s="71"/>
      <c r="BZ83" s="71"/>
      <c r="CA83" s="71"/>
      <c r="CC83" s="71"/>
    </row>
    <row r="84" spans="1:81" x14ac:dyDescent="0.15">
      <c r="A84">
        <f t="shared" si="54"/>
        <v>25000</v>
      </c>
      <c r="B84">
        <f t="shared" si="86"/>
        <v>25</v>
      </c>
      <c r="C84">
        <f t="shared" si="55"/>
        <v>1.0053596367311668</v>
      </c>
      <c r="D84">
        <f t="shared" si="56"/>
        <v>0.10330351026681402</v>
      </c>
      <c r="F84">
        <f t="shared" si="57"/>
        <v>3.8404909706069745E-2</v>
      </c>
      <c r="G84">
        <f t="shared" si="58"/>
        <v>6.5409624977299241E-2</v>
      </c>
      <c r="H84">
        <f t="shared" si="59"/>
        <v>-3.0761830250227011</v>
      </c>
      <c r="J84">
        <f t="shared" si="60"/>
        <v>15</v>
      </c>
      <c r="M84">
        <f t="shared" si="61"/>
        <v>3.8120944496708109E-2</v>
      </c>
      <c r="N84">
        <f t="shared" si="62"/>
        <v>-1.5707963250000001</v>
      </c>
      <c r="O84">
        <f t="shared" si="63"/>
        <v>10.673385885516774</v>
      </c>
      <c r="P84">
        <f t="shared" si="64"/>
        <v>1.4769677310597955</v>
      </c>
      <c r="Q84">
        <f t="shared" si="65"/>
        <v>4.9123259027214727</v>
      </c>
      <c r="R84">
        <f t="shared" si="66"/>
        <v>1.3657938800663501</v>
      </c>
      <c r="S84">
        <f t="shared" si="67"/>
        <v>0.99532124371013841</v>
      </c>
      <c r="T84">
        <f t="shared" si="68"/>
        <v>-9.6771992940693538E-2</v>
      </c>
      <c r="U84">
        <f t="shared" si="69"/>
        <v>0.98226303769533108</v>
      </c>
      <c r="V84">
        <f t="shared" si="70"/>
        <v>-0.18862473345169864</v>
      </c>
      <c r="X84">
        <f t="shared" si="87"/>
        <v>1.0748712696799811</v>
      </c>
      <c r="Y84">
        <f t="shared" si="71"/>
        <v>-113.80723465341188</v>
      </c>
      <c r="Z84">
        <f t="shared" si="88"/>
        <v>66.192765346588118</v>
      </c>
      <c r="AC84">
        <v>1</v>
      </c>
      <c r="AD84">
        <f t="shared" si="72"/>
        <v>10.626437138625002</v>
      </c>
      <c r="AE84">
        <f t="shared" si="73"/>
        <v>-2.5037952607793502E-4</v>
      </c>
      <c r="AF84">
        <f t="shared" si="74"/>
        <v>1.3116149313750001E-3</v>
      </c>
      <c r="AG84">
        <f t="shared" si="89"/>
        <v>7676.5185953767423</v>
      </c>
      <c r="AH84">
        <f t="shared" si="90"/>
        <v>-2227.8208473699137</v>
      </c>
      <c r="AJ84">
        <f t="shared" si="75"/>
        <v>20000</v>
      </c>
      <c r="AK84">
        <f t="shared" si="76"/>
        <v>1941.5042577000002</v>
      </c>
      <c r="AL84">
        <v>1</v>
      </c>
      <c r="AM84">
        <f t="shared" si="77"/>
        <v>4.8094641878850002</v>
      </c>
      <c r="AN84">
        <f t="shared" si="91"/>
        <v>1215.7664880660291</v>
      </c>
      <c r="AO84">
        <f t="shared" si="92"/>
        <v>-3905.6811274842835</v>
      </c>
      <c r="AQ84">
        <f t="shared" si="78"/>
        <v>3.9984006397441023</v>
      </c>
      <c r="AR84">
        <f t="shared" si="79"/>
        <v>-199.92003198720511</v>
      </c>
      <c r="AT84">
        <f t="shared" si="52"/>
        <v>-414692.2182051937</v>
      </c>
      <c r="AU84">
        <f t="shared" si="53"/>
        <v>-1543597.5634394523</v>
      </c>
      <c r="AV84">
        <f t="shared" si="93"/>
        <v>-1.8332523220085457</v>
      </c>
      <c r="AW84">
        <f t="shared" si="94"/>
        <v>-766904.66909512563</v>
      </c>
      <c r="AX84">
        <f t="shared" si="95"/>
        <v>-273387.32280598435</v>
      </c>
      <c r="AY84">
        <f t="shared" si="103"/>
        <v>-2.7991553835989436</v>
      </c>
      <c r="BA84">
        <f t="shared" si="80"/>
        <v>1.9631263102412979</v>
      </c>
      <c r="BB84">
        <f t="shared" si="96"/>
        <v>5.8589648720410379</v>
      </c>
      <c r="BC84">
        <f t="shared" si="97"/>
        <v>0.96590306159039785</v>
      </c>
      <c r="BD84">
        <f t="shared" si="81"/>
        <v>-124.65783108886774</v>
      </c>
      <c r="BF84">
        <f t="shared" si="82"/>
        <v>1.1149539236546402</v>
      </c>
      <c r="BG84">
        <f t="shared" si="83"/>
        <v>-114.99128047991454</v>
      </c>
      <c r="BH84">
        <f t="shared" si="98"/>
        <v>65.008719520085464</v>
      </c>
      <c r="BI84">
        <f t="shared" si="99"/>
        <v>65.008719520085464</v>
      </c>
      <c r="BJ84">
        <f t="shared" si="84"/>
        <v>0</v>
      </c>
      <c r="BK84">
        <f t="shared" si="100"/>
        <v>0</v>
      </c>
      <c r="BM84">
        <f t="shared" si="101"/>
        <v>-4.7440109483863955</v>
      </c>
      <c r="BN84">
        <f t="shared" si="85"/>
        <v>-170.3334493910468</v>
      </c>
      <c r="BQ84" s="66">
        <f t="shared" si="102"/>
        <v>22.760925672326174</v>
      </c>
      <c r="BR84" s="71"/>
      <c r="BS84" s="71"/>
      <c r="BT84" s="71">
        <v>549.54100000000005</v>
      </c>
      <c r="BU84" s="71">
        <v>19.992000000000001</v>
      </c>
      <c r="BV84" s="71">
        <v>-264.47620000000001</v>
      </c>
      <c r="BW84" s="75"/>
      <c r="BY84" s="71"/>
      <c r="BZ84" s="71"/>
      <c r="CA84" s="71"/>
      <c r="CC84" s="71"/>
    </row>
    <row r="85" spans="1:81" x14ac:dyDescent="0.15">
      <c r="A85">
        <f t="shared" si="54"/>
        <v>25500</v>
      </c>
      <c r="B85">
        <f t="shared" si="86"/>
        <v>25.5</v>
      </c>
      <c r="C85">
        <f t="shared" si="55"/>
        <v>1.0055755657008676</v>
      </c>
      <c r="D85">
        <f t="shared" si="56"/>
        <v>0.10535447387822915</v>
      </c>
      <c r="F85">
        <f t="shared" si="57"/>
        <v>3.6860904498679126E-2</v>
      </c>
      <c r="G85">
        <f t="shared" si="58"/>
        <v>6.4033637710573243E-2</v>
      </c>
      <c r="H85">
        <f t="shared" si="59"/>
        <v>-3.0775590122894272</v>
      </c>
      <c r="J85">
        <f t="shared" si="60"/>
        <v>15</v>
      </c>
      <c r="M85">
        <f t="shared" si="61"/>
        <v>3.7373474996772654E-2</v>
      </c>
      <c r="N85">
        <f t="shared" si="62"/>
        <v>-1.5707963250000001</v>
      </c>
      <c r="O85">
        <f t="shared" si="63"/>
        <v>10.884997996237717</v>
      </c>
      <c r="P85">
        <f t="shared" si="64"/>
        <v>1.4787970412377889</v>
      </c>
      <c r="Q85">
        <f t="shared" si="65"/>
        <v>5.0065393221106422</v>
      </c>
      <c r="R85">
        <f t="shared" si="66"/>
        <v>1.3697050167600606</v>
      </c>
      <c r="S85">
        <f t="shared" si="67"/>
        <v>0.99513359954430824</v>
      </c>
      <c r="T85">
        <f t="shared" si="68"/>
        <v>-9.869501062668172E-2</v>
      </c>
      <c r="U85">
        <f t="shared" si="69"/>
        <v>0.98156615876761166</v>
      </c>
      <c r="V85">
        <f t="shared" si="70"/>
        <v>-0.19230577582182187</v>
      </c>
      <c r="X85">
        <f t="shared" si="87"/>
        <v>0.87604782362487255</v>
      </c>
      <c r="Y85">
        <f t="shared" si="71"/>
        <v>-113.7607469686222</v>
      </c>
      <c r="Z85">
        <f t="shared" si="88"/>
        <v>66.2392530313778</v>
      </c>
      <c r="AC85">
        <v>1</v>
      </c>
      <c r="AD85">
        <f t="shared" si="72"/>
        <v>10.838965881397501</v>
      </c>
      <c r="AE85">
        <f t="shared" si="73"/>
        <v>-2.6049485893148361E-4</v>
      </c>
      <c r="AF85">
        <f t="shared" si="74"/>
        <v>1.3378472300025002E-3</v>
      </c>
      <c r="AG85">
        <f t="shared" si="89"/>
        <v>7665.6300529598202</v>
      </c>
      <c r="AH85">
        <f t="shared" si="90"/>
        <v>-2240.0593670632397</v>
      </c>
      <c r="AJ85">
        <f t="shared" si="75"/>
        <v>20000</v>
      </c>
      <c r="AK85">
        <f t="shared" si="76"/>
        <v>1980.3343428540002</v>
      </c>
      <c r="AL85">
        <v>1</v>
      </c>
      <c r="AM85">
        <f t="shared" si="77"/>
        <v>4.9056534716427</v>
      </c>
      <c r="AN85">
        <f t="shared" si="91"/>
        <v>1185.4904125023968</v>
      </c>
      <c r="AO85">
        <f t="shared" si="92"/>
        <v>-3835.2708148375191</v>
      </c>
      <c r="AQ85">
        <f t="shared" si="78"/>
        <v>3.8431975403535743</v>
      </c>
      <c r="AR85">
        <f t="shared" si="79"/>
        <v>-196.0030745580323</v>
      </c>
      <c r="AT85">
        <f t="shared" si="52"/>
        <v>-409597.99257211923</v>
      </c>
      <c r="AU85">
        <f t="shared" si="53"/>
        <v>-1511096.0494543202</v>
      </c>
      <c r="AV85">
        <f t="shared" si="93"/>
        <v>-1.8354960573166215</v>
      </c>
      <c r="AW85">
        <f t="shared" si="94"/>
        <v>-738187.39930530149</v>
      </c>
      <c r="AX85">
        <f t="shared" si="95"/>
        <v>-261589.3249857827</v>
      </c>
      <c r="AY85">
        <f t="shared" si="103"/>
        <v>-2.8010326354941695</v>
      </c>
      <c r="BA85">
        <f t="shared" si="80"/>
        <v>1.9990962900933149</v>
      </c>
      <c r="BB85">
        <f t="shared" si="96"/>
        <v>6.016674264043643</v>
      </c>
      <c r="BC85">
        <f t="shared" si="97"/>
        <v>0.96553657817754801</v>
      </c>
      <c r="BD85">
        <f t="shared" si="81"/>
        <v>-124.67882904170958</v>
      </c>
      <c r="BF85">
        <f t="shared" si="82"/>
        <v>0.91811344041907494</v>
      </c>
      <c r="BG85">
        <f t="shared" si="83"/>
        <v>-114.97360513689036</v>
      </c>
      <c r="BH85">
        <f t="shared" si="98"/>
        <v>65.026394863109644</v>
      </c>
      <c r="BI85">
        <f t="shared" si="99"/>
        <v>65.026394863109644</v>
      </c>
      <c r="BJ85">
        <f t="shared" si="84"/>
        <v>0</v>
      </c>
      <c r="BK85">
        <f t="shared" si="100"/>
        <v>0</v>
      </c>
      <c r="BM85">
        <f t="shared" si="101"/>
        <v>-5.0985608236245694</v>
      </c>
      <c r="BN85">
        <f t="shared" si="85"/>
        <v>-170.29477609518077</v>
      </c>
      <c r="BQ85" s="66">
        <f t="shared" si="102"/>
        <v>22.918635064328782</v>
      </c>
      <c r="BR85" s="71"/>
      <c r="BS85" s="71"/>
      <c r="BT85" s="71">
        <v>562.34100000000001</v>
      </c>
      <c r="BU85" s="71">
        <v>19.682300000000001</v>
      </c>
      <c r="BV85" s="71">
        <v>-264.60399999999998</v>
      </c>
      <c r="BW85" s="75"/>
      <c r="BY85" s="71"/>
      <c r="BZ85" s="71"/>
      <c r="CA85" s="71"/>
      <c r="CC85" s="71"/>
    </row>
    <row r="86" spans="1:81" x14ac:dyDescent="0.15">
      <c r="A86">
        <f t="shared" si="54"/>
        <v>26000</v>
      </c>
      <c r="B86">
        <f t="shared" si="86"/>
        <v>26</v>
      </c>
      <c r="C86">
        <f t="shared" si="55"/>
        <v>1.0057957227490832</v>
      </c>
      <c r="D86">
        <f t="shared" si="56"/>
        <v>0.10740454824564846</v>
      </c>
      <c r="F86">
        <f t="shared" si="57"/>
        <v>3.5409141232520924E-2</v>
      </c>
      <c r="G86">
        <f t="shared" si="58"/>
        <v>6.2716044110266544E-2</v>
      </c>
      <c r="H86">
        <f t="shared" si="59"/>
        <v>-3.0788766058897337</v>
      </c>
      <c r="J86">
        <f t="shared" si="60"/>
        <v>15</v>
      </c>
      <c r="M86">
        <f t="shared" si="61"/>
        <v>3.6654754323757803E-2</v>
      </c>
      <c r="N86">
        <f t="shared" si="62"/>
        <v>-1.5707963250000001</v>
      </c>
      <c r="O86">
        <f t="shared" si="63"/>
        <v>11.096645142927589</v>
      </c>
      <c r="P86">
        <f t="shared" si="64"/>
        <v>1.4805565759771318</v>
      </c>
      <c r="Q86">
        <f t="shared" si="65"/>
        <v>5.1008264967308454</v>
      </c>
      <c r="R86">
        <f t="shared" si="66"/>
        <v>1.3734716170450272</v>
      </c>
      <c r="S86">
        <f t="shared" si="67"/>
        <v>0.99494234891120081</v>
      </c>
      <c r="T86">
        <f t="shared" si="68"/>
        <v>-0.10061729626530157</v>
      </c>
      <c r="U86">
        <f t="shared" si="69"/>
        <v>0.98085700563297817</v>
      </c>
      <c r="V86">
        <f t="shared" si="70"/>
        <v>-0.19598154904638682</v>
      </c>
      <c r="X86">
        <f t="shared" si="87"/>
        <v>0.68165229883330114</v>
      </c>
      <c r="Y86">
        <f t="shared" si="71"/>
        <v>-113.72289984446284</v>
      </c>
      <c r="Z86">
        <f t="shared" si="88"/>
        <v>66.277100155537156</v>
      </c>
      <c r="AC86">
        <v>1</v>
      </c>
      <c r="AD86">
        <f t="shared" si="72"/>
        <v>11.051494624170001</v>
      </c>
      <c r="AE86">
        <f t="shared" si="73"/>
        <v>-2.7081049540589455E-4</v>
      </c>
      <c r="AF86">
        <f t="shared" si="74"/>
        <v>1.3640795286300003E-3</v>
      </c>
      <c r="AG86">
        <f t="shared" si="89"/>
        <v>7654.5576625396734</v>
      </c>
      <c r="AH86">
        <f t="shared" si="90"/>
        <v>-2252.7532216480267</v>
      </c>
      <c r="AJ86">
        <f t="shared" si="75"/>
        <v>20000</v>
      </c>
      <c r="AK86">
        <f t="shared" si="76"/>
        <v>2019.1644280080002</v>
      </c>
      <c r="AL86">
        <v>1</v>
      </c>
      <c r="AM86">
        <f t="shared" si="77"/>
        <v>5.0018427554003999</v>
      </c>
      <c r="AN86">
        <f t="shared" si="91"/>
        <v>1156.8546552374453</v>
      </c>
      <c r="AO86">
        <f t="shared" si="92"/>
        <v>-3767.240648342643</v>
      </c>
      <c r="AQ86">
        <f t="shared" si="78"/>
        <v>3.6968576709796674</v>
      </c>
      <c r="AR86">
        <f t="shared" si="79"/>
        <v>-192.2365988909427</v>
      </c>
      <c r="AT86">
        <f t="shared" ref="AT86:AT149" si="104">-AR86*AH86+AG86*AQ86</f>
        <v>-404763.80725751468</v>
      </c>
      <c r="AU86">
        <f t="shared" ref="AU86:AU149" si="105">AQ86*AH86+AG86*AR86</f>
        <v>-1479814.2390895048</v>
      </c>
      <c r="AV86">
        <f t="shared" si="93"/>
        <v>-1.837789227559341</v>
      </c>
      <c r="AW86">
        <f t="shared" si="94"/>
        <v>-711016.64648781542</v>
      </c>
      <c r="AX86">
        <f t="shared" si="95"/>
        <v>-250590.45125927194</v>
      </c>
      <c r="AY86">
        <f t="shared" si="103"/>
        <v>-2.802746090556905</v>
      </c>
      <c r="BA86">
        <f t="shared" si="80"/>
        <v>2.0350255439723881</v>
      </c>
      <c r="BB86">
        <f t="shared" si="96"/>
        <v>6.1713972986117982</v>
      </c>
      <c r="BC86">
        <f t="shared" si="97"/>
        <v>0.964956862997564</v>
      </c>
      <c r="BD86">
        <f t="shared" si="81"/>
        <v>-124.71204427488028</v>
      </c>
      <c r="BF86">
        <f t="shared" si="82"/>
        <v>0.72572604924519435</v>
      </c>
      <c r="BG86">
        <f t="shared" si="83"/>
        <v>-114.96485231348304</v>
      </c>
      <c r="BH86">
        <f t="shared" si="98"/>
        <v>65.035147686516964</v>
      </c>
      <c r="BI86">
        <f t="shared" si="99"/>
        <v>65.035147686516964</v>
      </c>
      <c r="BJ86">
        <f t="shared" si="84"/>
        <v>0</v>
      </c>
      <c r="BK86">
        <f t="shared" si="100"/>
        <v>0</v>
      </c>
      <c r="BM86">
        <f t="shared" si="101"/>
        <v>-5.4456712493666046</v>
      </c>
      <c r="BN86">
        <f t="shared" si="85"/>
        <v>-170.25280803860278</v>
      </c>
      <c r="BQ86" s="66">
        <f t="shared" si="102"/>
        <v>23.073358098896932</v>
      </c>
      <c r="BR86" s="71"/>
      <c r="BS86" s="71"/>
      <c r="BT86" s="71">
        <v>575.44000000000005</v>
      </c>
      <c r="BU86" s="71">
        <v>19.596</v>
      </c>
      <c r="BV86" s="71">
        <v>-264.9076</v>
      </c>
      <c r="BW86" s="75"/>
      <c r="BY86" s="71"/>
      <c r="BZ86" s="71"/>
      <c r="CA86" s="71"/>
      <c r="CC86" s="71"/>
    </row>
    <row r="87" spans="1:81" x14ac:dyDescent="0.15">
      <c r="A87">
        <f t="shared" si="54"/>
        <v>26500</v>
      </c>
      <c r="B87">
        <f t="shared" si="86"/>
        <v>26.5</v>
      </c>
      <c r="C87">
        <f t="shared" si="55"/>
        <v>1.0060201051000004</v>
      </c>
      <c r="D87">
        <f t="shared" si="56"/>
        <v>0.10945371672649679</v>
      </c>
      <c r="F87">
        <f t="shared" si="57"/>
        <v>3.4042345343292667E-2</v>
      </c>
      <c r="G87">
        <f t="shared" si="58"/>
        <v>6.1453115913215041E-2</v>
      </c>
      <c r="H87">
        <f t="shared" si="59"/>
        <v>-3.080139534086785</v>
      </c>
      <c r="J87">
        <f t="shared" si="60"/>
        <v>15</v>
      </c>
      <c r="M87">
        <f t="shared" si="61"/>
        <v>3.5963155185573692E-2</v>
      </c>
      <c r="N87">
        <f t="shared" si="62"/>
        <v>-1.5707963250000001</v>
      </c>
      <c r="O87">
        <f t="shared" si="63"/>
        <v>11.308325358382056</v>
      </c>
      <c r="P87">
        <f t="shared" si="64"/>
        <v>1.4822502424378161</v>
      </c>
      <c r="Q87">
        <f t="shared" si="65"/>
        <v>5.1951834108414792</v>
      </c>
      <c r="R87">
        <f t="shared" si="66"/>
        <v>1.3771014464016875</v>
      </c>
      <c r="S87">
        <f t="shared" si="67"/>
        <v>0.99474749812871865</v>
      </c>
      <c r="T87">
        <f t="shared" si="68"/>
        <v>-0.10253883607630568</v>
      </c>
      <c r="U87">
        <f t="shared" si="69"/>
        <v>0.98013566230049509</v>
      </c>
      <c r="V87">
        <f t="shared" si="70"/>
        <v>-0.19965196531748036</v>
      </c>
      <c r="X87">
        <f t="shared" si="87"/>
        <v>0.49146811995460388</v>
      </c>
      <c r="Y87">
        <f t="shared" si="71"/>
        <v>-113.69323323462152</v>
      </c>
      <c r="Z87">
        <f t="shared" si="88"/>
        <v>66.306766765378484</v>
      </c>
      <c r="AC87">
        <v>1</v>
      </c>
      <c r="AD87">
        <f t="shared" si="72"/>
        <v>11.264023366942501</v>
      </c>
      <c r="AE87">
        <f t="shared" si="73"/>
        <v>-2.8132643550116783E-4</v>
      </c>
      <c r="AF87">
        <f t="shared" si="74"/>
        <v>1.3903118272575001E-3</v>
      </c>
      <c r="AG87">
        <f t="shared" si="89"/>
        <v>7643.3031498782211</v>
      </c>
      <c r="AH87">
        <f t="shared" si="90"/>
        <v>-2265.8681087567466</v>
      </c>
      <c r="AJ87">
        <f t="shared" si="75"/>
        <v>20000</v>
      </c>
      <c r="AK87">
        <f t="shared" si="76"/>
        <v>2057.9945131619997</v>
      </c>
      <c r="AL87">
        <v>1</v>
      </c>
      <c r="AM87">
        <f t="shared" si="77"/>
        <v>5.0980320391580998</v>
      </c>
      <c r="AN87">
        <f t="shared" si="91"/>
        <v>1129.7443603967886</v>
      </c>
      <c r="AO87">
        <f t="shared" si="92"/>
        <v>-3701.4784321990037</v>
      </c>
      <c r="AQ87">
        <f t="shared" si="78"/>
        <v>3.5587188612099645</v>
      </c>
      <c r="AR87">
        <f t="shared" si="79"/>
        <v>-188.61209964412811</v>
      </c>
      <c r="AT87">
        <f t="shared" si="104"/>
        <v>-400169.77442786243</v>
      </c>
      <c r="AU87">
        <f t="shared" si="105"/>
        <v>-1449683.0428907562</v>
      </c>
      <c r="AV87">
        <f t="shared" si="93"/>
        <v>-1.8401286904477865</v>
      </c>
      <c r="AW87">
        <f t="shared" si="94"/>
        <v>-685285.05067847297</v>
      </c>
      <c r="AX87">
        <f t="shared" si="95"/>
        <v>-240321.80906532734</v>
      </c>
      <c r="AY87">
        <f t="shared" si="103"/>
        <v>-2.8043043136810488</v>
      </c>
      <c r="BA87">
        <f t="shared" si="80"/>
        <v>2.0709104896601778</v>
      </c>
      <c r="BB87">
        <f t="shared" si="96"/>
        <v>6.3232265583928351</v>
      </c>
      <c r="BC87">
        <f t="shared" si="97"/>
        <v>0.96417562323326234</v>
      </c>
      <c r="BD87">
        <f t="shared" si="81"/>
        <v>-124.75680601621372</v>
      </c>
      <c r="BF87">
        <f t="shared" si="82"/>
        <v>0.53757440350381747</v>
      </c>
      <c r="BG87">
        <f t="shared" si="83"/>
        <v>-114.96456580482025</v>
      </c>
      <c r="BH87">
        <f t="shared" si="98"/>
        <v>65.035434195179747</v>
      </c>
      <c r="BI87">
        <f t="shared" si="99"/>
        <v>65.035434195179747</v>
      </c>
      <c r="BJ87">
        <f t="shared" si="84"/>
        <v>0</v>
      </c>
      <c r="BK87">
        <f t="shared" si="100"/>
        <v>0</v>
      </c>
      <c r="BM87">
        <f t="shared" si="101"/>
        <v>-5.7856521548890161</v>
      </c>
      <c r="BN87">
        <f t="shared" si="85"/>
        <v>-170.20775978860652</v>
      </c>
      <c r="BQ87" s="66">
        <f t="shared" si="102"/>
        <v>23.225187358677971</v>
      </c>
      <c r="BR87" s="71"/>
      <c r="BS87" s="71"/>
      <c r="BT87" s="71">
        <v>588.84400000000005</v>
      </c>
      <c r="BU87" s="71">
        <v>19.373200000000001</v>
      </c>
      <c r="BV87" s="71">
        <v>-263.88170000000002</v>
      </c>
      <c r="BW87" s="75"/>
      <c r="BY87" s="71"/>
      <c r="BZ87" s="71"/>
      <c r="CA87" s="71"/>
      <c r="CC87" s="71"/>
    </row>
    <row r="88" spans="1:81" x14ac:dyDescent="0.15">
      <c r="A88">
        <f t="shared" si="54"/>
        <v>27000</v>
      </c>
      <c r="B88">
        <f t="shared" si="86"/>
        <v>27</v>
      </c>
      <c r="C88">
        <f t="shared" si="55"/>
        <v>1.0062487099270319</v>
      </c>
      <c r="D88">
        <f t="shared" si="56"/>
        <v>0.11150196272333443</v>
      </c>
      <c r="F88">
        <f t="shared" si="57"/>
        <v>3.2753951804876266E-2</v>
      </c>
      <c r="G88">
        <f t="shared" si="58"/>
        <v>6.0241441476252905E-2</v>
      </c>
      <c r="H88">
        <f t="shared" si="59"/>
        <v>-3.0813512085237473</v>
      </c>
      <c r="J88">
        <f t="shared" si="60"/>
        <v>15</v>
      </c>
      <c r="M88">
        <f t="shared" si="61"/>
        <v>3.5297170830285288E-2</v>
      </c>
      <c r="N88">
        <f t="shared" si="62"/>
        <v>-1.5707963250000001</v>
      </c>
      <c r="O88">
        <f t="shared" si="63"/>
        <v>11.52003681968959</v>
      </c>
      <c r="P88">
        <f t="shared" si="64"/>
        <v>1.4838816621416362</v>
      </c>
      <c r="Q88">
        <f t="shared" si="65"/>
        <v>5.2896063323685221</v>
      </c>
      <c r="R88">
        <f t="shared" si="66"/>
        <v>1.3806017308741731</v>
      </c>
      <c r="S88">
        <f t="shared" si="67"/>
        <v>0.99454905362700829</v>
      </c>
      <c r="T88">
        <f t="shared" si="68"/>
        <v>-0.10445961631216809</v>
      </c>
      <c r="U88">
        <f t="shared" si="69"/>
        <v>0.97940221388606385</v>
      </c>
      <c r="V88">
        <f t="shared" si="70"/>
        <v>-0.20331693766026041</v>
      </c>
      <c r="X88">
        <f t="shared" si="87"/>
        <v>0.30529413875455091</v>
      </c>
      <c r="Y88">
        <f t="shared" si="71"/>
        <v>-113.6713162721035</v>
      </c>
      <c r="Z88">
        <f t="shared" si="88"/>
        <v>66.328683727896504</v>
      </c>
      <c r="AC88">
        <v>1</v>
      </c>
      <c r="AD88">
        <f t="shared" si="72"/>
        <v>11.476552109715001</v>
      </c>
      <c r="AE88">
        <f t="shared" si="73"/>
        <v>-2.9204267921730339E-4</v>
      </c>
      <c r="AF88">
        <f t="shared" si="74"/>
        <v>1.4165441258850002E-3</v>
      </c>
      <c r="AG88">
        <f t="shared" si="89"/>
        <v>7631.8682612565508</v>
      </c>
      <c r="AH88">
        <f t="shared" si="90"/>
        <v>-2279.3721674103308</v>
      </c>
      <c r="AJ88">
        <f t="shared" si="75"/>
        <v>20000</v>
      </c>
      <c r="AK88">
        <f t="shared" si="76"/>
        <v>2096.824598316</v>
      </c>
      <c r="AL88">
        <v>1</v>
      </c>
      <c r="AM88">
        <f t="shared" si="77"/>
        <v>5.1942213229157996</v>
      </c>
      <c r="AN88">
        <f t="shared" si="91"/>
        <v>1104.0544187038631</v>
      </c>
      <c r="AO88">
        <f t="shared" si="92"/>
        <v>-3637.8784049750138</v>
      </c>
      <c r="AQ88">
        <f t="shared" si="78"/>
        <v>3.4281796366129584</v>
      </c>
      <c r="AR88">
        <f t="shared" si="79"/>
        <v>-185.12170037709976</v>
      </c>
      <c r="AT88">
        <f t="shared" si="104"/>
        <v>-395797.8360606833</v>
      </c>
      <c r="AU88">
        <f t="shared" si="105"/>
        <v>-1420638.526826411</v>
      </c>
      <c r="AV88">
        <f t="shared" si="93"/>
        <v>-1.8425115270404082</v>
      </c>
      <c r="AW88">
        <f t="shared" si="94"/>
        <v>-660894.26277656073</v>
      </c>
      <c r="AX88">
        <f t="shared" si="95"/>
        <v>-230721.5769483709</v>
      </c>
      <c r="AY88">
        <f t="shared" si="103"/>
        <v>-2.8057152688934544</v>
      </c>
      <c r="BA88">
        <f t="shared" si="80"/>
        <v>2.106747694898095</v>
      </c>
      <c r="BB88">
        <f t="shared" si="96"/>
        <v>6.4722505481884749</v>
      </c>
      <c r="BC88">
        <f t="shared" si="97"/>
        <v>0.96320374185304614</v>
      </c>
      <c r="BD88">
        <f t="shared" si="81"/>
        <v>-124.81249071755107</v>
      </c>
      <c r="BF88">
        <f t="shared" si="82"/>
        <v>0.35345657411014592</v>
      </c>
      <c r="BG88">
        <f t="shared" si="83"/>
        <v>-114.9723184864613</v>
      </c>
      <c r="BH88">
        <f t="shared" si="98"/>
        <v>65.027681513538695</v>
      </c>
      <c r="BI88">
        <f t="shared" si="99"/>
        <v>65.027681513538695</v>
      </c>
      <c r="BJ88">
        <f t="shared" si="84"/>
        <v>0</v>
      </c>
      <c r="BK88">
        <f t="shared" si="100"/>
        <v>0</v>
      </c>
      <c r="BM88">
        <f t="shared" si="101"/>
        <v>-6.1187939740783284</v>
      </c>
      <c r="BN88">
        <f t="shared" si="85"/>
        <v>-170.15982776891025</v>
      </c>
      <c r="BQ88" s="66">
        <f t="shared" si="102"/>
        <v>23.374211348473612</v>
      </c>
      <c r="BR88" s="71"/>
      <c r="BS88" s="71"/>
      <c r="BT88" s="71">
        <v>602.55999999999995</v>
      </c>
      <c r="BU88" s="71">
        <v>19.198</v>
      </c>
      <c r="BV88" s="71">
        <v>-264.00260000000003</v>
      </c>
      <c r="BW88" s="75"/>
      <c r="BY88" s="71"/>
      <c r="BZ88" s="71"/>
      <c r="CA88" s="71"/>
      <c r="CC88" s="71"/>
    </row>
    <row r="89" spans="1:81" x14ac:dyDescent="0.15">
      <c r="A89">
        <f t="shared" si="54"/>
        <v>27500</v>
      </c>
      <c r="B89">
        <f t="shared" si="86"/>
        <v>27.5</v>
      </c>
      <c r="C89">
        <f t="shared" si="55"/>
        <v>1.0064815343529907</v>
      </c>
      <c r="D89">
        <f t="shared" si="56"/>
        <v>0.11354926968462223</v>
      </c>
      <c r="F89">
        <f t="shared" si="57"/>
        <v>3.153802301339366E-2</v>
      </c>
      <c r="G89">
        <f t="shared" si="58"/>
        <v>5.9077892400538415E-2</v>
      </c>
      <c r="H89">
        <f t="shared" si="59"/>
        <v>-3.0825147575994616</v>
      </c>
      <c r="J89">
        <f t="shared" si="60"/>
        <v>15</v>
      </c>
      <c r="M89">
        <f t="shared" si="61"/>
        <v>3.465540408791646E-2</v>
      </c>
      <c r="N89">
        <f t="shared" si="62"/>
        <v>-1.5707963250000001</v>
      </c>
      <c r="O89">
        <f t="shared" si="63"/>
        <v>11.731777835263927</v>
      </c>
      <c r="P89">
        <f t="shared" si="64"/>
        <v>1.4854541965422889</v>
      </c>
      <c r="Q89">
        <f t="shared" si="65"/>
        <v>5.3840917885195347</v>
      </c>
      <c r="R89">
        <f t="shared" si="66"/>
        <v>1.3839792025033597</v>
      </c>
      <c r="S89">
        <f t="shared" si="67"/>
        <v>0.99434702194787838</v>
      </c>
      <c r="T89">
        <f t="shared" si="68"/>
        <v>-0.10637962325864807</v>
      </c>
      <c r="U89">
        <f t="shared" si="69"/>
        <v>0.97865674658610058</v>
      </c>
      <c r="V89">
        <f t="shared" si="70"/>
        <v>-0.20697637994264953</v>
      </c>
      <c r="X89">
        <f t="shared" si="87"/>
        <v>0.12294320839832713</v>
      </c>
      <c r="Y89">
        <f t="shared" si="71"/>
        <v>-113.65674511387972</v>
      </c>
      <c r="Z89">
        <f t="shared" si="88"/>
        <v>66.343254886120278</v>
      </c>
      <c r="AC89">
        <v>1</v>
      </c>
      <c r="AD89">
        <f t="shared" si="72"/>
        <v>11.689080852487502</v>
      </c>
      <c r="AE89">
        <f t="shared" si="73"/>
        <v>-3.0295922655430136E-4</v>
      </c>
      <c r="AF89">
        <f t="shared" si="74"/>
        <v>1.4427764245125002E-3</v>
      </c>
      <c r="AG89">
        <f t="shared" si="89"/>
        <v>7620.2547628369621</v>
      </c>
      <c r="AH89">
        <f t="shared" si="90"/>
        <v>-2293.2357591119976</v>
      </c>
      <c r="AJ89">
        <f t="shared" si="75"/>
        <v>20000</v>
      </c>
      <c r="AK89">
        <f t="shared" si="76"/>
        <v>2135.6546834699998</v>
      </c>
      <c r="AL89">
        <v>1</v>
      </c>
      <c r="AM89">
        <f t="shared" si="77"/>
        <v>5.2904106066735004</v>
      </c>
      <c r="AN89">
        <f t="shared" si="91"/>
        <v>1079.6885052389318</v>
      </c>
      <c r="AO89">
        <f t="shared" si="92"/>
        <v>-3576.340836549502</v>
      </c>
      <c r="AQ89">
        <f t="shared" si="78"/>
        <v>3.3046926635822866</v>
      </c>
      <c r="AR89">
        <f t="shared" si="79"/>
        <v>-181.75809649702578</v>
      </c>
      <c r="AT89">
        <f t="shared" si="104"/>
        <v>-391631.56638573331</v>
      </c>
      <c r="AU89">
        <f t="shared" si="105"/>
        <v>-1392621.4399046428</v>
      </c>
      <c r="AV89">
        <f t="shared" si="93"/>
        <v>-1.8449350219171754</v>
      </c>
      <c r="AW89">
        <f t="shared" si="94"/>
        <v>-637754.0673704393</v>
      </c>
      <c r="AX89">
        <f t="shared" si="95"/>
        <v>-221734.17119544087</v>
      </c>
      <c r="AY89">
        <f t="shared" si="103"/>
        <v>-2.8069863705325862</v>
      </c>
      <c r="BA89">
        <f t="shared" si="80"/>
        <v>2.1425338643176914</v>
      </c>
      <c r="BB89">
        <f t="shared" si="96"/>
        <v>6.6185538998400997</v>
      </c>
      <c r="BC89">
        <f t="shared" si="97"/>
        <v>0.96205134861541075</v>
      </c>
      <c r="BD89">
        <f t="shared" si="81"/>
        <v>-124.87851798648245</v>
      </c>
      <c r="BF89">
        <f t="shared" si="82"/>
        <v>0.17318462409020549</v>
      </c>
      <c r="BG89">
        <f t="shared" si="83"/>
        <v>-114.98771015838007</v>
      </c>
      <c r="BH89">
        <f t="shared" si="98"/>
        <v>65.012289841619932</v>
      </c>
      <c r="BI89">
        <f t="shared" si="99"/>
        <v>65.012289841619932</v>
      </c>
      <c r="BJ89">
        <f t="shared" si="84"/>
        <v>27500</v>
      </c>
      <c r="BK89">
        <f t="shared" si="100"/>
        <v>65.012289841619932</v>
      </c>
      <c r="BM89">
        <f t="shared" si="101"/>
        <v>-6.4453692757498953</v>
      </c>
      <c r="BN89">
        <f t="shared" si="85"/>
        <v>-170.1091921718976</v>
      </c>
      <c r="BQ89" s="66">
        <f t="shared" si="102"/>
        <v>23.520514700125233</v>
      </c>
      <c r="BR89" s="71"/>
      <c r="BS89" s="71"/>
      <c r="BT89" s="71">
        <v>616.59500000000003</v>
      </c>
      <c r="BU89" s="71">
        <v>18.983699999999999</v>
      </c>
      <c r="BV89" s="71">
        <v>-264.13310000000001</v>
      </c>
      <c r="BW89" s="75"/>
      <c r="BY89" s="71"/>
      <c r="BZ89" s="71"/>
      <c r="CA89" s="71"/>
      <c r="CC89" s="71"/>
    </row>
    <row r="90" spans="1:81" x14ac:dyDescent="0.15">
      <c r="A90">
        <f t="shared" si="54"/>
        <v>28000</v>
      </c>
      <c r="B90">
        <f t="shared" si="86"/>
        <v>28</v>
      </c>
      <c r="C90">
        <f t="shared" si="55"/>
        <v>1.0067185754502692</v>
      </c>
      <c r="D90">
        <f t="shared" si="56"/>
        <v>0.11559562110548081</v>
      </c>
      <c r="F90">
        <f t="shared" si="57"/>
        <v>3.0389177627524262E-2</v>
      </c>
      <c r="G90">
        <f t="shared" si="58"/>
        <v>5.7959594333011351E-2</v>
      </c>
      <c r="H90">
        <f t="shared" si="59"/>
        <v>-3.0836330556669886</v>
      </c>
      <c r="J90">
        <f t="shared" si="60"/>
        <v>15</v>
      </c>
      <c r="M90">
        <f t="shared" si="61"/>
        <v>3.4036557586346529E-2</v>
      </c>
      <c r="N90">
        <f t="shared" si="62"/>
        <v>-1.5707963250000001</v>
      </c>
      <c r="O90">
        <f t="shared" si="63"/>
        <v>11.943546833247856</v>
      </c>
      <c r="P90">
        <f t="shared" si="64"/>
        <v>1.4869709699035496</v>
      </c>
      <c r="Q90">
        <f t="shared" si="65"/>
        <v>5.4786365438486087</v>
      </c>
      <c r="R90">
        <f t="shared" si="66"/>
        <v>1.387240140306168</v>
      </c>
      <c r="S90">
        <f t="shared" si="67"/>
        <v>0.99414140974420984</v>
      </c>
      <c r="T90">
        <f t="shared" si="68"/>
        <v>-0.10829884323535015</v>
      </c>
      <c r="U90">
        <f t="shared" si="69"/>
        <v>0.97789934765104936</v>
      </c>
      <c r="V90">
        <f t="shared" si="70"/>
        <v>-0.21063020688472145</v>
      </c>
      <c r="X90">
        <f t="shared" si="87"/>
        <v>-5.5759082362147466E-2</v>
      </c>
      <c r="Y90">
        <f t="shared" si="71"/>
        <v>-113.6491409556026</v>
      </c>
      <c r="Z90">
        <f t="shared" si="88"/>
        <v>66.350859044397396</v>
      </c>
      <c r="AC90">
        <v>1</v>
      </c>
      <c r="AD90">
        <f t="shared" si="72"/>
        <v>11.901609595260002</v>
      </c>
      <c r="AE90">
        <f t="shared" si="73"/>
        <v>-3.1407607751216167E-4</v>
      </c>
      <c r="AF90">
        <f t="shared" si="74"/>
        <v>1.4690087231400003E-3</v>
      </c>
      <c r="AG90">
        <f t="shared" si="89"/>
        <v>7608.4644400223206</v>
      </c>
      <c r="AH90">
        <f t="shared" si="90"/>
        <v>-2307.431272407724</v>
      </c>
      <c r="AJ90">
        <f t="shared" si="75"/>
        <v>20000</v>
      </c>
      <c r="AK90">
        <f t="shared" si="76"/>
        <v>2174.484768624</v>
      </c>
      <c r="AL90">
        <v>1</v>
      </c>
      <c r="AM90">
        <f t="shared" si="77"/>
        <v>5.3865998904312002</v>
      </c>
      <c r="AN90">
        <f t="shared" si="91"/>
        <v>1056.5582246105257</v>
      </c>
      <c r="AO90">
        <f t="shared" si="92"/>
        <v>-3516.7716482972419</v>
      </c>
      <c r="AQ90">
        <f t="shared" si="78"/>
        <v>3.1877590054191902</v>
      </c>
      <c r="AR90">
        <f t="shared" si="79"/>
        <v>-178.51450430347467</v>
      </c>
      <c r="AT90">
        <f t="shared" si="104"/>
        <v>-387655.99877210782</v>
      </c>
      <c r="AU90">
        <f t="shared" si="105"/>
        <v>-1365576.7928392021</v>
      </c>
      <c r="AV90">
        <f t="shared" si="93"/>
        <v>-1.8473966454314126</v>
      </c>
      <c r="AW90">
        <f t="shared" si="94"/>
        <v>-615781.6017240003</v>
      </c>
      <c r="AX90">
        <f t="shared" si="95"/>
        <v>-213309.52262023737</v>
      </c>
      <c r="AY90">
        <f t="shared" si="103"/>
        <v>-2.8081245293595427</v>
      </c>
      <c r="BA90">
        <f t="shared" si="80"/>
        <v>2.1782658277496085</v>
      </c>
      <c r="BB90">
        <f t="shared" si="96"/>
        <v>6.7622175679002128</v>
      </c>
      <c r="BC90">
        <f t="shared" si="97"/>
        <v>0.96072788392813013</v>
      </c>
      <c r="BD90">
        <f t="shared" si="81"/>
        <v>-124.95434692748488</v>
      </c>
      <c r="BF90">
        <f t="shared" si="82"/>
        <v>-3.4166569455248213E-3</v>
      </c>
      <c r="BG90">
        <f t="shared" si="83"/>
        <v>-115.01036555901287</v>
      </c>
      <c r="BH90">
        <f t="shared" si="98"/>
        <v>64.989634440987132</v>
      </c>
      <c r="BI90">
        <f t="shared" si="99"/>
        <v>64.989634440987132</v>
      </c>
      <c r="BJ90">
        <f t="shared" si="84"/>
        <v>0</v>
      </c>
      <c r="BK90">
        <f t="shared" si="100"/>
        <v>0</v>
      </c>
      <c r="BM90">
        <f t="shared" si="101"/>
        <v>-6.7656342248457371</v>
      </c>
      <c r="BN90">
        <f t="shared" si="85"/>
        <v>-170.05601863152796</v>
      </c>
      <c r="BQ90" s="66">
        <f t="shared" si="102"/>
        <v>23.664178368185347</v>
      </c>
      <c r="BR90" s="71"/>
      <c r="BS90" s="71"/>
      <c r="BT90" s="71">
        <v>630.95699999999999</v>
      </c>
      <c r="BU90" s="71">
        <v>18.802900000000001</v>
      </c>
      <c r="BV90" s="71">
        <v>-263.74850000000004</v>
      </c>
      <c r="BW90" s="75"/>
      <c r="BY90" s="71"/>
      <c r="BZ90" s="71"/>
      <c r="CA90" s="71"/>
      <c r="CC90" s="71"/>
    </row>
    <row r="91" spans="1:81" x14ac:dyDescent="0.15">
      <c r="A91">
        <f t="shared" si="54"/>
        <v>28500</v>
      </c>
      <c r="B91">
        <f t="shared" si="86"/>
        <v>28.5</v>
      </c>
      <c r="C91">
        <f t="shared" si="55"/>
        <v>1.0069598302410196</v>
      </c>
      <c r="D91">
        <f t="shared" si="56"/>
        <v>0.11764100052844445</v>
      </c>
      <c r="F91">
        <f t="shared" si="57"/>
        <v>2.9302528715091342E-2</v>
      </c>
      <c r="G91">
        <f t="shared" si="58"/>
        <v>5.6883901343137706E-2</v>
      </c>
      <c r="H91">
        <f t="shared" si="59"/>
        <v>-3.0847087486568623</v>
      </c>
      <c r="J91">
        <f t="shared" si="60"/>
        <v>15</v>
      </c>
      <c r="M91">
        <f t="shared" si="61"/>
        <v>3.3439424997112381E-2</v>
      </c>
      <c r="N91">
        <f t="shared" si="62"/>
        <v>-1.5707963250000001</v>
      </c>
      <c r="O91">
        <f t="shared" si="63"/>
        <v>12.155342351122359</v>
      </c>
      <c r="P91">
        <f t="shared" si="64"/>
        <v>1.4884348898096713</v>
      </c>
      <c r="Q91">
        <f t="shared" si="65"/>
        <v>5.5732375804915231</v>
      </c>
      <c r="R91">
        <f t="shared" si="66"/>
        <v>1.3903904072949993</v>
      </c>
      <c r="S91">
        <f t="shared" si="67"/>
        <v>0.99393222377935686</v>
      </c>
      <c r="T91">
        <f t="shared" si="68"/>
        <v>-0.11021726259628067</v>
      </c>
      <c r="U91">
        <f t="shared" si="69"/>
        <v>0.97713010535874856</v>
      </c>
      <c r="V91">
        <f t="shared" si="70"/>
        <v>-0.21427833406777957</v>
      </c>
      <c r="X91">
        <f t="shared" si="87"/>
        <v>-0.23097553596113068</v>
      </c>
      <c r="Y91">
        <f t="shared" si="71"/>
        <v>-113.64814820400264</v>
      </c>
      <c r="Z91">
        <f t="shared" si="88"/>
        <v>66.351851795997362</v>
      </c>
      <c r="AC91">
        <v>1</v>
      </c>
      <c r="AD91">
        <f t="shared" si="72"/>
        <v>12.114138338032502</v>
      </c>
      <c r="AE91">
        <f t="shared" si="73"/>
        <v>-3.2539323209088437E-4</v>
      </c>
      <c r="AF91">
        <f t="shared" si="74"/>
        <v>1.4952410217675001E-3</v>
      </c>
      <c r="AG91">
        <f t="shared" si="89"/>
        <v>7596.499096813166</v>
      </c>
      <c r="AH91">
        <f t="shared" si="90"/>
        <v>-2321.9329480296783</v>
      </c>
      <c r="AJ91">
        <f t="shared" si="75"/>
        <v>20000</v>
      </c>
      <c r="AK91">
        <f t="shared" si="76"/>
        <v>2213.3148537780003</v>
      </c>
      <c r="AL91">
        <v>1</v>
      </c>
      <c r="AM91">
        <f t="shared" si="77"/>
        <v>5.4827891741889001</v>
      </c>
      <c r="AN91">
        <f t="shared" si="91"/>
        <v>1034.582350269121</v>
      </c>
      <c r="AO91">
        <f t="shared" si="92"/>
        <v>-3459.0820560844454</v>
      </c>
      <c r="AQ91">
        <f t="shared" si="78"/>
        <v>3.0769230769230771</v>
      </c>
      <c r="AR91">
        <f t="shared" si="79"/>
        <v>-175.38461538461539</v>
      </c>
      <c r="AT91">
        <f t="shared" si="104"/>
        <v>-383857.47366424155</v>
      </c>
      <c r="AU91">
        <f t="shared" si="105"/>
        <v>-1339453.4814350158</v>
      </c>
      <c r="AV91">
        <f t="shared" si="93"/>
        <v>-1.8498940377904989</v>
      </c>
      <c r="AW91">
        <f t="shared" si="94"/>
        <v>-594900.65932006517</v>
      </c>
      <c r="AX91">
        <f t="shared" si="95"/>
        <v>-205402.44744047645</v>
      </c>
      <c r="AY91">
        <f t="shared" si="103"/>
        <v>-2.8091361941705686</v>
      </c>
      <c r="BA91">
        <f t="shared" si="80"/>
        <v>2.2139405297474468</v>
      </c>
      <c r="BB91">
        <f t="shared" si="96"/>
        <v>6.90331901604464</v>
      </c>
      <c r="BC91">
        <f t="shared" si="97"/>
        <v>0.95924215638006971</v>
      </c>
      <c r="BD91">
        <f t="shared" si="81"/>
        <v>-125.03947284559234</v>
      </c>
      <c r="BF91">
        <f t="shared" si="82"/>
        <v>-0.17651087928604606</v>
      </c>
      <c r="BG91">
        <f t="shared" si="83"/>
        <v>-115.0399325369897</v>
      </c>
      <c r="BH91">
        <f t="shared" si="98"/>
        <v>64.960067463010304</v>
      </c>
      <c r="BI91">
        <f t="shared" si="99"/>
        <v>64.960067463010304</v>
      </c>
      <c r="BJ91">
        <f t="shared" si="84"/>
        <v>0</v>
      </c>
      <c r="BK91">
        <f t="shared" si="100"/>
        <v>0</v>
      </c>
      <c r="BM91">
        <f t="shared" si="101"/>
        <v>-7.0798298953306844</v>
      </c>
      <c r="BN91">
        <f t="shared" si="85"/>
        <v>-170.00045969139737</v>
      </c>
      <c r="BQ91" s="66">
        <f t="shared" si="102"/>
        <v>23.805279816329772</v>
      </c>
      <c r="BR91" s="71"/>
      <c r="BS91" s="71"/>
      <c r="BT91" s="71">
        <v>645.654</v>
      </c>
      <c r="BU91" s="71">
        <v>18.598600000000001</v>
      </c>
      <c r="BV91" s="71">
        <v>-263.7636</v>
      </c>
      <c r="BW91" s="75"/>
      <c r="BY91" s="71"/>
      <c r="BZ91" s="71"/>
      <c r="CA91" s="71"/>
      <c r="CC91" s="71"/>
    </row>
    <row r="92" spans="1:81" x14ac:dyDescent="0.15">
      <c r="A92">
        <f t="shared" si="54"/>
        <v>29000</v>
      </c>
      <c r="B92">
        <f t="shared" si="86"/>
        <v>29</v>
      </c>
      <c r="C92">
        <f t="shared" si="55"/>
        <v>1.0072052956973379</v>
      </c>
      <c r="D92">
        <f t="shared" si="56"/>
        <v>0.11968539154420885</v>
      </c>
      <c r="F92">
        <f t="shared" si="57"/>
        <v>2.8273629831874487E-2</v>
      </c>
      <c r="G92">
        <f t="shared" si="58"/>
        <v>5.584837337070387E-2</v>
      </c>
      <c r="H92">
        <f t="shared" si="59"/>
        <v>-3.0857442766292964</v>
      </c>
      <c r="J92">
        <f t="shared" si="60"/>
        <v>15</v>
      </c>
      <c r="M92">
        <f t="shared" si="61"/>
        <v>3.2862883186817335E-2</v>
      </c>
      <c r="N92">
        <f t="shared" si="62"/>
        <v>-1.5707963250000001</v>
      </c>
      <c r="O92">
        <f t="shared" si="63"/>
        <v>12.36716302637762</v>
      </c>
      <c r="P92">
        <f t="shared" si="64"/>
        <v>1.4898486655884089</v>
      </c>
      <c r="Q92">
        <f t="shared" si="65"/>
        <v>5.6678920803268857</v>
      </c>
      <c r="R92">
        <f t="shared" si="66"/>
        <v>1.3934354839705401</v>
      </c>
      <c r="S92">
        <f t="shared" si="67"/>
        <v>0.99371947092653834</v>
      </c>
      <c r="T92">
        <f t="shared" si="68"/>
        <v>-0.11213486773040063</v>
      </c>
      <c r="U92">
        <f t="shared" si="69"/>
        <v>0.97634910898766336</v>
      </c>
      <c r="V92">
        <f t="shared" si="70"/>
        <v>-0.21792067794312669</v>
      </c>
      <c r="X92">
        <f t="shared" si="87"/>
        <v>-0.40285835153573402</v>
      </c>
      <c r="Y92">
        <f t="shared" si="71"/>
        <v>-113.65343279496784</v>
      </c>
      <c r="Z92">
        <f t="shared" si="88"/>
        <v>66.346567205032159</v>
      </c>
      <c r="AC92">
        <v>1</v>
      </c>
      <c r="AD92">
        <f t="shared" si="72"/>
        <v>12.326667080805002</v>
      </c>
      <c r="AE92">
        <f t="shared" si="73"/>
        <v>-3.3691069029046942E-4</v>
      </c>
      <c r="AF92">
        <f t="shared" si="74"/>
        <v>1.5214733203950002E-3</v>
      </c>
      <c r="AG92">
        <f t="shared" si="89"/>
        <v>7584.3605551629635</v>
      </c>
      <c r="AH92">
        <f t="shared" si="90"/>
        <v>-2336.7167221366449</v>
      </c>
      <c r="AJ92">
        <f t="shared" si="75"/>
        <v>20000</v>
      </c>
      <c r="AK92">
        <f t="shared" si="76"/>
        <v>2252.1449389320001</v>
      </c>
      <c r="AL92">
        <v>1</v>
      </c>
      <c r="AM92">
        <f t="shared" si="77"/>
        <v>5.5789784579466</v>
      </c>
      <c r="AN92">
        <f t="shared" si="91"/>
        <v>1013.6861464766591</v>
      </c>
      <c r="AO92">
        <f t="shared" si="92"/>
        <v>-3403.1882353801825</v>
      </c>
      <c r="AQ92">
        <f t="shared" si="78"/>
        <v>2.9717682020802378</v>
      </c>
      <c r="AR92">
        <f t="shared" si="79"/>
        <v>-172.3625557206538</v>
      </c>
      <c r="AT92">
        <f t="shared" si="104"/>
        <v>-380223.50469171605</v>
      </c>
      <c r="AU92">
        <f t="shared" si="105"/>
        <v>-1314203.9492469199</v>
      </c>
      <c r="AV92">
        <f t="shared" si="93"/>
        <v>-1.8524249947499813</v>
      </c>
      <c r="AW92">
        <f t="shared" si="94"/>
        <v>-575041.06786876591</v>
      </c>
      <c r="AX92">
        <f t="shared" si="95"/>
        <v>-197972.09874216781</v>
      </c>
      <c r="AY92">
        <f t="shared" si="103"/>
        <v>-2.8100273894091514</v>
      </c>
      <c r="BA92">
        <f t="shared" si="80"/>
        <v>2.2495550201847614</v>
      </c>
      <c r="BB92">
        <f t="shared" si="96"/>
        <v>7.041932394311937</v>
      </c>
      <c r="BC92">
        <f t="shared" si="97"/>
        <v>0.95760239465917008</v>
      </c>
      <c r="BD92">
        <f t="shared" si="81"/>
        <v>-125.13342427171435</v>
      </c>
      <c r="BF92">
        <f t="shared" si="82"/>
        <v>-0.34625105834494968</v>
      </c>
      <c r="BG92">
        <f t="shared" si="83"/>
        <v>-115.07608036855609</v>
      </c>
      <c r="BH92">
        <f t="shared" si="98"/>
        <v>64.923919631443908</v>
      </c>
      <c r="BI92">
        <f t="shared" si="99"/>
        <v>64.923919631443908</v>
      </c>
      <c r="BJ92">
        <f t="shared" si="84"/>
        <v>0</v>
      </c>
      <c r="BK92">
        <f t="shared" si="100"/>
        <v>0</v>
      </c>
      <c r="BM92">
        <f t="shared" si="101"/>
        <v>-7.3881834526568877</v>
      </c>
      <c r="BN92">
        <f t="shared" si="85"/>
        <v>-169.94265609684174</v>
      </c>
      <c r="BQ92" s="66">
        <f t="shared" si="102"/>
        <v>23.943893194597074</v>
      </c>
      <c r="BR92" s="73"/>
      <c r="BS92" s="73"/>
      <c r="BT92" s="73">
        <v>660.69299999999998</v>
      </c>
      <c r="BU92" s="73">
        <v>18.468</v>
      </c>
      <c r="BV92" s="73">
        <v>-263.60980000000001</v>
      </c>
      <c r="BW92" s="75"/>
      <c r="BY92" s="73"/>
      <c r="BZ92" s="73"/>
      <c r="CA92" s="73"/>
      <c r="CC92" s="73"/>
    </row>
    <row r="93" spans="1:81" x14ac:dyDescent="0.15">
      <c r="A93">
        <f t="shared" si="54"/>
        <v>29500</v>
      </c>
      <c r="B93">
        <f t="shared" si="86"/>
        <v>29.5</v>
      </c>
      <c r="C93">
        <f t="shared" si="55"/>
        <v>1.0074549687414494</v>
      </c>
      <c r="D93">
        <f t="shared" si="56"/>
        <v>0.12172877779237325</v>
      </c>
      <c r="F93">
        <f t="shared" si="57"/>
        <v>2.7298427883958355E-2</v>
      </c>
      <c r="G93">
        <f t="shared" si="58"/>
        <v>5.4850756320509661E-2</v>
      </c>
      <c r="H93">
        <f t="shared" si="59"/>
        <v>-3.0867418936794904</v>
      </c>
      <c r="J93">
        <f t="shared" si="60"/>
        <v>15</v>
      </c>
      <c r="M93">
        <f t="shared" si="61"/>
        <v>3.2305885166701791E-2</v>
      </c>
      <c r="N93">
        <f t="shared" si="62"/>
        <v>-1.5707963250000001</v>
      </c>
      <c r="O93">
        <f t="shared" si="63"/>
        <v>12.579007588121705</v>
      </c>
      <c r="P93">
        <f t="shared" si="64"/>
        <v>1.4912148248898291</v>
      </c>
      <c r="Q93">
        <f t="shared" si="65"/>
        <v>5.7625974088496843</v>
      </c>
      <c r="R93">
        <f t="shared" si="66"/>
        <v>1.3963804986686339</v>
      </c>
      <c r="S93">
        <f t="shared" si="67"/>
        <v>0.99350315816822055</v>
      </c>
      <c r="T93">
        <f t="shared" si="68"/>
        <v>-0.11405164506217454</v>
      </c>
      <c r="U93">
        <f t="shared" si="69"/>
        <v>0.97555644879000147</v>
      </c>
      <c r="V93">
        <f t="shared" si="70"/>
        <v>-0.22155715584052488</v>
      </c>
      <c r="X93">
        <f t="shared" si="87"/>
        <v>-0.57155002439371894</v>
      </c>
      <c r="Y93">
        <f t="shared" si="71"/>
        <v>-113.66468064586401</v>
      </c>
      <c r="Z93">
        <f t="shared" si="88"/>
        <v>66.33531935413599</v>
      </c>
      <c r="AC93">
        <v>1</v>
      </c>
      <c r="AD93">
        <f t="shared" si="72"/>
        <v>12.539195823577501</v>
      </c>
      <c r="AE93">
        <f t="shared" si="73"/>
        <v>-3.4862845211091671E-4</v>
      </c>
      <c r="AF93">
        <f t="shared" si="74"/>
        <v>1.5477056190225001E-3</v>
      </c>
      <c r="AG93">
        <f t="shared" si="89"/>
        <v>7572.0506543319116</v>
      </c>
      <c r="AH93">
        <f t="shared" si="90"/>
        <v>-2351.7600855025867</v>
      </c>
      <c r="AJ93">
        <f t="shared" si="75"/>
        <v>20000</v>
      </c>
      <c r="AK93">
        <f t="shared" si="76"/>
        <v>2290.9750240860003</v>
      </c>
      <c r="AL93">
        <v>1</v>
      </c>
      <c r="AM93">
        <f t="shared" si="77"/>
        <v>5.6751677417042998</v>
      </c>
      <c r="AN93">
        <f t="shared" si="91"/>
        <v>993.80076297216465</v>
      </c>
      <c r="AO93">
        <f t="shared" si="92"/>
        <v>-3349.0110076147494</v>
      </c>
      <c r="AQ93">
        <f t="shared" si="78"/>
        <v>2.8719126938541066</v>
      </c>
      <c r="AR93">
        <f t="shared" si="79"/>
        <v>-169.44284893739231</v>
      </c>
      <c r="AT93">
        <f t="shared" si="104"/>
        <v>-376742.66051212151</v>
      </c>
      <c r="AU93">
        <f t="shared" si="105"/>
        <v>-1289783.8848106991</v>
      </c>
      <c r="AV93">
        <f t="shared" si="93"/>
        <v>-1.8549874547340839</v>
      </c>
      <c r="AW93">
        <f t="shared" si="94"/>
        <v>-556138.13299200474</v>
      </c>
      <c r="AX93">
        <f t="shared" si="95"/>
        <v>-190981.4871361054</v>
      </c>
      <c r="AY93">
        <f t="shared" si="103"/>
        <v>-2.810803749214482</v>
      </c>
      <c r="BA93">
        <f t="shared" si="80"/>
        <v>2.2851064458020258</v>
      </c>
      <c r="BB93">
        <f t="shared" si="96"/>
        <v>7.1781287073532614</v>
      </c>
      <c r="BC93">
        <f t="shared" si="97"/>
        <v>0.95581629448039807</v>
      </c>
      <c r="BD93">
        <f t="shared" si="81"/>
        <v>-125.23576027386248</v>
      </c>
      <c r="BF93">
        <f t="shared" si="82"/>
        <v>-0.51278051383425716</v>
      </c>
      <c r="BG93">
        <f t="shared" si="83"/>
        <v>-115.11849820924726</v>
      </c>
      <c r="BH93">
        <f t="shared" si="98"/>
        <v>64.881501790752736</v>
      </c>
      <c r="BI93">
        <f t="shared" si="99"/>
        <v>64.881501790752736</v>
      </c>
      <c r="BJ93">
        <f t="shared" si="84"/>
        <v>0</v>
      </c>
      <c r="BK93">
        <f t="shared" si="100"/>
        <v>0</v>
      </c>
      <c r="BM93">
        <f t="shared" si="101"/>
        <v>-7.6909092211875194</v>
      </c>
      <c r="BN93">
        <f t="shared" si="85"/>
        <v>-169.8827379353848</v>
      </c>
      <c r="BQ93" s="66">
        <f t="shared" si="102"/>
        <v>24.080089507638398</v>
      </c>
      <c r="BR93" s="73"/>
      <c r="BS93" s="73"/>
      <c r="BT93" s="73">
        <v>676.08299999999997</v>
      </c>
      <c r="BU93" s="73">
        <v>18.2744</v>
      </c>
      <c r="BV93" s="73">
        <v>-263.3252</v>
      </c>
      <c r="BW93" s="75"/>
      <c r="BY93" s="73"/>
      <c r="BZ93" s="73"/>
      <c r="CA93" s="73"/>
      <c r="CC93" s="73"/>
    </row>
    <row r="94" spans="1:81" x14ac:dyDescent="0.15">
      <c r="A94">
        <f t="shared" si="54"/>
        <v>30000</v>
      </c>
      <c r="B94">
        <f t="shared" si="86"/>
        <v>30</v>
      </c>
      <c r="C94">
        <f t="shared" si="55"/>
        <v>1.0077088462458996</v>
      </c>
      <c r="D94">
        <f t="shared" si="56"/>
        <v>0.12377114296217653</v>
      </c>
      <c r="F94">
        <f t="shared" si="57"/>
        <v>2.6373221809749343E-2</v>
      </c>
      <c r="G94">
        <f t="shared" si="58"/>
        <v>5.3888964445815236E-2</v>
      </c>
      <c r="H94">
        <f t="shared" si="59"/>
        <v>-3.0877036855541848</v>
      </c>
      <c r="J94">
        <f t="shared" si="60"/>
        <v>15</v>
      </c>
      <c r="M94">
        <f t="shared" si="61"/>
        <v>3.1767453747256758E-2</v>
      </c>
      <c r="N94">
        <f t="shared" si="62"/>
        <v>-1.5707963250000001</v>
      </c>
      <c r="O94">
        <f t="shared" si="63"/>
        <v>12.790874849518861</v>
      </c>
      <c r="P94">
        <f t="shared" si="64"/>
        <v>1.4925357286323024</v>
      </c>
      <c r="Q94">
        <f t="shared" si="65"/>
        <v>5.857351100570086</v>
      </c>
      <c r="R94">
        <f t="shared" si="66"/>
        <v>1.3992302550963269</v>
      </c>
      <c r="S94">
        <f t="shared" si="67"/>
        <v>0.99328329259549186</v>
      </c>
      <c r="T94">
        <f t="shared" si="68"/>
        <v>-0.11596758105211581</v>
      </c>
      <c r="U94">
        <f t="shared" si="69"/>
        <v>0.97475221596472261</v>
      </c>
      <c r="V94">
        <f t="shared" si="70"/>
        <v>-0.22518768597634489</v>
      </c>
      <c r="X94">
        <f t="shared" si="87"/>
        <v>-0.73718415247856883</v>
      </c>
      <c r="Y94">
        <f t="shared" si="71"/>
        <v>-113.68159623130362</v>
      </c>
      <c r="Z94">
        <f t="shared" si="88"/>
        <v>66.318403768696385</v>
      </c>
      <c r="AC94">
        <v>1</v>
      </c>
      <c r="AD94">
        <f t="shared" si="72"/>
        <v>12.751724566350001</v>
      </c>
      <c r="AE94">
        <f t="shared" si="73"/>
        <v>-3.6054651755222639E-4</v>
      </c>
      <c r="AF94">
        <f t="shared" si="74"/>
        <v>1.5739379176500001E-3</v>
      </c>
      <c r="AG94">
        <f t="shared" si="89"/>
        <v>7559.5712502396427</v>
      </c>
      <c r="AH94">
        <f t="shared" si="90"/>
        <v>-2367.0419567910158</v>
      </c>
      <c r="AJ94">
        <f t="shared" si="75"/>
        <v>20000</v>
      </c>
      <c r="AK94">
        <f t="shared" si="76"/>
        <v>2329.8051092400001</v>
      </c>
      <c r="AL94">
        <v>1</v>
      </c>
      <c r="AM94">
        <f t="shared" si="77"/>
        <v>5.7713570254619997</v>
      </c>
      <c r="AN94">
        <f t="shared" si="91"/>
        <v>974.86269368247122</v>
      </c>
      <c r="AO94">
        <f t="shared" si="92"/>
        <v>-3296.4755468051399</v>
      </c>
      <c r="AQ94">
        <f t="shared" si="78"/>
        <v>2.7770063871146902</v>
      </c>
      <c r="AR94">
        <f t="shared" si="79"/>
        <v>-166.62038322688142</v>
      </c>
      <c r="AT94">
        <f t="shared" si="104"/>
        <v>-373404.46030886227</v>
      </c>
      <c r="AU94">
        <f t="shared" si="105"/>
        <v>-1266151.9493784215</v>
      </c>
      <c r="AV94">
        <f t="shared" si="93"/>
        <v>-1.8575794872198947</v>
      </c>
      <c r="AW94">
        <f t="shared" si="94"/>
        <v>-538132.13991926948</v>
      </c>
      <c r="AX94">
        <f t="shared" si="95"/>
        <v>-184397.06096756543</v>
      </c>
      <c r="AY94">
        <f t="shared" si="103"/>
        <v>-2.8114705482899938</v>
      </c>
      <c r="BA94">
        <f t="shared" si="80"/>
        <v>2.3205920425963229</v>
      </c>
      <c r="BB94">
        <f t="shared" si="96"/>
        <v>7.3119759739454331</v>
      </c>
      <c r="BC94">
        <f t="shared" si="97"/>
        <v>0.95389106107009902</v>
      </c>
      <c r="BD94">
        <f t="shared" si="81"/>
        <v>-125.34606802297624</v>
      </c>
      <c r="BF94">
        <f t="shared" si="82"/>
        <v>-0.67623367593319372</v>
      </c>
      <c r="BG94">
        <f t="shared" si="83"/>
        <v>-115.16689366902602</v>
      </c>
      <c r="BH94">
        <f t="shared" si="98"/>
        <v>64.833106330973976</v>
      </c>
      <c r="BI94">
        <f t="shared" si="99"/>
        <v>64.833106330973976</v>
      </c>
      <c r="BJ94">
        <f t="shared" si="84"/>
        <v>0</v>
      </c>
      <c r="BK94">
        <f t="shared" si="100"/>
        <v>0</v>
      </c>
      <c r="BM94">
        <f t="shared" si="101"/>
        <v>-7.988209649878625</v>
      </c>
      <c r="BN94">
        <f t="shared" si="85"/>
        <v>-169.8208256460498</v>
      </c>
      <c r="BQ94" s="66">
        <f t="shared" si="102"/>
        <v>24.213936774230568</v>
      </c>
      <c r="BR94" s="71"/>
      <c r="BS94" s="71"/>
      <c r="BT94" s="71">
        <v>691.83100000000002</v>
      </c>
      <c r="BU94" s="71">
        <v>18.092600000000001</v>
      </c>
      <c r="BV94" s="71">
        <v>-263.57819999999998</v>
      </c>
      <c r="BW94" s="75"/>
      <c r="BY94" s="71"/>
      <c r="BZ94" s="71"/>
      <c r="CA94" s="71"/>
      <c r="CC94" s="71"/>
    </row>
    <row r="95" spans="1:81" x14ac:dyDescent="0.15">
      <c r="A95">
        <f t="shared" si="54"/>
        <v>30500</v>
      </c>
      <c r="B95">
        <f t="shared" si="86"/>
        <v>30.5</v>
      </c>
      <c r="C95">
        <f t="shared" si="55"/>
        <v>1.0079669250337453</v>
      </c>
      <c r="D95">
        <f t="shared" si="56"/>
        <v>0.12581247079322733</v>
      </c>
      <c r="F95">
        <f t="shared" si="57"/>
        <v>2.5494626269993888E-2</v>
      </c>
      <c r="G95">
        <f t="shared" si="58"/>
        <v>5.2961064717022971E-2</v>
      </c>
      <c r="H95">
        <f t="shared" si="59"/>
        <v>-3.0886315852829771</v>
      </c>
      <c r="J95">
        <f t="shared" si="60"/>
        <v>15</v>
      </c>
      <c r="M95">
        <f t="shared" si="61"/>
        <v>3.1246675816973858E-2</v>
      </c>
      <c r="N95">
        <f t="shared" si="62"/>
        <v>-1.5707963250000001</v>
      </c>
      <c r="O95">
        <f t="shared" si="63"/>
        <v>13.002763700963488</v>
      </c>
      <c r="P95">
        <f t="shared" si="64"/>
        <v>1.4938135844998761</v>
      </c>
      <c r="Q95">
        <f t="shared" si="65"/>
        <v>5.9521508457731258</v>
      </c>
      <c r="R95">
        <f t="shared" si="66"/>
        <v>1.4019892573525545</v>
      </c>
      <c r="S95">
        <f t="shared" si="67"/>
        <v>0.99305988140742807</v>
      </c>
      <c r="T95">
        <f t="shared" si="68"/>
        <v>-0.11788266219732807</v>
      </c>
      <c r="U95">
        <f t="shared" si="69"/>
        <v>0.97393650263046128</v>
      </c>
      <c r="V95">
        <f t="shared" si="70"/>
        <v>-0.22881218746140508</v>
      </c>
      <c r="X95">
        <f t="shared" si="87"/>
        <v>-0.89988616105780517</v>
      </c>
      <c r="Y95">
        <f t="shared" si="71"/>
        <v>-113.70390127227007</v>
      </c>
      <c r="Z95">
        <f t="shared" si="88"/>
        <v>66.296098727729927</v>
      </c>
      <c r="AC95">
        <v>1</v>
      </c>
      <c r="AD95">
        <f t="shared" si="72"/>
        <v>12.964253309122503</v>
      </c>
      <c r="AE95">
        <f t="shared" si="73"/>
        <v>-3.7266488661439847E-4</v>
      </c>
      <c r="AF95">
        <f t="shared" si="74"/>
        <v>1.6001702162775002E-3</v>
      </c>
      <c r="AG95">
        <f t="shared" si="89"/>
        <v>7546.9242148172889</v>
      </c>
      <c r="AH95">
        <f t="shared" si="90"/>
        <v>-2382.5425682971136</v>
      </c>
      <c r="AJ95">
        <f t="shared" si="75"/>
        <v>20000</v>
      </c>
      <c r="AK95">
        <f t="shared" si="76"/>
        <v>2368.6351943939999</v>
      </c>
      <c r="AL95">
        <v>1</v>
      </c>
      <c r="AM95">
        <f t="shared" si="77"/>
        <v>5.8675463092196996</v>
      </c>
      <c r="AN95">
        <f t="shared" si="91"/>
        <v>956.81329195088017</v>
      </c>
      <c r="AO95">
        <f t="shared" si="92"/>
        <v>-3245.5111054047384</v>
      </c>
      <c r="AQ95">
        <f t="shared" si="78"/>
        <v>2.6867275658248255</v>
      </c>
      <c r="AR95">
        <f t="shared" si="79"/>
        <v>-163.89038151531435</v>
      </c>
      <c r="AT95">
        <f t="shared" si="104"/>
        <v>-370199.28116955038</v>
      </c>
      <c r="AU95">
        <f t="shared" si="105"/>
        <v>-1243269.5316285647</v>
      </c>
      <c r="AV95">
        <f t="shared" si="93"/>
        <v>-1.8601992822433169</v>
      </c>
      <c r="AW95">
        <f t="shared" si="94"/>
        <v>-520967.90650100843</v>
      </c>
      <c r="AX95">
        <f t="shared" si="95"/>
        <v>-178188.33790410298</v>
      </c>
      <c r="AY95">
        <f t="shared" si="103"/>
        <v>-2.8120327299296783</v>
      </c>
      <c r="BA95">
        <f t="shared" si="80"/>
        <v>2.3560091289601783</v>
      </c>
      <c r="BB95">
        <f t="shared" si="96"/>
        <v>7.4435393780682579</v>
      </c>
      <c r="BC95">
        <f t="shared" si="97"/>
        <v>0.95183344768636147</v>
      </c>
      <c r="BD95">
        <f t="shared" si="81"/>
        <v>-125.46396058586875</v>
      </c>
      <c r="BF95">
        <f t="shared" si="82"/>
        <v>-0.83673680967807318</v>
      </c>
      <c r="BG95">
        <f t="shared" si="83"/>
        <v>-115.22099150079494</v>
      </c>
      <c r="BH95">
        <f t="shared" si="98"/>
        <v>64.779008499205062</v>
      </c>
      <c r="BI95">
        <f t="shared" si="99"/>
        <v>64.779008499205062</v>
      </c>
      <c r="BJ95">
        <f t="shared" si="84"/>
        <v>0</v>
      </c>
      <c r="BK95">
        <f t="shared" si="100"/>
        <v>0</v>
      </c>
      <c r="BM95">
        <f t="shared" si="101"/>
        <v>-8.2802761877463311</v>
      </c>
      <c r="BN95">
        <f t="shared" si="85"/>
        <v>-169.75703091492619</v>
      </c>
      <c r="BQ95" s="66">
        <f t="shared" si="102"/>
        <v>24.345500178353397</v>
      </c>
      <c r="BR95" s="71"/>
      <c r="BS95" s="71"/>
      <c r="BT95" s="71">
        <v>707.94600000000003</v>
      </c>
      <c r="BU95" s="71">
        <v>17.887</v>
      </c>
      <c r="BV95" s="71">
        <v>-262.84989999999999</v>
      </c>
      <c r="BW95" s="75"/>
      <c r="BY95" s="71"/>
      <c r="BZ95" s="71"/>
      <c r="CA95" s="71"/>
      <c r="CC95" s="71"/>
    </row>
    <row r="96" spans="1:81" x14ac:dyDescent="0.15">
      <c r="A96">
        <f t="shared" si="54"/>
        <v>31000</v>
      </c>
      <c r="B96">
        <f t="shared" si="86"/>
        <v>31</v>
      </c>
      <c r="C96">
        <f t="shared" si="55"/>
        <v>1.0082292018787498</v>
      </c>
      <c r="D96">
        <f t="shared" si="56"/>
        <v>0.12785274507622804</v>
      </c>
      <c r="F96">
        <f t="shared" si="57"/>
        <v>2.4659539659964043E-2</v>
      </c>
      <c r="G96">
        <f t="shared" si="58"/>
        <v>5.2065262917468547E-2</v>
      </c>
      <c r="H96">
        <f t="shared" si="59"/>
        <v>-3.0895273870825317</v>
      </c>
      <c r="J96">
        <f t="shared" si="60"/>
        <v>15</v>
      </c>
      <c r="M96">
        <f t="shared" si="61"/>
        <v>3.0742697174764605E-2</v>
      </c>
      <c r="N96">
        <f t="shared" si="62"/>
        <v>-1.5707963250000001</v>
      </c>
      <c r="O96">
        <f t="shared" si="63"/>
        <v>13.214673103907726</v>
      </c>
      <c r="P96">
        <f t="shared" si="64"/>
        <v>1.4950504591519083</v>
      </c>
      <c r="Q96">
        <f t="shared" si="65"/>
        <v>6.0469944784947103</v>
      </c>
      <c r="R96">
        <f t="shared" si="66"/>
        <v>1.4046617326944195</v>
      </c>
      <c r="S96">
        <f t="shared" si="67"/>
        <v>0.9928329319104493</v>
      </c>
      <c r="T96">
        <f t="shared" si="68"/>
        <v>-0.11979687503204266</v>
      </c>
      <c r="U96">
        <f t="shared" si="69"/>
        <v>0.97310940179837369</v>
      </c>
      <c r="V96">
        <f t="shared" si="70"/>
        <v>-0.23243058030849906</v>
      </c>
      <c r="X96">
        <f t="shared" si="87"/>
        <v>-1.0597739553229981</v>
      </c>
      <c r="Y96">
        <f t="shared" si="71"/>
        <v>-113.73133352921901</v>
      </c>
      <c r="Z96">
        <f t="shared" si="88"/>
        <v>66.268666470780985</v>
      </c>
      <c r="AC96">
        <v>1</v>
      </c>
      <c r="AD96">
        <f t="shared" si="72"/>
        <v>13.176782051895001</v>
      </c>
      <c r="AE96">
        <f t="shared" si="73"/>
        <v>-3.8498355929743295E-4</v>
      </c>
      <c r="AF96">
        <f t="shared" si="74"/>
        <v>1.6264025149050002E-3</v>
      </c>
      <c r="AG96">
        <f t="shared" si="89"/>
        <v>7534.111435359192</v>
      </c>
      <c r="AH96">
        <f t="shared" si="90"/>
        <v>-2398.2433627483083</v>
      </c>
      <c r="AJ96">
        <f t="shared" si="75"/>
        <v>20000</v>
      </c>
      <c r="AK96">
        <f t="shared" si="76"/>
        <v>2407.4652795480001</v>
      </c>
      <c r="AL96">
        <v>1</v>
      </c>
      <c r="AM96">
        <f t="shared" si="77"/>
        <v>5.9637355929774003</v>
      </c>
      <c r="AN96">
        <f t="shared" si="91"/>
        <v>939.59833572320736</v>
      </c>
      <c r="AO96">
        <f t="shared" si="92"/>
        <v>-3196.0507583068197</v>
      </c>
      <c r="AQ96">
        <f t="shared" si="78"/>
        <v>2.6007802340702209</v>
      </c>
      <c r="AR96">
        <f t="shared" si="79"/>
        <v>-161.24837451235371</v>
      </c>
      <c r="AT96">
        <f t="shared" si="104"/>
        <v>-367118.27582584118</v>
      </c>
      <c r="AU96">
        <f t="shared" si="105"/>
        <v>-1221100.5262809317</v>
      </c>
      <c r="AV96">
        <f t="shared" si="93"/>
        <v>-1.8628451409027478</v>
      </c>
      <c r="AW96">
        <f t="shared" si="94"/>
        <v>-504594.38168533216</v>
      </c>
      <c r="AX96">
        <f t="shared" si="95"/>
        <v>-172327.58095031654</v>
      </c>
      <c r="AY96">
        <f t="shared" si="103"/>
        <v>-2.8124949314999355</v>
      </c>
      <c r="BA96">
        <f t="shared" si="80"/>
        <v>2.3913550994876447</v>
      </c>
      <c r="BB96">
        <f t="shared" si="96"/>
        <v>7.5728814118789938</v>
      </c>
      <c r="BC96">
        <f t="shared" si="97"/>
        <v>0.94964979059718768</v>
      </c>
      <c r="BD96">
        <f t="shared" si="81"/>
        <v>-125.58907492112519</v>
      </c>
      <c r="BF96">
        <f t="shared" si="82"/>
        <v>-0.99440866726190746</v>
      </c>
      <c r="BG96">
        <f t="shared" si="83"/>
        <v>-115.28053239290614</v>
      </c>
      <c r="BH96">
        <f t="shared" si="98"/>
        <v>64.719467607093861</v>
      </c>
      <c r="BI96">
        <f t="shared" si="99"/>
        <v>64.719467607093861</v>
      </c>
      <c r="BJ96">
        <f t="shared" si="84"/>
        <v>0</v>
      </c>
      <c r="BK96">
        <f t="shared" si="100"/>
        <v>0</v>
      </c>
      <c r="BM96">
        <f t="shared" si="101"/>
        <v>-8.5672900791408999</v>
      </c>
      <c r="BN96">
        <f t="shared" si="85"/>
        <v>-169.69145747178095</v>
      </c>
      <c r="BQ96" s="66">
        <f t="shared" si="102"/>
        <v>24.47484221216413</v>
      </c>
      <c r="BR96" s="71"/>
      <c r="BS96" s="71"/>
      <c r="BT96" s="71">
        <v>724.43600000000004</v>
      </c>
      <c r="BU96" s="71">
        <v>17.753599999999999</v>
      </c>
      <c r="BV96" s="71">
        <v>-262.81690000000003</v>
      </c>
      <c r="BW96" s="75"/>
      <c r="BY96" s="71"/>
      <c r="BZ96" s="71"/>
      <c r="CA96" s="71"/>
      <c r="CC96" s="71"/>
    </row>
    <row r="97" spans="1:81" x14ac:dyDescent="0.15">
      <c r="A97">
        <f t="shared" si="54"/>
        <v>31500</v>
      </c>
      <c r="B97">
        <f t="shared" si="86"/>
        <v>31.5</v>
      </c>
      <c r="C97">
        <f t="shared" si="55"/>
        <v>1.008495673505579</v>
      </c>
      <c r="D97">
        <f t="shared" si="56"/>
        <v>0.12989194965369272</v>
      </c>
      <c r="F97">
        <f t="shared" si="57"/>
        <v>2.3865115862399713E-2</v>
      </c>
      <c r="G97">
        <f t="shared" si="58"/>
        <v>5.1199891246061613E-2</v>
      </c>
      <c r="H97">
        <f t="shared" si="59"/>
        <v>-3.0903927587539384</v>
      </c>
      <c r="J97">
        <f t="shared" si="60"/>
        <v>15</v>
      </c>
      <c r="M97">
        <f t="shared" si="61"/>
        <v>3.0254717854530249E-2</v>
      </c>
      <c r="N97">
        <f t="shared" si="62"/>
        <v>-1.5707963250000001</v>
      </c>
      <c r="O97">
        <f t="shared" si="63"/>
        <v>13.426602085270856</v>
      </c>
      <c r="P97">
        <f t="shared" si="64"/>
        <v>1.4962482892857827</v>
      </c>
      <c r="Q97">
        <f t="shared" si="65"/>
        <v>6.1418799655865088</v>
      </c>
      <c r="R97">
        <f t="shared" si="66"/>
        <v>1.4072516522799117</v>
      </c>
      <c r="S97">
        <f t="shared" si="67"/>
        <v>0.9926024515176689</v>
      </c>
      <c r="T97">
        <f t="shared" si="68"/>
        <v>-0.12171020612815205</v>
      </c>
      <c r="U97">
        <f t="shared" si="69"/>
        <v>0.97227100734492344</v>
      </c>
      <c r="V97">
        <f t="shared" si="70"/>
        <v>-0.23604278543961221</v>
      </c>
      <c r="X97">
        <f t="shared" si="87"/>
        <v>-1.21695850928657</v>
      </c>
      <c r="Y97">
        <f t="shared" si="71"/>
        <v>-113.76364569048022</v>
      </c>
      <c r="Z97">
        <f t="shared" si="88"/>
        <v>66.236354309519783</v>
      </c>
      <c r="AC97">
        <v>1</v>
      </c>
      <c r="AD97">
        <f t="shared" si="72"/>
        <v>13.389310794667503</v>
      </c>
      <c r="AE97">
        <f t="shared" si="73"/>
        <v>-3.9750253560132966E-4</v>
      </c>
      <c r="AF97">
        <f t="shared" si="74"/>
        <v>1.6526348135325001E-3</v>
      </c>
      <c r="AG97">
        <f t="shared" si="89"/>
        <v>7521.1348138747771</v>
      </c>
      <c r="AH97">
        <f t="shared" si="90"/>
        <v>-2414.1268999330559</v>
      </c>
      <c r="AJ97">
        <f t="shared" si="75"/>
        <v>20000</v>
      </c>
      <c r="AK97">
        <f t="shared" si="76"/>
        <v>2446.2953647019999</v>
      </c>
      <c r="AL97">
        <v>1</v>
      </c>
      <c r="AM97">
        <f t="shared" si="77"/>
        <v>6.0599248767351002</v>
      </c>
      <c r="AN97">
        <f t="shared" si="91"/>
        <v>923.16763696351381</v>
      </c>
      <c r="AO97">
        <f t="shared" si="92"/>
        <v>-3148.0311639299548</v>
      </c>
      <c r="AQ97">
        <f t="shared" si="78"/>
        <v>2.5188916876574305</v>
      </c>
      <c r="AR97">
        <f t="shared" si="79"/>
        <v>-158.69017632241813</v>
      </c>
      <c r="AT97">
        <f t="shared" si="104"/>
        <v>-364153.29945064918</v>
      </c>
      <c r="AU97">
        <f t="shared" si="105"/>
        <v>-1199611.1339396574</v>
      </c>
      <c r="AV97">
        <f t="shared" si="93"/>
        <v>-1.8655154667518326</v>
      </c>
      <c r="AW97">
        <f t="shared" si="94"/>
        <v>-488964.28433069296</v>
      </c>
      <c r="AX97">
        <f t="shared" si="95"/>
        <v>-166789.51296459392</v>
      </c>
      <c r="AY97">
        <f t="shared" si="103"/>
        <v>-2.8128615076399082</v>
      </c>
      <c r="BA97">
        <f t="shared" si="80"/>
        <v>2.4266274193759259</v>
      </c>
      <c r="BB97">
        <f t="shared" si="96"/>
        <v>7.7000620109364277</v>
      </c>
      <c r="BC97">
        <f t="shared" si="97"/>
        <v>0.94734604088807561</v>
      </c>
      <c r="BD97">
        <f t="shared" si="81"/>
        <v>-125.72107005666263</v>
      </c>
      <c r="BF97">
        <f t="shared" si="82"/>
        <v>-1.1493610766287639</v>
      </c>
      <c r="BG97">
        <f t="shared" si="83"/>
        <v>-115.34527185699602</v>
      </c>
      <c r="BH97">
        <f t="shared" si="98"/>
        <v>64.654728143003979</v>
      </c>
      <c r="BI97">
        <f t="shared" si="99"/>
        <v>64.654728143003979</v>
      </c>
      <c r="BJ97">
        <f t="shared" si="84"/>
        <v>0</v>
      </c>
      <c r="BK97">
        <f t="shared" si="100"/>
        <v>0</v>
      </c>
      <c r="BM97">
        <f t="shared" si="101"/>
        <v>-8.8494230875651922</v>
      </c>
      <c r="BN97">
        <f t="shared" si="85"/>
        <v>-169.62420180033342</v>
      </c>
      <c r="BQ97" s="66">
        <f t="shared" si="102"/>
        <v>24.602022811221566</v>
      </c>
      <c r="BR97" s="71"/>
      <c r="BS97" s="71"/>
      <c r="BT97" s="71">
        <v>741.31</v>
      </c>
      <c r="BU97" s="71">
        <v>17.416399999999999</v>
      </c>
      <c r="BV97" s="71">
        <v>-262.19720000000001</v>
      </c>
      <c r="BW97" s="75"/>
      <c r="BY97" s="71"/>
      <c r="BZ97" s="71"/>
      <c r="CA97" s="71"/>
      <c r="CC97" s="71"/>
    </row>
    <row r="98" spans="1:81" x14ac:dyDescent="0.15">
      <c r="A98">
        <f t="shared" si="54"/>
        <v>32000</v>
      </c>
      <c r="B98">
        <f t="shared" si="86"/>
        <v>32</v>
      </c>
      <c r="C98">
        <f t="shared" si="55"/>
        <v>1.0087663365900041</v>
      </c>
      <c r="D98">
        <f t="shared" si="56"/>
        <v>0.1319300684206588</v>
      </c>
      <c r="F98">
        <f t="shared" si="57"/>
        <v>2.3108739246767516E-2</v>
      </c>
      <c r="G98">
        <f t="shared" si="58"/>
        <v>5.0363397238221169E-2</v>
      </c>
      <c r="H98">
        <f t="shared" si="59"/>
        <v>-3.0912292527617788</v>
      </c>
      <c r="J98">
        <f t="shared" si="60"/>
        <v>15</v>
      </c>
      <c r="M98">
        <f t="shared" si="61"/>
        <v>2.978198788805321E-2</v>
      </c>
      <c r="N98">
        <f t="shared" si="62"/>
        <v>-1.5707963250000001</v>
      </c>
      <c r="O98">
        <f t="shared" si="63"/>
        <v>13.638549732367663</v>
      </c>
      <c r="P98">
        <f t="shared" si="64"/>
        <v>1.4974088916762234</v>
      </c>
      <c r="Q98">
        <f t="shared" si="65"/>
        <v>6.2368053967572203</v>
      </c>
      <c r="R98">
        <f t="shared" si="66"/>
        <v>1.4097627500916008</v>
      </c>
      <c r="S98">
        <f t="shared" si="67"/>
        <v>0.99236844774823385</v>
      </c>
      <c r="T98">
        <f t="shared" si="68"/>
        <v>-0.12362264209573944</v>
      </c>
      <c r="U98">
        <f t="shared" si="69"/>
        <v>0.97142141398462212</v>
      </c>
      <c r="V98">
        <f t="shared" si="70"/>
        <v>-0.23964872469282769</v>
      </c>
      <c r="X98">
        <f t="shared" si="87"/>
        <v>-1.3715443982522753</v>
      </c>
      <c r="Y98">
        <f t="shared" si="71"/>
        <v>-113.80060434796827</v>
      </c>
      <c r="Z98">
        <f t="shared" si="88"/>
        <v>66.199395652031725</v>
      </c>
      <c r="AC98">
        <v>1</v>
      </c>
      <c r="AD98">
        <f t="shared" si="72"/>
        <v>13.601839537440002</v>
      </c>
      <c r="AE98">
        <f t="shared" si="73"/>
        <v>-4.1022181552608866E-4</v>
      </c>
      <c r="AF98">
        <f t="shared" si="74"/>
        <v>1.6788671121599999E-3</v>
      </c>
      <c r="AG98">
        <f t="shared" si="89"/>
        <v>7507.9962664407749</v>
      </c>
      <c r="AH98">
        <f t="shared" si="90"/>
        <v>-2430.1767720812923</v>
      </c>
      <c r="AJ98">
        <f t="shared" si="75"/>
        <v>20000</v>
      </c>
      <c r="AK98">
        <f t="shared" si="76"/>
        <v>2485.1254498560002</v>
      </c>
      <c r="AL98">
        <v>1</v>
      </c>
      <c r="AM98">
        <f t="shared" si="77"/>
        <v>6.1561141604928</v>
      </c>
      <c r="AN98">
        <f t="shared" si="91"/>
        <v>907.47469029057595</v>
      </c>
      <c r="AO98">
        <f t="shared" si="92"/>
        <v>-3101.3923413306325</v>
      </c>
      <c r="AQ98">
        <f t="shared" si="78"/>
        <v>2.4408103490358801</v>
      </c>
      <c r="AR98">
        <f t="shared" si="79"/>
        <v>-156.21186233829633</v>
      </c>
      <c r="AT98">
        <f t="shared" si="104"/>
        <v>-361296.84439043677</v>
      </c>
      <c r="AU98">
        <f t="shared" si="105"/>
        <v>-1178769.6798249716</v>
      </c>
      <c r="AV98">
        <f t="shared" si="93"/>
        <v>-1.8682087579859208</v>
      </c>
      <c r="AW98">
        <f t="shared" si="94"/>
        <v>-474033.77785734215</v>
      </c>
      <c r="AX98">
        <f t="shared" si="95"/>
        <v>-161551.06461539387</v>
      </c>
      <c r="AY98">
        <f t="shared" si="103"/>
        <v>-2.8131365514129709</v>
      </c>
      <c r="BA98">
        <f t="shared" si="80"/>
        <v>2.4618236193594178</v>
      </c>
      <c r="BB98">
        <f t="shared" si="96"/>
        <v>7.8251386820363376</v>
      </c>
      <c r="BC98">
        <f t="shared" si="97"/>
        <v>0.94492779342705013</v>
      </c>
      <c r="BD98">
        <f t="shared" si="81"/>
        <v>-125.85962543015594</v>
      </c>
      <c r="BF98">
        <f t="shared" si="82"/>
        <v>-1.3016994736402296</v>
      </c>
      <c r="BG98">
        <f t="shared" si="83"/>
        <v>-115.41497920315433</v>
      </c>
      <c r="BH98">
        <f t="shared" si="98"/>
        <v>64.585020796845669</v>
      </c>
      <c r="BI98">
        <f t="shared" si="99"/>
        <v>64.585020796845669</v>
      </c>
      <c r="BJ98">
        <f t="shared" si="84"/>
        <v>0</v>
      </c>
      <c r="BK98">
        <f t="shared" si="100"/>
        <v>0</v>
      </c>
      <c r="BM98">
        <f t="shared" si="101"/>
        <v>-9.1268381556765679</v>
      </c>
      <c r="BN98">
        <f t="shared" si="85"/>
        <v>-169.55535377299839</v>
      </c>
      <c r="BQ98" s="66">
        <f t="shared" si="102"/>
        <v>24.727099482321474</v>
      </c>
      <c r="BR98" s="71"/>
      <c r="BS98" s="71"/>
      <c r="BT98" s="71">
        <v>758.57799999999997</v>
      </c>
      <c r="BU98" s="71">
        <v>17.283200000000001</v>
      </c>
      <c r="BV98" s="71">
        <v>-262.56690000000003</v>
      </c>
      <c r="BW98" s="75"/>
      <c r="BY98" s="71"/>
      <c r="BZ98" s="71"/>
      <c r="CA98" s="71"/>
      <c r="CC98" s="71"/>
    </row>
    <row r="99" spans="1:81" x14ac:dyDescent="0.15">
      <c r="A99">
        <f t="shared" si="54"/>
        <v>32500</v>
      </c>
      <c r="B99">
        <f t="shared" si="86"/>
        <v>32.5</v>
      </c>
      <c r="C99">
        <f t="shared" si="55"/>
        <v>1.0090411877591012</v>
      </c>
      <c r="D99">
        <f t="shared" si="56"/>
        <v>0.1339670853253922</v>
      </c>
      <c r="F99">
        <f t="shared" si="57"/>
        <v>2.2388002493083693E-2</v>
      </c>
      <c r="G99">
        <f t="shared" si="58"/>
        <v>4.9554333843191252E-2</v>
      </c>
      <c r="H99">
        <f t="shared" si="59"/>
        <v>-3.0920383161568088</v>
      </c>
      <c r="J99">
        <f t="shared" si="60"/>
        <v>15</v>
      </c>
      <c r="M99">
        <f t="shared" si="61"/>
        <v>2.9323803459006238E-2</v>
      </c>
      <c r="N99">
        <f t="shared" si="62"/>
        <v>-1.5707963250000001</v>
      </c>
      <c r="O99">
        <f t="shared" si="63"/>
        <v>13.850515188300443</v>
      </c>
      <c r="P99">
        <f t="shared" si="64"/>
        <v>1.4985339722997915</v>
      </c>
      <c r="Q99">
        <f t="shared" si="65"/>
        <v>6.3317689754907098</v>
      </c>
      <c r="R99">
        <f t="shared" si="66"/>
        <v>1.4121985402228168</v>
      </c>
      <c r="S99">
        <f t="shared" si="67"/>
        <v>0.99213092822665683</v>
      </c>
      <c r="T99">
        <f t="shared" si="68"/>
        <v>-0.12553416958360417</v>
      </c>
      <c r="U99">
        <f t="shared" si="69"/>
        <v>0.97056071724273596</v>
      </c>
      <c r="V99">
        <f t="shared" si="70"/>
        <v>-0.24324832082892128</v>
      </c>
      <c r="X99">
        <f t="shared" si="87"/>
        <v>-1.5236302811913194</v>
      </c>
      <c r="Y99">
        <f t="shared" si="71"/>
        <v>-113.84198905285827</v>
      </c>
      <c r="Z99">
        <f t="shared" si="88"/>
        <v>66.158010947141733</v>
      </c>
      <c r="AC99">
        <v>1</v>
      </c>
      <c r="AD99">
        <f t="shared" si="72"/>
        <v>13.814368280212502</v>
      </c>
      <c r="AE99">
        <f t="shared" si="73"/>
        <v>-4.2314139907171017E-4</v>
      </c>
      <c r="AF99">
        <f t="shared" si="74"/>
        <v>1.7050994107875002E-3</v>
      </c>
      <c r="AG99">
        <f t="shared" si="89"/>
        <v>7494.6977225543624</v>
      </c>
      <c r="AH99">
        <f t="shared" si="90"/>
        <v>-2446.3775270526248</v>
      </c>
      <c r="AJ99">
        <f t="shared" si="75"/>
        <v>20000</v>
      </c>
      <c r="AK99">
        <f t="shared" si="76"/>
        <v>2523.9555350099999</v>
      </c>
      <c r="AL99">
        <v>1</v>
      </c>
      <c r="AM99">
        <f t="shared" si="77"/>
        <v>6.2523034442504999</v>
      </c>
      <c r="AN99">
        <f t="shared" si="91"/>
        <v>892.4763564475021</v>
      </c>
      <c r="AO99">
        <f t="shared" si="92"/>
        <v>-3056.077462318854</v>
      </c>
      <c r="AQ99">
        <f t="shared" si="78"/>
        <v>2.3663038334122102</v>
      </c>
      <c r="AR99">
        <f t="shared" si="79"/>
        <v>-153.80974917179367</v>
      </c>
      <c r="AT99">
        <f t="shared" si="104"/>
        <v>-358541.98186433094</v>
      </c>
      <c r="AU99">
        <f t="shared" si="105"/>
        <v>-1158546.4493447379</v>
      </c>
      <c r="AV99">
        <f t="shared" si="93"/>
        <v>-1.8709236003383276</v>
      </c>
      <c r="AW99">
        <f t="shared" si="94"/>
        <v>-459762.17678736139</v>
      </c>
      <c r="AX99">
        <f t="shared" si="95"/>
        <v>-156591.15144149816</v>
      </c>
      <c r="AY99">
        <f t="shared" si="103"/>
        <v>-2.8133239136155188</v>
      </c>
      <c r="BA99">
        <f t="shared" si="80"/>
        <v>2.4969412911207325</v>
      </c>
      <c r="BB99">
        <f t="shared" si="96"/>
        <v>7.9481666240229636</v>
      </c>
      <c r="BC99">
        <f t="shared" si="97"/>
        <v>0.9424003132771912</v>
      </c>
      <c r="BD99">
        <f t="shared" si="81"/>
        <v>-126.00443937571143</v>
      </c>
      <c r="BF99">
        <f t="shared" si="82"/>
        <v>-1.4515233841457855</v>
      </c>
      <c r="BG99">
        <f t="shared" si="83"/>
        <v>-115.48943659508515</v>
      </c>
      <c r="BH99">
        <f t="shared" si="98"/>
        <v>64.510563404914848</v>
      </c>
      <c r="BI99">
        <f t="shared" si="99"/>
        <v>64.510563404914848</v>
      </c>
      <c r="BJ99">
        <f t="shared" si="84"/>
        <v>0</v>
      </c>
      <c r="BK99">
        <f t="shared" si="100"/>
        <v>0</v>
      </c>
      <c r="BM99">
        <f t="shared" si="101"/>
        <v>-9.3996900081687489</v>
      </c>
      <c r="BN99">
        <f t="shared" si="85"/>
        <v>-169.48499721937375</v>
      </c>
      <c r="BQ99" s="66">
        <f t="shared" si="102"/>
        <v>24.850127424308099</v>
      </c>
      <c r="BR99" s="71"/>
      <c r="BS99" s="71"/>
      <c r="BT99" s="71">
        <v>776.24699999999996</v>
      </c>
      <c r="BU99" s="71">
        <v>17.007100000000001</v>
      </c>
      <c r="BV99" s="71">
        <v>-262.71769999999998</v>
      </c>
      <c r="BW99" s="75"/>
      <c r="BY99" s="71"/>
      <c r="BZ99" s="71"/>
      <c r="CA99" s="71"/>
      <c r="CC99" s="71"/>
    </row>
    <row r="100" spans="1:81" x14ac:dyDescent="0.15">
      <c r="A100">
        <f t="shared" si="54"/>
        <v>33000</v>
      </c>
      <c r="B100">
        <f t="shared" si="86"/>
        <v>33</v>
      </c>
      <c r="C100">
        <f t="shared" si="55"/>
        <v>1.0093202235914589</v>
      </c>
      <c r="D100">
        <f t="shared" si="56"/>
        <v>0.13600298437008654</v>
      </c>
      <c r="F100">
        <f t="shared" si="57"/>
        <v>2.1700686879501285E-2</v>
      </c>
      <c r="G100">
        <f t="shared" si="58"/>
        <v>4.877135051828508E-2</v>
      </c>
      <c r="H100">
        <f t="shared" si="59"/>
        <v>-3.0928212994817152</v>
      </c>
      <c r="J100">
        <f t="shared" si="60"/>
        <v>15</v>
      </c>
      <c r="M100">
        <f t="shared" si="61"/>
        <v>2.8879503406597055E-2</v>
      </c>
      <c r="N100">
        <f t="shared" si="62"/>
        <v>-1.5707963250000001</v>
      </c>
      <c r="O100">
        <f t="shared" si="63"/>
        <v>14.062497647766042</v>
      </c>
      <c r="P100">
        <f t="shared" si="64"/>
        <v>1.4996251346401923</v>
      </c>
      <c r="Q100">
        <f t="shared" si="65"/>
        <v>6.426769010752837</v>
      </c>
      <c r="R100">
        <f t="shared" si="66"/>
        <v>1.4145623326876446</v>
      </c>
      <c r="S100">
        <f t="shared" si="67"/>
        <v>0.99188990068214067</v>
      </c>
      <c r="T100">
        <f t="shared" si="68"/>
        <v>-0.12744477527978304</v>
      </c>
      <c r="U100">
        <f t="shared" si="69"/>
        <v>0.96968901342797609</v>
      </c>
      <c r="V100">
        <f t="shared" si="70"/>
        <v>-0.24684149753764639</v>
      </c>
      <c r="X100">
        <f t="shared" si="87"/>
        <v>-1.6733093385476538</v>
      </c>
      <c r="Y100">
        <f t="shared" si="71"/>
        <v>-113.88759144449226</v>
      </c>
      <c r="Z100">
        <f t="shared" si="88"/>
        <v>66.112408555507741</v>
      </c>
      <c r="AC100">
        <v>1</v>
      </c>
      <c r="AD100">
        <f t="shared" si="72"/>
        <v>14.026897022985001</v>
      </c>
      <c r="AE100">
        <f t="shared" si="73"/>
        <v>-4.3626128623819403E-4</v>
      </c>
      <c r="AF100">
        <f t="shared" si="74"/>
        <v>1.7313317094150001E-3</v>
      </c>
      <c r="AG100">
        <f t="shared" si="89"/>
        <v>7481.2411244874384</v>
      </c>
      <c r="AH100">
        <f t="shared" si="90"/>
        <v>-2462.7145985027046</v>
      </c>
      <c r="AJ100">
        <f t="shared" si="75"/>
        <v>20000</v>
      </c>
      <c r="AK100">
        <f t="shared" si="76"/>
        <v>2562.7856201640002</v>
      </c>
      <c r="AL100">
        <v>1</v>
      </c>
      <c r="AM100">
        <f t="shared" si="77"/>
        <v>6.3484927280082006</v>
      </c>
      <c r="AN100">
        <f t="shared" si="91"/>
        <v>878.13257675494128</v>
      </c>
      <c r="AO100">
        <f t="shared" si="92"/>
        <v>-3012.0326575918475</v>
      </c>
      <c r="AQ100">
        <f t="shared" si="78"/>
        <v>2.2951572182694515</v>
      </c>
      <c r="AR100">
        <f t="shared" si="79"/>
        <v>-151.4803764057838</v>
      </c>
      <c r="AT100">
        <f t="shared" si="104"/>
        <v>-355882.30979272677</v>
      </c>
      <c r="AU100">
        <f t="shared" si="105"/>
        <v>-1138913.5387070775</v>
      </c>
      <c r="AV100">
        <f t="shared" si="93"/>
        <v>-1.8736586606124774</v>
      </c>
      <c r="AW100">
        <f t="shared" si="94"/>
        <v>-446111.68169854721</v>
      </c>
      <c r="AX100">
        <f t="shared" si="95"/>
        <v>-151890.47629474764</v>
      </c>
      <c r="AY100">
        <f t="shared" si="103"/>
        <v>-2.8134272204260649</v>
      </c>
      <c r="BA100">
        <f t="shared" si="80"/>
        <v>2.5319780831297085</v>
      </c>
      <c r="BB100">
        <f t="shared" si="96"/>
        <v>8.0691988419377587</v>
      </c>
      <c r="BC100">
        <f t="shared" si="97"/>
        <v>0.93976855981358742</v>
      </c>
      <c r="BD100">
        <f t="shared" si="81"/>
        <v>-126.15522774206715</v>
      </c>
      <c r="BF100">
        <f t="shared" si="82"/>
        <v>-1.5989268614809116</v>
      </c>
      <c r="BG100">
        <f t="shared" si="83"/>
        <v>-115.56843817852941</v>
      </c>
      <c r="BH100">
        <f t="shared" si="98"/>
        <v>64.431561821470595</v>
      </c>
      <c r="BI100">
        <f t="shared" si="99"/>
        <v>64.431561821470595</v>
      </c>
      <c r="BJ100">
        <f t="shared" si="84"/>
        <v>0</v>
      </c>
      <c r="BK100">
        <f t="shared" si="100"/>
        <v>0</v>
      </c>
      <c r="BM100">
        <f t="shared" si="101"/>
        <v>-9.6681257034186689</v>
      </c>
      <c r="BN100">
        <f t="shared" si="85"/>
        <v>-169.41321043646226</v>
      </c>
      <c r="BQ100" s="66">
        <f t="shared" si="102"/>
        <v>24.971159642222894</v>
      </c>
      <c r="BR100" s="71"/>
      <c r="BS100" s="71"/>
      <c r="BT100" s="71">
        <v>794.32799999999997</v>
      </c>
      <c r="BU100" s="71">
        <v>16.8354</v>
      </c>
      <c r="BV100" s="71">
        <v>-262.79380000000003</v>
      </c>
      <c r="BW100" s="75"/>
      <c r="BY100" s="71"/>
      <c r="BZ100" s="71"/>
      <c r="CA100" s="71"/>
      <c r="CC100" s="71"/>
    </row>
    <row r="101" spans="1:81" x14ac:dyDescent="0.15">
      <c r="A101">
        <f t="shared" si="54"/>
        <v>33500</v>
      </c>
      <c r="B101">
        <f t="shared" si="86"/>
        <v>33.5</v>
      </c>
      <c r="C101">
        <f t="shared" si="55"/>
        <v>1.0096034406173853</v>
      </c>
      <c r="D101">
        <f t="shared" si="56"/>
        <v>0.13803774961155557</v>
      </c>
      <c r="F101">
        <f t="shared" si="57"/>
        <v>2.1044744724138663E-2</v>
      </c>
      <c r="G101">
        <f t="shared" si="58"/>
        <v>4.8013185219607644E-2</v>
      </c>
      <c r="H101">
        <f t="shared" si="59"/>
        <v>-3.0935794647803925</v>
      </c>
      <c r="J101">
        <f t="shared" si="60"/>
        <v>15</v>
      </c>
      <c r="M101">
        <f t="shared" si="61"/>
        <v>2.8448466042319483E-2</v>
      </c>
      <c r="N101">
        <f t="shared" si="62"/>
        <v>-1.5707963250000001</v>
      </c>
      <c r="O101">
        <f t="shared" si="63"/>
        <v>14.274496353234975</v>
      </c>
      <c r="P101">
        <f t="shared" si="64"/>
        <v>1.5006838872587871</v>
      </c>
      <c r="Q101">
        <f t="shared" si="65"/>
        <v>6.5218039094087299</v>
      </c>
      <c r="R101">
        <f t="shared" si="66"/>
        <v>1.4168572478983381</v>
      </c>
      <c r="S101">
        <f t="shared" si="67"/>
        <v>0.99164537294789479</v>
      </c>
      <c r="T101">
        <f t="shared" si="68"/>
        <v>-0.1293544459120676</v>
      </c>
      <c r="U101">
        <f t="shared" si="69"/>
        <v>0.96880639960518145</v>
      </c>
      <c r="V101">
        <f t="shared" si="70"/>
        <v>-0.25042817944370965</v>
      </c>
      <c r="X101">
        <f t="shared" si="87"/>
        <v>-1.8206696703028946</v>
      </c>
      <c r="Y101">
        <f t="shared" si="71"/>
        <v>-113.93721444635672</v>
      </c>
      <c r="Z101">
        <f t="shared" si="88"/>
        <v>66.06278555364328</v>
      </c>
      <c r="AC101">
        <v>1</v>
      </c>
      <c r="AD101">
        <f t="shared" si="72"/>
        <v>14.239425765757503</v>
      </c>
      <c r="AE101">
        <f t="shared" si="73"/>
        <v>-4.4958147702554017E-4</v>
      </c>
      <c r="AF101">
        <f t="shared" si="74"/>
        <v>1.7575640080425003E-3</v>
      </c>
      <c r="AG101">
        <f t="shared" si="89"/>
        <v>7467.6284266424391</v>
      </c>
      <c r="AH101">
        <f t="shared" si="90"/>
        <v>-2479.1742422973266</v>
      </c>
      <c r="AJ101">
        <f t="shared" si="75"/>
        <v>20000</v>
      </c>
      <c r="AK101">
        <f t="shared" si="76"/>
        <v>2601.615705318</v>
      </c>
      <c r="AL101">
        <v>1</v>
      </c>
      <c r="AM101">
        <f t="shared" si="77"/>
        <v>6.4446820117658996</v>
      </c>
      <c r="AN101">
        <f t="shared" si="91"/>
        <v>864.40611516498643</v>
      </c>
      <c r="AO101">
        <f t="shared" si="92"/>
        <v>-2969.2068359462305</v>
      </c>
      <c r="AQ101">
        <f t="shared" si="78"/>
        <v>2.2271714922048997</v>
      </c>
      <c r="AR101">
        <f t="shared" si="79"/>
        <v>-149.22048997772828</v>
      </c>
      <c r="AT101">
        <f t="shared" si="104"/>
        <v>-353311.90602957335</v>
      </c>
      <c r="AU101">
        <f t="shared" si="105"/>
        <v>-1119844.71899185</v>
      </c>
      <c r="AV101">
        <f t="shared" si="93"/>
        <v>-1.8764126807846306</v>
      </c>
      <c r="AW101">
        <f t="shared" si="94"/>
        <v>-433047.13953129121</v>
      </c>
      <c r="AX101">
        <f t="shared" si="95"/>
        <v>-147431.35396381409</v>
      </c>
      <c r="AY101">
        <f t="shared" si="103"/>
        <v>-2.8134498895573259</v>
      </c>
      <c r="BA101">
        <f t="shared" si="80"/>
        <v>2.5669316968671452</v>
      </c>
      <c r="BB101">
        <f t="shared" si="96"/>
        <v>8.1882862548597188</v>
      </c>
      <c r="BC101">
        <f t="shared" si="97"/>
        <v>0.93703720877269525</v>
      </c>
      <c r="BD101">
        <f t="shared" si="81"/>
        <v>-126.31172262925776</v>
      </c>
      <c r="BF101">
        <f t="shared" si="82"/>
        <v>-1.7439988842234992</v>
      </c>
      <c r="BG101">
        <f t="shared" si="83"/>
        <v>-115.65178927678782</v>
      </c>
      <c r="BH101">
        <f t="shared" si="98"/>
        <v>64.348210723212176</v>
      </c>
      <c r="BI101">
        <f t="shared" si="99"/>
        <v>64.348210723212176</v>
      </c>
      <c r="BJ101">
        <f t="shared" si="84"/>
        <v>0</v>
      </c>
      <c r="BK101">
        <f t="shared" si="100"/>
        <v>0</v>
      </c>
      <c r="BM101">
        <f t="shared" si="101"/>
        <v>-9.9322851390832163</v>
      </c>
      <c r="BN101">
        <f t="shared" si="85"/>
        <v>-169.34006664753008</v>
      </c>
      <c r="BQ101" s="66">
        <f t="shared" si="102"/>
        <v>25.090247055144857</v>
      </c>
      <c r="BR101" s="71"/>
      <c r="BS101" s="71"/>
      <c r="BT101" s="71">
        <v>812.83100000000002</v>
      </c>
      <c r="BU101" s="71">
        <v>16.6614</v>
      </c>
      <c r="BV101" s="71">
        <v>-262.23689999999999</v>
      </c>
      <c r="BW101" s="75"/>
      <c r="BY101" s="71"/>
      <c r="BZ101" s="71"/>
      <c r="CA101" s="71"/>
      <c r="CC101" s="71"/>
    </row>
    <row r="102" spans="1:81" x14ac:dyDescent="0.15">
      <c r="A102">
        <f t="shared" ref="A102:A165" si="106">A101+500</f>
        <v>34000</v>
      </c>
      <c r="B102">
        <f t="shared" si="86"/>
        <v>34</v>
      </c>
      <c r="C102">
        <f t="shared" si="55"/>
        <v>1.0098908353191183</v>
      </c>
      <c r="D102">
        <f t="shared" si="56"/>
        <v>0.14007136516191915</v>
      </c>
      <c r="F102">
        <f t="shared" si="57"/>
        <v>2.0418283714898341E-2</v>
      </c>
      <c r="G102">
        <f t="shared" si="58"/>
        <v>4.7278657184932169E-2</v>
      </c>
      <c r="H102">
        <f t="shared" si="59"/>
        <v>-3.094313992815068</v>
      </c>
      <c r="J102">
        <f t="shared" si="60"/>
        <v>15</v>
      </c>
      <c r="M102">
        <f t="shared" si="61"/>
        <v>2.8030106247579494E-2</v>
      </c>
      <c r="N102">
        <f t="shared" si="62"/>
        <v>-1.5707963250000001</v>
      </c>
      <c r="O102">
        <f t="shared" si="63"/>
        <v>14.486510591464759</v>
      </c>
      <c r="P102">
        <f t="shared" si="64"/>
        <v>1.5017116507049328</v>
      </c>
      <c r="Q102">
        <f t="shared" si="65"/>
        <v>6.6168721692809358</v>
      </c>
      <c r="R102">
        <f t="shared" si="66"/>
        <v>1.4190862299381695</v>
      </c>
      <c r="S102">
        <f t="shared" si="67"/>
        <v>0.99139735296044262</v>
      </c>
      <c r="T102">
        <f t="shared" si="68"/>
        <v>-0.13126316824851705</v>
      </c>
      <c r="U102">
        <f t="shared" si="69"/>
        <v>0.9679129735680122</v>
      </c>
      <c r="V102">
        <f t="shared" si="70"/>
        <v>-0.25400829211243731</v>
      </c>
      <c r="X102">
        <f t="shared" si="87"/>
        <v>-1.9657946585349086</v>
      </c>
      <c r="Y102">
        <f t="shared" si="71"/>
        <v>-113.99067152349625</v>
      </c>
      <c r="Z102">
        <f t="shared" si="88"/>
        <v>66.009328476503754</v>
      </c>
      <c r="AC102">
        <v>1</v>
      </c>
      <c r="AD102">
        <f t="shared" si="72"/>
        <v>14.451954508530001</v>
      </c>
      <c r="AE102">
        <f t="shared" si="73"/>
        <v>-4.6310197143374865E-4</v>
      </c>
      <c r="AF102">
        <f t="shared" si="74"/>
        <v>1.7837963066700002E-3</v>
      </c>
      <c r="AG102">
        <f t="shared" si="89"/>
        <v>7453.8615949100695</v>
      </c>
      <c r="AH102">
        <f t="shared" si="90"/>
        <v>-2495.7434785297792</v>
      </c>
      <c r="AJ102">
        <f t="shared" si="75"/>
        <v>20000</v>
      </c>
      <c r="AK102">
        <f t="shared" si="76"/>
        <v>2640.4457904720002</v>
      </c>
      <c r="AL102">
        <v>1</v>
      </c>
      <c r="AM102">
        <f t="shared" si="77"/>
        <v>6.5408712955235995</v>
      </c>
      <c r="AN102">
        <f t="shared" si="91"/>
        <v>851.26232493828672</v>
      </c>
      <c r="AO102">
        <f t="shared" si="92"/>
        <v>-2927.5515156775223</v>
      </c>
      <c r="AQ102">
        <f t="shared" si="78"/>
        <v>2.1621621621621623</v>
      </c>
      <c r="AR102">
        <f t="shared" si="79"/>
        <v>-147.02702702702703</v>
      </c>
      <c r="AT102">
        <f t="shared" si="104"/>
        <v>-350825.28636781604</v>
      </c>
      <c r="AU102">
        <f t="shared" si="105"/>
        <v>-1101315.3122863017</v>
      </c>
      <c r="AV102">
        <f t="shared" si="93"/>
        <v>-1.8791844726194462</v>
      </c>
      <c r="AW102">
        <f t="shared" si="94"/>
        <v>-420535.82654834737</v>
      </c>
      <c r="AX102">
        <f t="shared" si="95"/>
        <v>-143197.5552190028</v>
      </c>
      <c r="AY102">
        <f t="shared" si="103"/>
        <v>-2.8133951450561558</v>
      </c>
      <c r="BA102">
        <f t="shared" si="80"/>
        <v>2.6017998833949703</v>
      </c>
      <c r="BB102">
        <f t="shared" si="96"/>
        <v>8.3054777977817142</v>
      </c>
      <c r="BC102">
        <f t="shared" si="97"/>
        <v>0.93421067243670963</v>
      </c>
      <c r="BD102">
        <f t="shared" si="81"/>
        <v>-126.47367123213516</v>
      </c>
      <c r="BF102">
        <f t="shared" si="82"/>
        <v>-1.8868237184426588</v>
      </c>
      <c r="BG102">
        <f t="shared" si="83"/>
        <v>-115.73930564771311</v>
      </c>
      <c r="BH102">
        <f t="shared" si="98"/>
        <v>64.26069435228689</v>
      </c>
      <c r="BI102">
        <f t="shared" si="99"/>
        <v>64.26069435228689</v>
      </c>
      <c r="BJ102">
        <f t="shared" si="84"/>
        <v>0</v>
      </c>
      <c r="BK102">
        <f t="shared" si="100"/>
        <v>0</v>
      </c>
      <c r="BM102">
        <f t="shared" si="101"/>
        <v>-10.192301516224374</v>
      </c>
      <c r="BN102">
        <f t="shared" si="85"/>
        <v>-169.26563441557795</v>
      </c>
      <c r="BQ102" s="66">
        <f t="shared" si="102"/>
        <v>25.207438598066851</v>
      </c>
      <c r="BR102" s="71"/>
      <c r="BS102" s="71"/>
      <c r="BT102" s="71">
        <v>831.76400000000001</v>
      </c>
      <c r="BU102" s="71">
        <v>16.509799999999998</v>
      </c>
      <c r="BV102" s="71">
        <v>-262.34320000000002</v>
      </c>
      <c r="BW102" s="75"/>
      <c r="BY102" s="71"/>
      <c r="BZ102" s="71"/>
      <c r="CA102" s="71"/>
      <c r="CC102" s="71"/>
    </row>
    <row r="103" spans="1:81" x14ac:dyDescent="0.15">
      <c r="A103">
        <f t="shared" si="106"/>
        <v>34500</v>
      </c>
      <c r="B103">
        <f t="shared" si="86"/>
        <v>34.5</v>
      </c>
      <c r="C103">
        <f t="shared" si="55"/>
        <v>1.0101824041310385</v>
      </c>
      <c r="D103">
        <f t="shared" si="56"/>
        <v>0.14210381518928281</v>
      </c>
      <c r="F103">
        <f t="shared" si="57"/>
        <v>1.9819552897649133E-2</v>
      </c>
      <c r="G103">
        <f t="shared" si="58"/>
        <v>4.6566660418132184E-2</v>
      </c>
      <c r="H103">
        <f t="shared" si="59"/>
        <v>-3.0950259895818681</v>
      </c>
      <c r="J103">
        <f t="shared" si="60"/>
        <v>15</v>
      </c>
      <c r="M103">
        <f t="shared" si="61"/>
        <v>2.7623872823701531E-2</v>
      </c>
      <c r="N103">
        <f t="shared" si="62"/>
        <v>-1.5707963250000001</v>
      </c>
      <c r="O103">
        <f t="shared" si="63"/>
        <v>14.698539690313851</v>
      </c>
      <c r="P103">
        <f t="shared" si="64"/>
        <v>1.502709763832238</v>
      </c>
      <c r="Q103">
        <f t="shared" si="65"/>
        <v>6.711972372786545</v>
      </c>
      <c r="R103">
        <f t="shared" si="66"/>
        <v>1.4212520587440007</v>
      </c>
      <c r="S103">
        <f t="shared" si="67"/>
        <v>0.99114584875892364</v>
      </c>
      <c r="T103">
        <f t="shared" si="68"/>
        <v>-0.13317092909796716</v>
      </c>
      <c r="U103">
        <f t="shared" si="69"/>
        <v>0.96700883381166358</v>
      </c>
      <c r="V103">
        <f t="shared" si="70"/>
        <v>-0.25758176205513478</v>
      </c>
      <c r="X103">
        <f t="shared" si="87"/>
        <v>-2.108763298190087</v>
      </c>
      <c r="Y103">
        <f t="shared" si="71"/>
        <v>-114.04778599622099</v>
      </c>
      <c r="Z103">
        <f t="shared" si="88"/>
        <v>65.952214003779005</v>
      </c>
      <c r="AC103">
        <v>1</v>
      </c>
      <c r="AD103">
        <f t="shared" si="72"/>
        <v>14.664483251302503</v>
      </c>
      <c r="AE103">
        <f t="shared" si="73"/>
        <v>-4.7682276946281943E-4</v>
      </c>
      <c r="AF103">
        <f t="shared" si="74"/>
        <v>1.8100286052975E-3</v>
      </c>
      <c r="AG103">
        <f t="shared" si="89"/>
        <v>7439.9426060292535</v>
      </c>
      <c r="AH103">
        <f t="shared" si="90"/>
        <v>-2512.410038571657</v>
      </c>
      <c r="AJ103">
        <f t="shared" si="75"/>
        <v>20000</v>
      </c>
      <c r="AK103">
        <f t="shared" si="76"/>
        <v>2679.275875626</v>
      </c>
      <c r="AL103">
        <v>1</v>
      </c>
      <c r="AM103">
        <f t="shared" si="77"/>
        <v>6.6370605792812993</v>
      </c>
      <c r="AN103">
        <f t="shared" si="91"/>
        <v>838.66893731966434</v>
      </c>
      <c r="AO103">
        <f t="shared" si="92"/>
        <v>-2887.0206673260827</v>
      </c>
      <c r="AQ103">
        <f t="shared" si="78"/>
        <v>2.0999580008399832</v>
      </c>
      <c r="AR103">
        <f t="shared" si="79"/>
        <v>-144.89710205795885</v>
      </c>
      <c r="AT103">
        <f t="shared" si="104"/>
        <v>-348417.36676903628</v>
      </c>
      <c r="AU103">
        <f t="shared" si="105"/>
        <v>-1083302.0786530664</v>
      </c>
      <c r="AV103">
        <f t="shared" si="93"/>
        <v>-1.8819729127471898</v>
      </c>
      <c r="AW103">
        <f t="shared" si="94"/>
        <v>-408547.25156225148</v>
      </c>
      <c r="AX103">
        <f t="shared" si="95"/>
        <v>-139174.16789366453</v>
      </c>
      <c r="AY103">
        <f t="shared" si="103"/>
        <v>-2.8132660308804991</v>
      </c>
      <c r="BA103">
        <f t="shared" si="80"/>
        <v>2.6365804402388093</v>
      </c>
      <c r="BB103">
        <f t="shared" si="96"/>
        <v>8.4208205178549882</v>
      </c>
      <c r="BC103">
        <f t="shared" si="97"/>
        <v>0.93129311813330928</v>
      </c>
      <c r="BD103">
        <f t="shared" si="81"/>
        <v>-126.64083478041125</v>
      </c>
      <c r="BF103">
        <f t="shared" si="82"/>
        <v>-2.0274812481602802</v>
      </c>
      <c r="BG103">
        <f t="shared" si="83"/>
        <v>-115.83081279702819</v>
      </c>
      <c r="BH103">
        <f t="shared" si="98"/>
        <v>64.169187202971813</v>
      </c>
      <c r="BI103">
        <f t="shared" si="99"/>
        <v>64.169187202971813</v>
      </c>
      <c r="BJ103">
        <f t="shared" si="84"/>
        <v>0</v>
      </c>
      <c r="BK103">
        <f t="shared" si="100"/>
        <v>0</v>
      </c>
      <c r="BM103">
        <f t="shared" si="101"/>
        <v>-10.448301766015266</v>
      </c>
      <c r="BN103">
        <f t="shared" si="85"/>
        <v>-169.18997801661692</v>
      </c>
      <c r="BQ103" s="66">
        <f t="shared" si="102"/>
        <v>25.322781318140123</v>
      </c>
      <c r="BR103" s="71"/>
      <c r="BS103" s="71"/>
      <c r="BT103" s="71">
        <v>851.13800000000003</v>
      </c>
      <c r="BU103" s="71">
        <v>16.276800000000001</v>
      </c>
      <c r="BV103" s="71">
        <v>-262.197</v>
      </c>
      <c r="BW103" s="75"/>
      <c r="BY103" s="71"/>
      <c r="BZ103" s="71"/>
      <c r="CA103" s="71"/>
      <c r="CC103" s="71"/>
    </row>
    <row r="104" spans="1:81" x14ac:dyDescent="0.15">
      <c r="A104">
        <f t="shared" si="106"/>
        <v>35000</v>
      </c>
      <c r="B104">
        <f t="shared" si="86"/>
        <v>35</v>
      </c>
      <c r="C104">
        <f t="shared" si="55"/>
        <v>1.0104781434398857</v>
      </c>
      <c r="D104">
        <f t="shared" si="56"/>
        <v>0.14413508391841051</v>
      </c>
      <c r="F104">
        <f t="shared" si="57"/>
        <v>1.9246930124232963E-2</v>
      </c>
      <c r="G104">
        <f t="shared" si="58"/>
        <v>4.5876157796290437E-2</v>
      </c>
      <c r="H104">
        <f t="shared" si="59"/>
        <v>-3.0957164922037097</v>
      </c>
      <c r="J104">
        <f t="shared" si="60"/>
        <v>15</v>
      </c>
      <c r="M104">
        <f t="shared" si="61"/>
        <v>2.7229246069077222E-2</v>
      </c>
      <c r="N104">
        <f t="shared" si="62"/>
        <v>-1.5707963250000001</v>
      </c>
      <c r="O104">
        <f t="shared" si="63"/>
        <v>14.910583015826425</v>
      </c>
      <c r="P104">
        <f t="shared" si="64"/>
        <v>1.503679489579395</v>
      </c>
      <c r="Q104">
        <f t="shared" si="65"/>
        <v>6.8071031810980154</v>
      </c>
      <c r="R104">
        <f t="shared" si="66"/>
        <v>1.4233573613007566</v>
      </c>
      <c r="S104">
        <f t="shared" si="67"/>
        <v>0.99089086848438535</v>
      </c>
      <c r="T104">
        <f t="shared" si="68"/>
        <v>-0.13507771531053453</v>
      </c>
      <c r="U104">
        <f t="shared" si="69"/>
        <v>0.96609407950561543</v>
      </c>
      <c r="V104">
        <f t="shared" si="70"/>
        <v>-0.2611485167341388</v>
      </c>
      <c r="X104">
        <f t="shared" si="87"/>
        <v>-2.2496504993450457</v>
      </c>
      <c r="Y104">
        <f t="shared" si="71"/>
        <v>-114.1083904054104</v>
      </c>
      <c r="Z104">
        <f t="shared" si="88"/>
        <v>65.891609594589596</v>
      </c>
      <c r="AC104">
        <v>1</v>
      </c>
      <c r="AD104">
        <f t="shared" si="72"/>
        <v>14.877011994075001</v>
      </c>
      <c r="AE104">
        <f t="shared" si="73"/>
        <v>-4.9074387111275254E-4</v>
      </c>
      <c r="AF104">
        <f t="shared" si="74"/>
        <v>1.8362609039250003E-3</v>
      </c>
      <c r="AG104">
        <f t="shared" si="89"/>
        <v>7425.873446949653</v>
      </c>
      <c r="AH104">
        <f t="shared" si="90"/>
        <v>-2529.1623166525569</v>
      </c>
      <c r="AJ104">
        <f t="shared" si="75"/>
        <v>20000</v>
      </c>
      <c r="AK104">
        <f t="shared" si="76"/>
        <v>2718.1059607799998</v>
      </c>
      <c r="AL104">
        <v>1</v>
      </c>
      <c r="AM104">
        <f t="shared" si="77"/>
        <v>6.7332498630389992</v>
      </c>
      <c r="AN104">
        <f t="shared" si="91"/>
        <v>826.5958698949787</v>
      </c>
      <c r="AO104">
        <f t="shared" si="92"/>
        <v>-2847.5705669789681</v>
      </c>
      <c r="AQ104">
        <f t="shared" si="78"/>
        <v>2.0403999183840034</v>
      </c>
      <c r="AR104">
        <f t="shared" si="79"/>
        <v>-142.82799428688023</v>
      </c>
      <c r="AT104">
        <f t="shared" si="104"/>
        <v>-346083.42933835811</v>
      </c>
      <c r="AU104">
        <f t="shared" si="105"/>
        <v>-1065783.1128404986</v>
      </c>
      <c r="AV104">
        <f t="shared" si="93"/>
        <v>-1.8847769381571402</v>
      </c>
      <c r="AW104">
        <f t="shared" si="94"/>
        <v>-397052.97732037568</v>
      </c>
      <c r="AX104">
        <f t="shared" si="95"/>
        <v>-135347.47293806385</v>
      </c>
      <c r="AY104">
        <f t="shared" si="103"/>
        <v>-2.8130654233687329</v>
      </c>
      <c r="BA104">
        <f t="shared" si="80"/>
        <v>2.671271208552799</v>
      </c>
      <c r="BB104">
        <f t="shared" si="96"/>
        <v>8.5343596653209275</v>
      </c>
      <c r="BC104">
        <f t="shared" si="97"/>
        <v>0.92828848521159268</v>
      </c>
      <c r="BD104">
        <f t="shared" si="81"/>
        <v>-126.81298756600839</v>
      </c>
      <c r="BF104">
        <f t="shared" si="82"/>
        <v>-2.1660472773009474</v>
      </c>
      <c r="BG104">
        <f t="shared" si="83"/>
        <v>-115.92614534327586</v>
      </c>
      <c r="BH104">
        <f t="shared" si="98"/>
        <v>64.073854656724137</v>
      </c>
      <c r="BI104">
        <f t="shared" si="99"/>
        <v>64.073854656724137</v>
      </c>
      <c r="BJ104">
        <f t="shared" si="84"/>
        <v>0</v>
      </c>
      <c r="BK104">
        <f t="shared" si="100"/>
        <v>0</v>
      </c>
      <c r="BM104">
        <f t="shared" si="101"/>
        <v>-10.700406942621877</v>
      </c>
      <c r="BN104">
        <f t="shared" si="85"/>
        <v>-169.11315777726747</v>
      </c>
      <c r="BQ104" s="66">
        <f t="shared" si="102"/>
        <v>25.436320465606066</v>
      </c>
      <c r="BR104" s="71"/>
      <c r="BS104" s="71"/>
      <c r="BT104" s="71">
        <v>870.96400000000006</v>
      </c>
      <c r="BU104" s="71">
        <v>16.106100000000001</v>
      </c>
      <c r="BV104" s="71">
        <v>-261.76800000000003</v>
      </c>
      <c r="BW104" s="75"/>
      <c r="BY104" s="71"/>
      <c r="BZ104" s="71"/>
      <c r="CA104" s="71"/>
      <c r="CC104" s="71"/>
    </row>
    <row r="105" spans="1:81" x14ac:dyDescent="0.15">
      <c r="A105">
        <f t="shared" si="106"/>
        <v>35500</v>
      </c>
      <c r="B105">
        <f t="shared" si="86"/>
        <v>35.5</v>
      </c>
      <c r="C105">
        <f t="shared" si="55"/>
        <v>1.0107780495849747</v>
      </c>
      <c r="D105">
        <f t="shared" si="56"/>
        <v>0.14616515563139076</v>
      </c>
      <c r="F105">
        <f t="shared" si="57"/>
        <v>1.869891078821968E-2</v>
      </c>
      <c r="G105">
        <f t="shared" si="58"/>
        <v>4.5206175730638141E-2</v>
      </c>
      <c r="H105">
        <f t="shared" si="59"/>
        <v>-3.0963864742693619</v>
      </c>
      <c r="J105">
        <f t="shared" si="60"/>
        <v>15</v>
      </c>
      <c r="M105">
        <f t="shared" si="61"/>
        <v>2.684573556106205E-2</v>
      </c>
      <c r="N105">
        <f t="shared" si="62"/>
        <v>-1.5707963250000001</v>
      </c>
      <c r="O105">
        <f t="shared" si="63"/>
        <v>15.12263996956154</v>
      </c>
      <c r="P105">
        <f t="shared" si="64"/>
        <v>1.5046220202677174</v>
      </c>
      <c r="Q105">
        <f t="shared" si="65"/>
        <v>6.9022633287784121</v>
      </c>
      <c r="R105">
        <f t="shared" si="66"/>
        <v>1.4254046219392704</v>
      </c>
      <c r="S105">
        <f t="shared" si="67"/>
        <v>0.99063242037906996</v>
      </c>
      <c r="T105">
        <f t="shared" si="68"/>
        <v>-0.13698351377811699</v>
      </c>
      <c r="U105">
        <f t="shared" si="69"/>
        <v>0.96516881046643022</v>
      </c>
      <c r="V105">
        <f t="shared" si="70"/>
        <v>-0.26470848456756513</v>
      </c>
      <c r="X105">
        <f t="shared" si="87"/>
        <v>-2.3885273638480968</v>
      </c>
      <c r="Y105">
        <f t="shared" si="71"/>
        <v>-114.17232592513217</v>
      </c>
      <c r="Z105">
        <f t="shared" si="88"/>
        <v>65.827674074867829</v>
      </c>
      <c r="AC105">
        <v>1</v>
      </c>
      <c r="AD105">
        <f t="shared" si="72"/>
        <v>15.089540736847502</v>
      </c>
      <c r="AE105">
        <f t="shared" si="73"/>
        <v>-5.0486527638354817E-4</v>
      </c>
      <c r="AF105">
        <f t="shared" si="74"/>
        <v>1.8624932025525002E-3</v>
      </c>
      <c r="AG105">
        <f t="shared" si="89"/>
        <v>7411.6561141971233</v>
      </c>
      <c r="AH105">
        <f t="shared" si="90"/>
        <v>-2545.9893255209236</v>
      </c>
      <c r="AJ105">
        <f t="shared" si="75"/>
        <v>20000</v>
      </c>
      <c r="AK105">
        <f t="shared" si="76"/>
        <v>2756.936045934</v>
      </c>
      <c r="AL105">
        <v>1</v>
      </c>
      <c r="AM105">
        <f t="shared" si="77"/>
        <v>6.8294391467966999</v>
      </c>
      <c r="AN105">
        <f t="shared" si="91"/>
        <v>815.0150525803765</v>
      </c>
      <c r="AO105">
        <f t="shared" si="92"/>
        <v>-2809.159659386994</v>
      </c>
      <c r="AQ105">
        <f t="shared" si="78"/>
        <v>1.9833399444664817</v>
      </c>
      <c r="AR105">
        <f t="shared" si="79"/>
        <v>-140.81713605712019</v>
      </c>
      <c r="AT105">
        <f t="shared" si="104"/>
        <v>-343819.09162591922</v>
      </c>
      <c r="AU105">
        <f t="shared" si="105"/>
        <v>-1048737.749768974</v>
      </c>
      <c r="AV105">
        <f t="shared" si="93"/>
        <v>-1.8875955420667805</v>
      </c>
      <c r="AW105">
        <f t="shared" si="94"/>
        <v>-386026.45817849674</v>
      </c>
      <c r="AX105">
        <f t="shared" si="95"/>
        <v>-131704.83365524659</v>
      </c>
      <c r="AY105">
        <f t="shared" si="103"/>
        <v>-2.8127960427045702</v>
      </c>
      <c r="BA105">
        <f t="shared" si="80"/>
        <v>2.7058700705397265</v>
      </c>
      <c r="BB105">
        <f t="shared" si="96"/>
        <v>8.6461387794347981</v>
      </c>
      <c r="BC105">
        <f t="shared" si="97"/>
        <v>0.92520050063778969</v>
      </c>
      <c r="BD105">
        <f t="shared" si="81"/>
        <v>-126.98991604949097</v>
      </c>
      <c r="BF105">
        <f t="shared" si="82"/>
        <v>-2.3025938060209601</v>
      </c>
      <c r="BG105">
        <f t="shared" si="83"/>
        <v>-116.02514643011806</v>
      </c>
      <c r="BH105">
        <f t="shared" si="98"/>
        <v>63.974853569881944</v>
      </c>
      <c r="BI105">
        <f t="shared" si="99"/>
        <v>63.974853569881944</v>
      </c>
      <c r="BJ105">
        <f t="shared" si="84"/>
        <v>0</v>
      </c>
      <c r="BK105">
        <f t="shared" si="100"/>
        <v>0</v>
      </c>
      <c r="BM105">
        <f t="shared" si="101"/>
        <v>-10.948732585455758</v>
      </c>
      <c r="BN105">
        <f t="shared" si="85"/>
        <v>-169.0352303806271</v>
      </c>
      <c r="BQ105" s="66">
        <f t="shared" si="102"/>
        <v>25.548099579719935</v>
      </c>
      <c r="BR105" s="71"/>
      <c r="BS105" s="71"/>
      <c r="BT105" s="71">
        <v>891.25099999999998</v>
      </c>
      <c r="BU105" s="71">
        <v>15.882400000000001</v>
      </c>
      <c r="BV105" s="71">
        <v>-261.38310000000001</v>
      </c>
      <c r="BW105" s="75"/>
      <c r="BY105" s="71"/>
      <c r="BZ105" s="71"/>
      <c r="CA105" s="71"/>
      <c r="CC105" s="71"/>
    </row>
    <row r="106" spans="1:81" x14ac:dyDescent="0.15">
      <c r="A106">
        <f t="shared" si="106"/>
        <v>36000</v>
      </c>
      <c r="B106">
        <f t="shared" si="86"/>
        <v>36</v>
      </c>
      <c r="C106">
        <f t="shared" si="55"/>
        <v>1.0110821188584183</v>
      </c>
      <c r="D106">
        <f t="shared" si="56"/>
        <v>0.1481940146682961</v>
      </c>
      <c r="F106">
        <f t="shared" si="57"/>
        <v>1.8174097698917997E-2</v>
      </c>
      <c r="G106">
        <f t="shared" si="58"/>
        <v>4.4555799321092722E-2</v>
      </c>
      <c r="H106">
        <f t="shared" si="59"/>
        <v>-3.0970368506789074</v>
      </c>
      <c r="J106">
        <f t="shared" si="60"/>
        <v>15</v>
      </c>
      <c r="M106">
        <f t="shared" si="61"/>
        <v>2.6472878122713962E-2</v>
      </c>
      <c r="N106">
        <f t="shared" si="62"/>
        <v>-1.5707963250000001</v>
      </c>
      <c r="O106">
        <f t="shared" si="63"/>
        <v>15.334709986143134</v>
      </c>
      <c r="P106">
        <f t="shared" si="64"/>
        <v>1.505538482461811</v>
      </c>
      <c r="Q106">
        <f t="shared" si="65"/>
        <v>6.997451618846922</v>
      </c>
      <c r="R106">
        <f t="shared" si="66"/>
        <v>1.4273961918195115</v>
      </c>
      <c r="S106">
        <f t="shared" si="67"/>
        <v>0.99037051278569244</v>
      </c>
      <c r="T106">
        <f t="shared" si="68"/>
        <v>-0.13888831143488933</v>
      </c>
      <c r="U106">
        <f t="shared" si="69"/>
        <v>0.96423312713061049</v>
      </c>
      <c r="V106">
        <f t="shared" si="70"/>
        <v>-0.26826159493375179</v>
      </c>
      <c r="X106">
        <f t="shared" si="87"/>
        <v>-2.525461438896619</v>
      </c>
      <c r="Y106">
        <f t="shared" si="71"/>
        <v>-114.23944181866717</v>
      </c>
      <c r="Z106">
        <f t="shared" si="88"/>
        <v>65.760558181332826</v>
      </c>
      <c r="AC106">
        <v>1</v>
      </c>
      <c r="AD106">
        <f t="shared" si="72"/>
        <v>15.302069479620002</v>
      </c>
      <c r="AE106">
        <f t="shared" si="73"/>
        <v>-5.1918698527520608E-4</v>
      </c>
      <c r="AF106">
        <f t="shared" si="74"/>
        <v>1.88872550118E-3</v>
      </c>
      <c r="AG106">
        <f t="shared" si="89"/>
        <v>7397.2926132423418</v>
      </c>
      <c r="AH106">
        <f t="shared" si="90"/>
        <v>-2562.8806557880657</v>
      </c>
      <c r="AJ106">
        <f t="shared" si="75"/>
        <v>20000</v>
      </c>
      <c r="AK106">
        <f t="shared" si="76"/>
        <v>2795.7661310879998</v>
      </c>
      <c r="AL106">
        <v>1</v>
      </c>
      <c r="AM106">
        <f t="shared" si="77"/>
        <v>6.9256284305543998</v>
      </c>
      <c r="AN106">
        <f t="shared" si="91"/>
        <v>803.90026942970599</v>
      </c>
      <c r="AO106">
        <f t="shared" si="92"/>
        <v>-2771.7484302047142</v>
      </c>
      <c r="AQ106">
        <f t="shared" si="78"/>
        <v>1.9286403085824493</v>
      </c>
      <c r="AR106">
        <f t="shared" si="79"/>
        <v>-138.86210221793635</v>
      </c>
      <c r="AT106">
        <f t="shared" si="104"/>
        <v>-341620.27888813574</v>
      </c>
      <c r="AU106">
        <f t="shared" si="105"/>
        <v>-1032146.4779348827</v>
      </c>
      <c r="AV106">
        <f t="shared" si="93"/>
        <v>-1.8904277701307668</v>
      </c>
      <c r="AW106">
        <f t="shared" si="94"/>
        <v>-375442.89240489947</v>
      </c>
      <c r="AX106">
        <f t="shared" si="95"/>
        <v>-128234.59656284383</v>
      </c>
      <c r="AY106">
        <f t="shared" si="103"/>
        <v>-2.8124604634699395</v>
      </c>
      <c r="BA106">
        <f t="shared" si="80"/>
        <v>2.7403749471024903</v>
      </c>
      <c r="BB106">
        <f t="shared" si="96"/>
        <v>8.7561997696714897</v>
      </c>
      <c r="BC106">
        <f t="shared" si="97"/>
        <v>0.9220326933391727</v>
      </c>
      <c r="BD106">
        <f t="shared" si="81"/>
        <v>-127.17141803821985</v>
      </c>
      <c r="BF106">
        <f t="shared" si="82"/>
        <v>-2.4371892839725899</v>
      </c>
      <c r="BG106">
        <f t="shared" si="83"/>
        <v>-116.12766718207686</v>
      </c>
      <c r="BH106">
        <f t="shared" si="98"/>
        <v>63.872332817923137</v>
      </c>
      <c r="BI106">
        <f t="shared" si="99"/>
        <v>63.872332817923137</v>
      </c>
      <c r="BJ106">
        <f t="shared" si="84"/>
        <v>0</v>
      </c>
      <c r="BK106">
        <f t="shared" si="100"/>
        <v>0</v>
      </c>
      <c r="BM106">
        <f t="shared" si="101"/>
        <v>-11.193389053644081</v>
      </c>
      <c r="BN106">
        <f t="shared" si="85"/>
        <v>-168.95624914385704</v>
      </c>
      <c r="BQ106" s="66">
        <f t="shared" si="102"/>
        <v>25.658160569956628</v>
      </c>
      <c r="BR106" s="71"/>
      <c r="BS106" s="71"/>
      <c r="BT106" s="71">
        <v>912.01099999999997</v>
      </c>
      <c r="BU106" s="71">
        <v>15.6715</v>
      </c>
      <c r="BV106" s="71">
        <v>-261.74869999999999</v>
      </c>
      <c r="BW106" s="75"/>
      <c r="BY106" s="71"/>
      <c r="BZ106" s="71"/>
      <c r="CA106" s="71"/>
      <c r="CC106" s="71"/>
    </row>
    <row r="107" spans="1:81" x14ac:dyDescent="0.15">
      <c r="A107">
        <f t="shared" si="106"/>
        <v>36500</v>
      </c>
      <c r="B107">
        <f t="shared" si="86"/>
        <v>36.5</v>
      </c>
      <c r="C107">
        <f t="shared" si="55"/>
        <v>1.0113903475053463</v>
      </c>
      <c r="D107">
        <f t="shared" si="56"/>
        <v>0.15022164542783548</v>
      </c>
      <c r="F107">
        <f t="shared" si="57"/>
        <v>1.7671191963476333E-2</v>
      </c>
      <c r="G107">
        <f t="shared" si="58"/>
        <v>4.3924167951576415E-2</v>
      </c>
      <c r="H107">
        <f t="shared" si="59"/>
        <v>-3.0976684820484239</v>
      </c>
      <c r="J107">
        <f t="shared" si="60"/>
        <v>15</v>
      </c>
      <c r="M107">
        <f t="shared" si="61"/>
        <v>2.6110235956649391E-2</v>
      </c>
      <c r="N107">
        <f t="shared" si="62"/>
        <v>-1.5707963250000001</v>
      </c>
      <c r="O107">
        <f t="shared" si="63"/>
        <v>15.546792531009878</v>
      </c>
      <c r="P107">
        <f t="shared" si="64"/>
        <v>1.5064299414347748</v>
      </c>
      <c r="Q107">
        <f t="shared" si="65"/>
        <v>7.0926669182351443</v>
      </c>
      <c r="R107">
        <f t="shared" si="66"/>
        <v>1.4293342976728123</v>
      </c>
      <c r="S107">
        <f t="shared" si="67"/>
        <v>0.99010515414671019</v>
      </c>
      <c r="T107">
        <f t="shared" si="68"/>
        <v>-0.14079209525779457</v>
      </c>
      <c r="U107">
        <f t="shared" si="69"/>
        <v>0.96328713052753001</v>
      </c>
      <c r="V107">
        <f t="shared" si="70"/>
        <v>-0.27180777817540092</v>
      </c>
      <c r="X107">
        <f t="shared" si="87"/>
        <v>-2.6605169498150354</v>
      </c>
      <c r="Y107">
        <f t="shared" si="71"/>
        <v>-114.30959493437683</v>
      </c>
      <c r="Z107">
        <f t="shared" si="88"/>
        <v>65.690405065623168</v>
      </c>
      <c r="AC107">
        <v>1</v>
      </c>
      <c r="AD107">
        <f t="shared" si="72"/>
        <v>15.514598222392502</v>
      </c>
      <c r="AE107">
        <f t="shared" si="73"/>
        <v>-5.3370899778772628E-4</v>
      </c>
      <c r="AF107">
        <f t="shared" si="74"/>
        <v>1.9149577998075003E-3</v>
      </c>
      <c r="AG107">
        <f t="shared" si="89"/>
        <v>7382.784957873032</v>
      </c>
      <c r="AH107">
        <f t="shared" si="90"/>
        <v>-2579.826438601066</v>
      </c>
      <c r="AJ107">
        <f t="shared" si="75"/>
        <v>20000</v>
      </c>
      <c r="AK107">
        <f t="shared" si="76"/>
        <v>2834.5962162420001</v>
      </c>
      <c r="AL107">
        <v>1</v>
      </c>
      <c r="AM107">
        <f t="shared" si="77"/>
        <v>7.0218177143120997</v>
      </c>
      <c r="AN107">
        <f t="shared" si="91"/>
        <v>793.22701465132809</v>
      </c>
      <c r="AO107">
        <f t="shared" si="92"/>
        <v>-2735.2992867075991</v>
      </c>
      <c r="AQ107">
        <f t="shared" si="78"/>
        <v>1.876172607879925</v>
      </c>
      <c r="AR107">
        <f t="shared" si="79"/>
        <v>-136.96060037523452</v>
      </c>
      <c r="AT107">
        <f t="shared" si="104"/>
        <v>-339483.19898687577</v>
      </c>
      <c r="AU107">
        <f t="shared" si="105"/>
        <v>-1015990.8599687287</v>
      </c>
      <c r="AV107">
        <f t="shared" si="93"/>
        <v>-1.8932727169575534</v>
      </c>
      <c r="AW107">
        <f t="shared" si="94"/>
        <v>-365279.08764234441</v>
      </c>
      <c r="AX107">
        <f t="shared" si="95"/>
        <v>-124926.0025259002</v>
      </c>
      <c r="AY107">
        <f t="shared" si="103"/>
        <v>-2.8120611243687219</v>
      </c>
      <c r="BA107">
        <f t="shared" si="80"/>
        <v>2.7747837957055288</v>
      </c>
      <c r="BB107">
        <f t="shared" si="96"/>
        <v>8.8645829924889092</v>
      </c>
      <c r="BC107">
        <f t="shared" si="97"/>
        <v>0.91878840741116852</v>
      </c>
      <c r="BD107">
        <f t="shared" si="81"/>
        <v>-127.35730192964058</v>
      </c>
      <c r="BF107">
        <f t="shared" si="82"/>
        <v>-2.569898842768346</v>
      </c>
      <c r="BG107">
        <f t="shared" si="83"/>
        <v>-116.23356620015507</v>
      </c>
      <c r="BH107">
        <f t="shared" si="98"/>
        <v>63.766433799844933</v>
      </c>
      <c r="BI107">
        <f t="shared" si="99"/>
        <v>63.766433799844933</v>
      </c>
      <c r="BJ107">
        <f t="shared" si="84"/>
        <v>0</v>
      </c>
      <c r="BK107">
        <f t="shared" si="100"/>
        <v>0</v>
      </c>
      <c r="BM107">
        <f t="shared" si="101"/>
        <v>-11.434481835257253</v>
      </c>
      <c r="BN107">
        <f t="shared" si="85"/>
        <v>-168.87626427051447</v>
      </c>
      <c r="BQ107" s="66">
        <f t="shared" si="102"/>
        <v>25.766543792774044</v>
      </c>
      <c r="BR107" s="71"/>
      <c r="BS107" s="71"/>
      <c r="BT107" s="71">
        <v>933.25400000000002</v>
      </c>
      <c r="BU107" s="71">
        <v>15.471399999999999</v>
      </c>
      <c r="BV107" s="71">
        <v>-261.20730000000003</v>
      </c>
      <c r="BW107" s="75"/>
      <c r="BY107" s="71"/>
      <c r="BZ107" s="71"/>
      <c r="CA107" s="71"/>
      <c r="CC107" s="71"/>
    </row>
    <row r="108" spans="1:81" x14ac:dyDescent="0.15">
      <c r="A108">
        <f t="shared" si="106"/>
        <v>37000</v>
      </c>
      <c r="B108">
        <f t="shared" si="86"/>
        <v>37</v>
      </c>
      <c r="C108">
        <f t="shared" si="55"/>
        <v>1.0117027317241349</v>
      </c>
      <c r="D108">
        <f t="shared" si="56"/>
        <v>0.15224803236800008</v>
      </c>
      <c r="F108">
        <f t="shared" si="57"/>
        <v>1.7188984763485987E-2</v>
      </c>
      <c r="G108">
        <f t="shared" si="58"/>
        <v>4.331047127969672E-2</v>
      </c>
      <c r="H108">
        <f t="shared" si="59"/>
        <v>-3.0982821787203036</v>
      </c>
      <c r="J108">
        <f t="shared" si="60"/>
        <v>15</v>
      </c>
      <c r="M108">
        <f t="shared" si="61"/>
        <v>2.5757394930208184E-2</v>
      </c>
      <c r="N108">
        <f t="shared" si="62"/>
        <v>-1.5707963250000001</v>
      </c>
      <c r="O108">
        <f t="shared" si="63"/>
        <v>15.758887098346129</v>
      </c>
      <c r="P108">
        <f t="shared" si="64"/>
        <v>1.5072974052749224</v>
      </c>
      <c r="Q108">
        <f t="shared" si="65"/>
        <v>7.1879081535986993</v>
      </c>
      <c r="R108">
        <f t="shared" si="66"/>
        <v>1.4312210498692657</v>
      </c>
      <c r="S108">
        <f t="shared" si="67"/>
        <v>0.98983635300358941</v>
      </c>
      <c r="T108">
        <f t="shared" si="68"/>
        <v>-0.14269485226703116</v>
      </c>
      <c r="U108">
        <f t="shared" si="69"/>
        <v>0.96233092225244998</v>
      </c>
      <c r="V108">
        <f t="shared" si="70"/>
        <v>-0.27534696560341948</v>
      </c>
      <c r="X108">
        <f t="shared" si="87"/>
        <v>-2.7937550140439389</v>
      </c>
      <c r="Y108">
        <f t="shared" si="71"/>
        <v>-114.38264923816327</v>
      </c>
      <c r="Z108">
        <f t="shared" si="88"/>
        <v>65.617350761836732</v>
      </c>
      <c r="AC108">
        <v>1</v>
      </c>
      <c r="AD108">
        <f t="shared" si="72"/>
        <v>15.727126965165001</v>
      </c>
      <c r="AE108">
        <f t="shared" si="73"/>
        <v>-5.4843131392110877E-4</v>
      </c>
      <c r="AF108">
        <f t="shared" si="74"/>
        <v>1.9411900984350001E-3</v>
      </c>
      <c r="AG108">
        <f t="shared" si="89"/>
        <v>7368.1351695700096</v>
      </c>
      <c r="AH108">
        <f t="shared" si="90"/>
        <v>-2596.8173113285661</v>
      </c>
      <c r="AJ108">
        <f t="shared" si="75"/>
        <v>20000</v>
      </c>
      <c r="AK108">
        <f t="shared" si="76"/>
        <v>2873.4263013960003</v>
      </c>
      <c r="AL108">
        <v>1</v>
      </c>
      <c r="AM108">
        <f t="shared" si="77"/>
        <v>7.1180069980698004</v>
      </c>
      <c r="AN108">
        <f t="shared" si="91"/>
        <v>782.97236140573455</v>
      </c>
      <c r="AO108">
        <f t="shared" si="92"/>
        <v>-2699.7764463852554</v>
      </c>
      <c r="AQ108">
        <f t="shared" si="78"/>
        <v>1.8258170531312763</v>
      </c>
      <c r="AR108">
        <f t="shared" si="79"/>
        <v>-135.11046193171444</v>
      </c>
      <c r="AT108">
        <f t="shared" si="104"/>
        <v>-337404.31964349805</v>
      </c>
      <c r="AU108">
        <f t="shared" si="105"/>
        <v>-1000253.4596668053</v>
      </c>
      <c r="AV108">
        <f t="shared" si="93"/>
        <v>-1.896129522904962</v>
      </c>
      <c r="AW108">
        <f t="shared" si="94"/>
        <v>-355513.3382181151</v>
      </c>
      <c r="AX108">
        <f t="shared" si="95"/>
        <v>-121769.106978792</v>
      </c>
      <c r="AY108">
        <f t="shared" si="103"/>
        <v>-2.8116003371957778</v>
      </c>
      <c r="BA108">
        <f t="shared" si="80"/>
        <v>2.8090946084269524</v>
      </c>
      <c r="BB108">
        <f t="shared" si="96"/>
        <v>8.9713273239094722</v>
      </c>
      <c r="BC108">
        <f t="shared" si="97"/>
        <v>0.91547081429081589</v>
      </c>
      <c r="BD108">
        <f t="shared" si="81"/>
        <v>-127.54738601379563</v>
      </c>
      <c r="BF108">
        <f t="shared" si="82"/>
        <v>-2.7007845096561738</v>
      </c>
      <c r="BG108">
        <f t="shared" si="83"/>
        <v>-116.34270909408568</v>
      </c>
      <c r="BH108">
        <f t="shared" si="98"/>
        <v>63.657290905914323</v>
      </c>
      <c r="BI108">
        <f t="shared" si="99"/>
        <v>63.657290905914323</v>
      </c>
      <c r="BJ108">
        <f t="shared" si="84"/>
        <v>0</v>
      </c>
      <c r="BK108">
        <f t="shared" si="100"/>
        <v>0</v>
      </c>
      <c r="BM108">
        <f t="shared" si="101"/>
        <v>-11.672111833565644</v>
      </c>
      <c r="BN108">
        <f t="shared" si="85"/>
        <v>-168.79532308029007</v>
      </c>
      <c r="BQ108" s="66">
        <f t="shared" si="102"/>
        <v>25.873288124194609</v>
      </c>
      <c r="BR108" s="71"/>
      <c r="BS108" s="71"/>
      <c r="BT108" s="71">
        <v>954.99300000000005</v>
      </c>
      <c r="BU108" s="71">
        <v>15.352499999999999</v>
      </c>
      <c r="BV108" s="71">
        <v>-261.26609999999999</v>
      </c>
      <c r="BW108" s="75"/>
      <c r="BY108" s="71"/>
      <c r="BZ108" s="71"/>
      <c r="CA108" s="71"/>
      <c r="CC108" s="71"/>
    </row>
    <row r="109" spans="1:81" x14ac:dyDescent="0.15">
      <c r="A109">
        <f t="shared" si="106"/>
        <v>37500</v>
      </c>
      <c r="B109">
        <f t="shared" si="86"/>
        <v>37.5</v>
      </c>
      <c r="C109">
        <f t="shared" si="55"/>
        <v>1.0120192676666304</v>
      </c>
      <c r="D109">
        <f t="shared" si="56"/>
        <v>0.15427316000670208</v>
      </c>
      <c r="F109">
        <f t="shared" si="57"/>
        <v>1.6726349926755195E-2</v>
      </c>
      <c r="G109">
        <f t="shared" si="58"/>
        <v>4.271394557990605E-2</v>
      </c>
      <c r="H109">
        <f t="shared" si="59"/>
        <v>-3.0988787044200943</v>
      </c>
      <c r="J109">
        <f t="shared" si="60"/>
        <v>15</v>
      </c>
      <c r="M109">
        <f t="shared" si="61"/>
        <v>2.5413962997805406E-2</v>
      </c>
      <c r="N109">
        <f t="shared" si="62"/>
        <v>-1.5707963250000001</v>
      </c>
      <c r="O109">
        <f t="shared" si="63"/>
        <v>15.970993209177211</v>
      </c>
      <c r="P109">
        <f t="shared" si="64"/>
        <v>1.5081418286671084</v>
      </c>
      <c r="Q109">
        <f t="shared" si="65"/>
        <v>7.283174307452331</v>
      </c>
      <c r="R109">
        <f t="shared" si="66"/>
        <v>1.4330584498698495</v>
      </c>
      <c r="S109">
        <f t="shared" si="67"/>
        <v>0.98956411799606048</v>
      </c>
      <c r="T109">
        <f t="shared" si="68"/>
        <v>-0.14459656952653513</v>
      </c>
      <c r="U109">
        <f t="shared" si="69"/>
        <v>0.96136460443963356</v>
      </c>
      <c r="V109">
        <f t="shared" si="70"/>
        <v>-0.27887908950046247</v>
      </c>
      <c r="X109">
        <f t="shared" si="87"/>
        <v>-2.9252338381288814</v>
      </c>
      <c r="Y109">
        <f t="shared" si="71"/>
        <v>-114.45847537955558</v>
      </c>
      <c r="Z109">
        <f t="shared" si="88"/>
        <v>65.54152462044442</v>
      </c>
      <c r="AC109">
        <v>1</v>
      </c>
      <c r="AD109">
        <f t="shared" si="72"/>
        <v>15.939655707937503</v>
      </c>
      <c r="AE109">
        <f t="shared" si="73"/>
        <v>-5.6335393367535377E-4</v>
      </c>
      <c r="AF109">
        <f t="shared" si="74"/>
        <v>1.9674223970625004E-3</v>
      </c>
      <c r="AG109">
        <f t="shared" si="89"/>
        <v>7353.3452768873958</v>
      </c>
      <c r="AH109">
        <f t="shared" si="90"/>
        <v>-2613.8443859771878</v>
      </c>
      <c r="AJ109">
        <f t="shared" si="75"/>
        <v>20000</v>
      </c>
      <c r="AK109">
        <f t="shared" si="76"/>
        <v>2912.2563865500001</v>
      </c>
      <c r="AL109">
        <v>1</v>
      </c>
      <c r="AM109">
        <f t="shared" si="77"/>
        <v>7.2141962818275003</v>
      </c>
      <c r="AN109">
        <f t="shared" si="91"/>
        <v>773.11484211360789</v>
      </c>
      <c r="AO109">
        <f t="shared" si="92"/>
        <v>-2665.1458328516451</v>
      </c>
      <c r="AQ109">
        <f t="shared" si="78"/>
        <v>1.7774617845716316</v>
      </c>
      <c r="AR109">
        <f t="shared" si="79"/>
        <v>-133.30963384287239</v>
      </c>
      <c r="AT109">
        <f t="shared" si="104"/>
        <v>-335380.34779843886</v>
      </c>
      <c r="AU109">
        <f t="shared" si="105"/>
        <v>-984917.7748889653</v>
      </c>
      <c r="AV109">
        <f t="shared" si="93"/>
        <v>-1.8989973711290016</v>
      </c>
      <c r="AW109">
        <f t="shared" si="94"/>
        <v>-346125.31313568575</v>
      </c>
      <c r="AX109">
        <f t="shared" si="95"/>
        <v>-118754.70820333553</v>
      </c>
      <c r="AY109">
        <f t="shared" si="103"/>
        <v>-2.8110802951182072</v>
      </c>
      <c r="BA109">
        <f t="shared" si="80"/>
        <v>2.8433054101842852</v>
      </c>
      <c r="BB109">
        <f t="shared" si="96"/>
        <v>9.0764702281663858</v>
      </c>
      <c r="BC109">
        <f t="shared" si="97"/>
        <v>0.91208292398920565</v>
      </c>
      <c r="BD109">
        <f t="shared" si="81"/>
        <v>-127.741497829753</v>
      </c>
      <c r="BF109">
        <f t="shared" si="82"/>
        <v>-2.8299054041939926</v>
      </c>
      <c r="BG109">
        <f t="shared" si="83"/>
        <v>-116.45496804824572</v>
      </c>
      <c r="BH109">
        <f t="shared" si="98"/>
        <v>63.545031951754282</v>
      </c>
      <c r="BI109">
        <f t="shared" si="99"/>
        <v>63.545031951754282</v>
      </c>
      <c r="BJ109">
        <f t="shared" si="84"/>
        <v>0</v>
      </c>
      <c r="BK109">
        <f t="shared" si="100"/>
        <v>0</v>
      </c>
      <c r="BM109">
        <f t="shared" si="101"/>
        <v>-11.90637563236038</v>
      </c>
      <c r="BN109">
        <f t="shared" si="85"/>
        <v>-168.71347021849269</v>
      </c>
      <c r="BQ109" s="66">
        <f t="shared" si="102"/>
        <v>25.978431028451521</v>
      </c>
      <c r="BR109" s="71"/>
      <c r="BS109" s="71"/>
      <c r="BT109" s="71">
        <v>977.23699999999997</v>
      </c>
      <c r="BU109" s="71">
        <v>15.0807</v>
      </c>
      <c r="BV109" s="71">
        <v>-260.93240000000003</v>
      </c>
      <c r="BW109" s="75"/>
      <c r="BY109" s="71"/>
      <c r="BZ109" s="71"/>
      <c r="CA109" s="71"/>
      <c r="CC109" s="71"/>
    </row>
    <row r="110" spans="1:81" x14ac:dyDescent="0.15">
      <c r="A110">
        <f t="shared" si="106"/>
        <v>38000</v>
      </c>
      <c r="B110">
        <f t="shared" si="86"/>
        <v>38</v>
      </c>
      <c r="C110">
        <f t="shared" si="55"/>
        <v>1.0123399514383811</v>
      </c>
      <c r="D110">
        <f t="shared" si="56"/>
        <v>0.15629701292240622</v>
      </c>
      <c r="F110">
        <f t="shared" si="57"/>
        <v>1.6282237207210802E-2</v>
      </c>
      <c r="G110">
        <f t="shared" si="58"/>
        <v>4.2133870404058166E-2</v>
      </c>
      <c r="H110">
        <f t="shared" si="59"/>
        <v>-3.0994587795959418</v>
      </c>
      <c r="J110">
        <f t="shared" si="60"/>
        <v>15</v>
      </c>
      <c r="M110">
        <f t="shared" si="61"/>
        <v>2.5079568747834284E-2</v>
      </c>
      <c r="N110">
        <f t="shared" si="62"/>
        <v>-1.5707963250000001</v>
      </c>
      <c r="O110">
        <f t="shared" si="63"/>
        <v>16.183110409614031</v>
      </c>
      <c r="P110">
        <f t="shared" si="64"/>
        <v>1.5089641163783094</v>
      </c>
      <c r="Q110">
        <f t="shared" si="65"/>
        <v>7.3784644145998604</v>
      </c>
      <c r="R110">
        <f t="shared" si="66"/>
        <v>1.434848397116949</v>
      </c>
      <c r="S110">
        <f t="shared" si="67"/>
        <v>0.98928845786136843</v>
      </c>
      <c r="T110">
        <f t="shared" si="68"/>
        <v>-0.14649723414445825</v>
      </c>
      <c r="U110">
        <f t="shared" si="69"/>
        <v>0.96038827973556817</v>
      </c>
      <c r="V110">
        <f t="shared" si="70"/>
        <v>-0.28240408312417903</v>
      </c>
      <c r="X110">
        <f t="shared" si="87"/>
        <v>-3.0550088993024676</v>
      </c>
      <c r="Y110">
        <f t="shared" si="71"/>
        <v>-114.5369502887157</v>
      </c>
      <c r="Z110">
        <f t="shared" si="88"/>
        <v>65.463049711284299</v>
      </c>
      <c r="AC110">
        <v>1</v>
      </c>
      <c r="AD110">
        <f t="shared" si="72"/>
        <v>16.152184450710003</v>
      </c>
      <c r="AE110">
        <f t="shared" si="73"/>
        <v>-5.7847685705046106E-4</v>
      </c>
      <c r="AF110">
        <f t="shared" si="74"/>
        <v>1.9936546956900001E-3</v>
      </c>
      <c r="AG110">
        <f t="shared" si="89"/>
        <v>7338.4173148372602</v>
      </c>
      <c r="AH110">
        <f t="shared" si="90"/>
        <v>-2630.8992200860648</v>
      </c>
      <c r="AJ110">
        <f t="shared" si="75"/>
        <v>20000</v>
      </c>
      <c r="AK110">
        <f t="shared" si="76"/>
        <v>2951.0864717040004</v>
      </c>
      <c r="AL110">
        <v>1</v>
      </c>
      <c r="AM110">
        <f t="shared" si="77"/>
        <v>7.3103855655852001</v>
      </c>
      <c r="AN110">
        <f t="shared" si="91"/>
        <v>763.63433914312998</v>
      </c>
      <c r="AO110">
        <f t="shared" si="92"/>
        <v>-2631.3749785531309</v>
      </c>
      <c r="AQ110">
        <f t="shared" si="78"/>
        <v>1.7310022503029254</v>
      </c>
      <c r="AR110">
        <f t="shared" si="79"/>
        <v>-131.55617102302233</v>
      </c>
      <c r="AT110">
        <f t="shared" si="104"/>
        <v>-333408.21085633314</v>
      </c>
      <c r="AU110">
        <f t="shared" si="105"/>
        <v>-969968.1757793281</v>
      </c>
      <c r="AV110">
        <f t="shared" si="93"/>
        <v>-1.9018754848629069</v>
      </c>
      <c r="AW110">
        <f t="shared" si="94"/>
        <v>-337095.95370788418</v>
      </c>
      <c r="AX110">
        <f t="shared" si="95"/>
        <v>-115874.28275884991</v>
      </c>
      <c r="AY110">
        <f t="shared" si="103"/>
        <v>-2.8105030803291209</v>
      </c>
      <c r="BA110">
        <f t="shared" si="80"/>
        <v>2.8774142571183341</v>
      </c>
      <c r="BB110">
        <f t="shared" si="96"/>
        <v>9.1800478226469835</v>
      </c>
      <c r="BC110">
        <f t="shared" si="97"/>
        <v>0.90862759546621397</v>
      </c>
      <c r="BD110">
        <f t="shared" si="81"/>
        <v>-127.93947357117781</v>
      </c>
      <c r="BF110">
        <f t="shared" si="82"/>
        <v>-2.9573179195174788</v>
      </c>
      <c r="BG110">
        <f t="shared" si="83"/>
        <v>-116.57022141852728</v>
      </c>
      <c r="BH110">
        <f t="shared" si="98"/>
        <v>63.429778581472718</v>
      </c>
      <c r="BI110">
        <f t="shared" si="99"/>
        <v>63.429778581472718</v>
      </c>
      <c r="BJ110">
        <f t="shared" si="84"/>
        <v>0</v>
      </c>
      <c r="BK110">
        <f t="shared" si="100"/>
        <v>0</v>
      </c>
      <c r="BM110">
        <f t="shared" si="101"/>
        <v>-12.137365742164462</v>
      </c>
      <c r="BN110">
        <f t="shared" si="85"/>
        <v>-168.63074784734945</v>
      </c>
      <c r="BQ110" s="66">
        <f t="shared" si="102"/>
        <v>26.082008622932122</v>
      </c>
      <c r="BR110" s="71"/>
      <c r="BS110" s="71"/>
      <c r="BT110" s="71">
        <v>1000</v>
      </c>
      <c r="BU110" s="71">
        <v>14.883800000000001</v>
      </c>
      <c r="BV110" s="71">
        <v>-260.5154</v>
      </c>
      <c r="BW110" s="75"/>
      <c r="BY110" s="71"/>
      <c r="BZ110" s="71"/>
      <c r="CA110" s="71"/>
      <c r="CC110" s="71"/>
    </row>
    <row r="111" spans="1:81" x14ac:dyDescent="0.15">
      <c r="A111">
        <f t="shared" si="106"/>
        <v>38500</v>
      </c>
      <c r="B111">
        <f t="shared" si="86"/>
        <v>38.5</v>
      </c>
      <c r="C111">
        <f t="shared" si="55"/>
        <v>1.0126647790988679</v>
      </c>
      <c r="D111">
        <f t="shared" si="56"/>
        <v>0.15831957575475489</v>
      </c>
      <c r="F111">
        <f t="shared" si="57"/>
        <v>1.585566619650032E-2</v>
      </c>
      <c r="G111">
        <f t="shared" si="58"/>
        <v>4.1569565527451974E-2</v>
      </c>
      <c r="H111">
        <f t="shared" si="59"/>
        <v>-3.1000230844725483</v>
      </c>
      <c r="J111">
        <f t="shared" si="60"/>
        <v>15</v>
      </c>
      <c r="M111">
        <f t="shared" si="61"/>
        <v>2.4753860062797478E-2</v>
      </c>
      <c r="N111">
        <f t="shared" si="62"/>
        <v>-1.5707963250000001</v>
      </c>
      <c r="O111">
        <f t="shared" si="63"/>
        <v>16.395238269233548</v>
      </c>
      <c r="P111">
        <f t="shared" si="64"/>
        <v>1.5097651264740655</v>
      </c>
      <c r="Q111">
        <f t="shared" si="65"/>
        <v>7.4737775588332047</v>
      </c>
      <c r="R111">
        <f t="shared" si="66"/>
        <v>1.4365926954117012</v>
      </c>
      <c r="S111">
        <f t="shared" si="67"/>
        <v>0.98900938143351658</v>
      </c>
      <c r="T111">
        <f t="shared" si="68"/>
        <v>-0.14839683327364137</v>
      </c>
      <c r="U111">
        <f t="shared" si="69"/>
        <v>0.9594020512723086</v>
      </c>
      <c r="V111">
        <f t="shared" si="70"/>
        <v>-0.2859218807101645</v>
      </c>
      <c r="X111">
        <f t="shared" si="87"/>
        <v>-3.1831331130824179</v>
      </c>
      <c r="Y111">
        <f t="shared" si="71"/>
        <v>-114.61795680189468</v>
      </c>
      <c r="Z111">
        <f t="shared" si="88"/>
        <v>65.382043198105322</v>
      </c>
      <c r="AC111">
        <v>1</v>
      </c>
      <c r="AD111">
        <f t="shared" si="72"/>
        <v>16.364713193482501</v>
      </c>
      <c r="AE111">
        <f t="shared" si="73"/>
        <v>-5.9380008404643074E-4</v>
      </c>
      <c r="AF111">
        <f t="shared" si="74"/>
        <v>2.0198869943175001E-3</v>
      </c>
      <c r="AG111">
        <f t="shared" si="89"/>
        <v>7323.353324279019</v>
      </c>
      <c r="AH111">
        <f t="shared" si="90"/>
        <v>-2647.9737898732456</v>
      </c>
      <c r="AJ111">
        <f t="shared" si="75"/>
        <v>20000</v>
      </c>
      <c r="AK111">
        <f t="shared" si="76"/>
        <v>2989.9165568580001</v>
      </c>
      <c r="AL111">
        <v>1</v>
      </c>
      <c r="AM111">
        <f t="shared" si="77"/>
        <v>7.4065748493429</v>
      </c>
      <c r="AN111">
        <f t="shared" si="91"/>
        <v>754.51198486792111</v>
      </c>
      <c r="AO111">
        <f t="shared" si="92"/>
        <v>-2598.4329337925356</v>
      </c>
      <c r="AQ111">
        <f t="shared" si="78"/>
        <v>1.6863406408094435</v>
      </c>
      <c r="AR111">
        <f t="shared" si="79"/>
        <v>-129.84822934232716</v>
      </c>
      <c r="AT111">
        <f t="shared" si="104"/>
        <v>-331485.03962219373</v>
      </c>
      <c r="AU111">
        <f t="shared" si="105"/>
        <v>-955389.84782353742</v>
      </c>
      <c r="AV111">
        <f t="shared" si="93"/>
        <v>-1.9047631249057198</v>
      </c>
      <c r="AW111">
        <f t="shared" si="94"/>
        <v>-328407.37990288588</v>
      </c>
      <c r="AX111">
        <f t="shared" si="95"/>
        <v>-113119.92727121845</v>
      </c>
      <c r="AY111">
        <f t="shared" si="103"/>
        <v>-2.8098706711282651</v>
      </c>
      <c r="BA111">
        <f t="shared" si="80"/>
        <v>2.9114192351213468</v>
      </c>
      <c r="BB111">
        <f t="shared" si="96"/>
        <v>9.2820949393521897</v>
      </c>
      <c r="BC111">
        <f t="shared" si="97"/>
        <v>0.9051075462225453</v>
      </c>
      <c r="BD111">
        <f t="shared" si="81"/>
        <v>-128.14115753674872</v>
      </c>
      <c r="BF111">
        <f t="shared" si="82"/>
        <v>-3.0830758896238719</v>
      </c>
      <c r="BG111">
        <f t="shared" si="83"/>
        <v>-116.68835335769728</v>
      </c>
      <c r="BH111">
        <f t="shared" si="98"/>
        <v>63.311646642302719</v>
      </c>
      <c r="BI111">
        <f t="shared" si="99"/>
        <v>63.311646642302719</v>
      </c>
      <c r="BJ111">
        <f t="shared" si="84"/>
        <v>0</v>
      </c>
      <c r="BK111">
        <f t="shared" si="100"/>
        <v>0</v>
      </c>
      <c r="BM111">
        <f t="shared" si="101"/>
        <v>-12.36517082897606</v>
      </c>
      <c r="BN111">
        <f t="shared" si="85"/>
        <v>-168.54719582094859</v>
      </c>
      <c r="BQ111" s="66">
        <f t="shared" si="102"/>
        <v>26.184055739637326</v>
      </c>
      <c r="BR111" s="71"/>
      <c r="BS111" s="71"/>
      <c r="BT111" s="71">
        <v>1023.293</v>
      </c>
      <c r="BU111" s="71">
        <v>14.7437</v>
      </c>
      <c r="BV111" s="71">
        <v>-261.12389999999999</v>
      </c>
      <c r="BW111" s="75"/>
      <c r="BY111" s="71"/>
      <c r="BZ111" s="71"/>
      <c r="CA111" s="71"/>
      <c r="CC111" s="71"/>
    </row>
    <row r="112" spans="1:81" x14ac:dyDescent="0.15">
      <c r="A112">
        <f t="shared" si="106"/>
        <v>39000</v>
      </c>
      <c r="B112">
        <f t="shared" si="86"/>
        <v>39</v>
      </c>
      <c r="C112">
        <f t="shared" si="55"/>
        <v>1.0129937466617396</v>
      </c>
      <c r="D112">
        <f t="shared" si="56"/>
        <v>0.16034083320518536</v>
      </c>
      <c r="F112">
        <f t="shared" si="57"/>
        <v>1.5445720800058382E-2</v>
      </c>
      <c r="G112">
        <f t="shared" si="58"/>
        <v>4.1020388152088597E-2</v>
      </c>
      <c r="H112">
        <f t="shared" si="59"/>
        <v>-3.1005722618479115</v>
      </c>
      <c r="J112">
        <f t="shared" si="60"/>
        <v>15</v>
      </c>
      <c r="M112">
        <f t="shared" si="61"/>
        <v>2.44365028825052E-2</v>
      </c>
      <c r="N112">
        <f t="shared" si="62"/>
        <v>-1.5707963250000001</v>
      </c>
      <c r="O112">
        <f t="shared" si="63"/>
        <v>16.607376379583002</v>
      </c>
      <c r="P112">
        <f t="shared" si="64"/>
        <v>1.5105456732896871</v>
      </c>
      <c r="Q112">
        <f t="shared" si="65"/>
        <v>7.5691128698772108</v>
      </c>
      <c r="R112">
        <f t="shared" si="66"/>
        <v>1.4382930588219054</v>
      </c>
      <c r="S112">
        <f t="shared" si="67"/>
        <v>0.98872689764250266</v>
      </c>
      <c r="T112">
        <f t="shared" si="68"/>
        <v>-0.150295354112083</v>
      </c>
      <c r="U112">
        <f t="shared" si="69"/>
        <v>0.9584060226409542</v>
      </c>
      <c r="V112">
        <f t="shared" si="70"/>
        <v>-0.28943241747462123</v>
      </c>
      <c r="X112">
        <f t="shared" si="87"/>
        <v>-3.309656988157863</v>
      </c>
      <c r="Y112">
        <f t="shared" si="71"/>
        <v>-114.70138331308192</v>
      </c>
      <c r="Z112">
        <f t="shared" si="88"/>
        <v>65.298616686918081</v>
      </c>
      <c r="AC112">
        <v>1</v>
      </c>
      <c r="AD112">
        <f t="shared" si="72"/>
        <v>16.577241936255</v>
      </c>
      <c r="AE112">
        <f t="shared" si="73"/>
        <v>-6.0932361466326272E-4</v>
      </c>
      <c r="AF112">
        <f t="shared" si="74"/>
        <v>2.0461192929450002E-3</v>
      </c>
      <c r="AG112">
        <f t="shared" si="89"/>
        <v>7308.1553513138288</v>
      </c>
      <c r="AH112">
        <f t="shared" si="90"/>
        <v>-2665.0604654309304</v>
      </c>
      <c r="AJ112">
        <f t="shared" si="75"/>
        <v>20000</v>
      </c>
      <c r="AK112">
        <f t="shared" si="76"/>
        <v>3028.7466420119999</v>
      </c>
      <c r="AL112">
        <v>1</v>
      </c>
      <c r="AM112">
        <f t="shared" si="77"/>
        <v>7.5027641331006008</v>
      </c>
      <c r="AN112">
        <f t="shared" si="91"/>
        <v>745.73007019510362</v>
      </c>
      <c r="AO112">
        <f t="shared" si="92"/>
        <v>-2566.2901816224166</v>
      </c>
      <c r="AQ112">
        <f t="shared" si="78"/>
        <v>1.6433853738701725</v>
      </c>
      <c r="AR112">
        <f t="shared" si="79"/>
        <v>-128.18405916187345</v>
      </c>
      <c r="AT112">
        <f t="shared" si="104"/>
        <v>-329608.15275644825</v>
      </c>
      <c r="AU112">
        <f t="shared" si="105"/>
        <v>-941168.73930634279</v>
      </c>
      <c r="AV112">
        <f t="shared" si="93"/>
        <v>-1.9076595873018267</v>
      </c>
      <c r="AW112">
        <f t="shared" si="94"/>
        <v>-320042.80457286758</v>
      </c>
      <c r="AX112">
        <f t="shared" si="95"/>
        <v>-110484.30588441505</v>
      </c>
      <c r="AY112">
        <f t="shared" si="103"/>
        <v>-2.809184948478558</v>
      </c>
      <c r="BA112">
        <f t="shared" si="80"/>
        <v>2.9453184584969692</v>
      </c>
      <c r="BB112">
        <f t="shared" si="96"/>
        <v>9.3826451830781856</v>
      </c>
      <c r="BC112">
        <f t="shared" si="97"/>
        <v>0.90152536117673132</v>
      </c>
      <c r="BD112">
        <f t="shared" si="81"/>
        <v>-128.34640162154327</v>
      </c>
      <c r="BF112">
        <f t="shared" si="82"/>
        <v>-3.2072307439442058</v>
      </c>
      <c r="BG112">
        <f t="shared" si="83"/>
        <v>-116.80925346698881</v>
      </c>
      <c r="BH112">
        <f t="shared" si="98"/>
        <v>63.190746533011193</v>
      </c>
      <c r="BI112">
        <f t="shared" si="99"/>
        <v>63.190746533011193</v>
      </c>
      <c r="BJ112">
        <f t="shared" si="84"/>
        <v>0</v>
      </c>
      <c r="BK112">
        <f t="shared" si="100"/>
        <v>0</v>
      </c>
      <c r="BM112">
        <f t="shared" si="101"/>
        <v>-12.589875927022394</v>
      </c>
      <c r="BN112">
        <f t="shared" si="85"/>
        <v>-168.46285184544553</v>
      </c>
      <c r="BQ112" s="66">
        <f t="shared" si="102"/>
        <v>26.284605983363321</v>
      </c>
      <c r="BR112" s="71"/>
      <c r="BS112" s="71"/>
      <c r="BT112" s="71">
        <v>1047.1289999999999</v>
      </c>
      <c r="BU112" s="71">
        <v>14.586600000000001</v>
      </c>
      <c r="BV112" s="71">
        <v>-260.40769999999998</v>
      </c>
      <c r="BW112" s="75"/>
      <c r="BY112" s="71"/>
      <c r="BZ112" s="71"/>
      <c r="CA112" s="71"/>
      <c r="CC112" s="71"/>
    </row>
    <row r="113" spans="1:81" x14ac:dyDescent="0.15">
      <c r="A113">
        <f t="shared" si="106"/>
        <v>39500</v>
      </c>
      <c r="B113">
        <f t="shared" si="86"/>
        <v>39.5</v>
      </c>
      <c r="C113">
        <f t="shared" si="55"/>
        <v>1.0133268500950487</v>
      </c>
      <c r="D113">
        <f t="shared" si="56"/>
        <v>0.16236077003754057</v>
      </c>
      <c r="F113">
        <f t="shared" si="57"/>
        <v>1.5051544218376782E-2</v>
      </c>
      <c r="G113">
        <f t="shared" si="58"/>
        <v>4.0485730342041233E-2</v>
      </c>
      <c r="H113">
        <f t="shared" si="59"/>
        <v>-3.1011069196579588</v>
      </c>
      <c r="J113">
        <f t="shared" si="60"/>
        <v>15</v>
      </c>
      <c r="M113">
        <f t="shared" si="61"/>
        <v>2.4127180061207665E-2</v>
      </c>
      <c r="N113">
        <f t="shared" si="62"/>
        <v>-1.5707963250000001</v>
      </c>
      <c r="O113">
        <f t="shared" si="63"/>
        <v>16.819524352797007</v>
      </c>
      <c r="P113">
        <f t="shared" si="64"/>
        <v>1.5113065301777444</v>
      </c>
      <c r="Q113">
        <f t="shared" si="65"/>
        <v>7.6644695205592965</v>
      </c>
      <c r="R113">
        <f t="shared" si="66"/>
        <v>1.4399511171600634</v>
      </c>
      <c r="S113">
        <f t="shared" si="67"/>
        <v>0.98844101551355024</v>
      </c>
      <c r="T113">
        <f t="shared" si="68"/>
        <v>-0.15219278390340366</v>
      </c>
      <c r="U113">
        <f t="shared" si="69"/>
        <v>0.95740029786526615</v>
      </c>
      <c r="V113">
        <f t="shared" si="70"/>
        <v>-0.29293562961672914</v>
      </c>
      <c r="X113">
        <f t="shared" si="87"/>
        <v>-3.4346287697035454</v>
      </c>
      <c r="Y113">
        <f t="shared" si="71"/>
        <v>-114.78712344978707</v>
      </c>
      <c r="Z113">
        <f t="shared" si="88"/>
        <v>65.212876550212926</v>
      </c>
      <c r="AC113">
        <v>1</v>
      </c>
      <c r="AD113">
        <f t="shared" si="72"/>
        <v>16.789770679027502</v>
      </c>
      <c r="AE113">
        <f t="shared" si="73"/>
        <v>-6.2504744890095698E-4</v>
      </c>
      <c r="AF113">
        <f t="shared" si="74"/>
        <v>2.0723515915725002E-3</v>
      </c>
      <c r="AG113">
        <f t="shared" si="89"/>
        <v>7292.82544668425</v>
      </c>
      <c r="AH113">
        <f t="shared" si="90"/>
        <v>-2682.1519877871151</v>
      </c>
      <c r="AJ113">
        <f t="shared" si="75"/>
        <v>20000</v>
      </c>
      <c r="AK113">
        <f t="shared" si="76"/>
        <v>3067.5767271660002</v>
      </c>
      <c r="AL113">
        <v>1</v>
      </c>
      <c r="AM113">
        <f t="shared" si="77"/>
        <v>7.5989534168582988</v>
      </c>
      <c r="AN113">
        <f t="shared" si="91"/>
        <v>737.27196075847564</v>
      </c>
      <c r="AO113">
        <f t="shared" si="92"/>
        <v>-2534.9185581934362</v>
      </c>
      <c r="AQ113">
        <f t="shared" si="78"/>
        <v>1.6020506247997437</v>
      </c>
      <c r="AR113">
        <f t="shared" si="79"/>
        <v>-126.56199935917975</v>
      </c>
      <c r="AT113">
        <f t="shared" si="104"/>
        <v>-327775.04259611957</v>
      </c>
      <c r="AU113">
        <f t="shared" si="105"/>
        <v>-927291.51277770405</v>
      </c>
      <c r="AV113">
        <f t="shared" si="93"/>
        <v>-1.9105642011947257</v>
      </c>
      <c r="AW113">
        <f t="shared" si="94"/>
        <v>-311986.45482228999</v>
      </c>
      <c r="AX113">
        <f t="shared" si="95"/>
        <v>-107960.60276166393</v>
      </c>
      <c r="AY113">
        <f t="shared" si="103"/>
        <v>-2.8084477020828857</v>
      </c>
      <c r="BA113">
        <f t="shared" si="80"/>
        <v>2.9791100687407295</v>
      </c>
      <c r="BB113">
        <f t="shared" si="96"/>
        <v>9.4817309865140089</v>
      </c>
      <c r="BC113">
        <f t="shared" si="97"/>
        <v>0.89788350088816005</v>
      </c>
      <c r="BD113">
        <f t="shared" si="81"/>
        <v>-128.55506484589313</v>
      </c>
      <c r="BF113">
        <f t="shared" si="82"/>
        <v>-3.3298316503438299</v>
      </c>
      <c r="BG113">
        <f t="shared" si="83"/>
        <v>-116.93281647186386</v>
      </c>
      <c r="BH113">
        <f t="shared" si="98"/>
        <v>63.067183528136141</v>
      </c>
      <c r="BI113">
        <f t="shared" si="99"/>
        <v>63.067183528136141</v>
      </c>
      <c r="BJ113">
        <f t="shared" si="84"/>
        <v>0</v>
      </c>
      <c r="BK113">
        <f t="shared" si="100"/>
        <v>0</v>
      </c>
      <c r="BM113">
        <f t="shared" si="101"/>
        <v>-12.811562636857836</v>
      </c>
      <c r="BN113">
        <f t="shared" si="85"/>
        <v>-168.37775162597075</v>
      </c>
      <c r="BQ113" s="66">
        <f t="shared" si="102"/>
        <v>26.383691786799144</v>
      </c>
      <c r="BR113" s="71"/>
      <c r="BS113" s="71"/>
      <c r="BT113" s="71">
        <v>1071.519</v>
      </c>
      <c r="BU113" s="71">
        <v>14.3581</v>
      </c>
      <c r="BV113" s="71">
        <v>-260.5301</v>
      </c>
      <c r="BW113" s="75"/>
      <c r="BY113" s="71"/>
      <c r="BZ113" s="71"/>
      <c r="CA113" s="71"/>
      <c r="CC113" s="71"/>
    </row>
    <row r="114" spans="1:81" x14ac:dyDescent="0.15">
      <c r="A114">
        <f t="shared" si="106"/>
        <v>40000</v>
      </c>
      <c r="B114">
        <f t="shared" si="86"/>
        <v>40</v>
      </c>
      <c r="C114">
        <f t="shared" si="55"/>
        <v>1.0136640853214895</v>
      </c>
      <c r="D114">
        <f t="shared" si="56"/>
        <v>0.16437937107867232</v>
      </c>
      <c r="F114">
        <f t="shared" si="57"/>
        <v>1.4672334381151361E-2</v>
      </c>
      <c r="G114">
        <f t="shared" si="58"/>
        <v>3.9965016668614017E-2</v>
      </c>
      <c r="H114">
        <f t="shared" si="59"/>
        <v>-3.1016276333313861</v>
      </c>
      <c r="J114">
        <f t="shared" si="60"/>
        <v>15</v>
      </c>
      <c r="M114">
        <f t="shared" si="61"/>
        <v>2.3825590310442568E-2</v>
      </c>
      <c r="N114">
        <f t="shared" si="62"/>
        <v>-1.5707963250000001</v>
      </c>
      <c r="O114">
        <f t="shared" si="63"/>
        <v>17.031681820317704</v>
      </c>
      <c r="P114">
        <f t="shared" si="64"/>
        <v>1.5120484320512229</v>
      </c>
      <c r="Q114">
        <f t="shared" si="65"/>
        <v>7.7598467241849391</v>
      </c>
      <c r="R114">
        <f t="shared" si="66"/>
        <v>1.4415684210673732</v>
      </c>
      <c r="S114">
        <f t="shared" si="67"/>
        <v>0.98815174416633134</v>
      </c>
      <c r="T114">
        <f t="shared" si="68"/>
        <v>-0.15408910993730515</v>
      </c>
      <c r="U114">
        <f t="shared" si="69"/>
        <v>0.95638498137544004</v>
      </c>
      <c r="V114">
        <f t="shared" si="70"/>
        <v>-0.29643145432073048</v>
      </c>
      <c r="X114">
        <f t="shared" si="87"/>
        <v>-3.5580945721445194</v>
      </c>
      <c r="Y114">
        <f t="shared" si="71"/>
        <v>-114.87507577107031</v>
      </c>
      <c r="Z114">
        <f t="shared" si="88"/>
        <v>65.124924228929686</v>
      </c>
      <c r="AC114">
        <v>1</v>
      </c>
      <c r="AD114">
        <f t="shared" si="72"/>
        <v>17.0022994218</v>
      </c>
      <c r="AE114">
        <f t="shared" si="73"/>
        <v>-6.4097158675951364E-4</v>
      </c>
      <c r="AF114">
        <f t="shared" si="74"/>
        <v>2.0985838901999999E-3</v>
      </c>
      <c r="AG114">
        <f t="shared" si="89"/>
        <v>7277.3656651794727</v>
      </c>
      <c r="AH114">
        <f t="shared" si="90"/>
        <v>-2699.2414476694771</v>
      </c>
      <c r="AJ114">
        <f t="shared" si="75"/>
        <v>20000</v>
      </c>
      <c r="AK114">
        <f t="shared" si="76"/>
        <v>3106.40681232</v>
      </c>
      <c r="AL114">
        <v>1</v>
      </c>
      <c r="AM114">
        <f t="shared" si="77"/>
        <v>7.6951427006159996</v>
      </c>
      <c r="AN114">
        <f t="shared" si="91"/>
        <v>729.12202005623612</v>
      </c>
      <c r="AO114">
        <f t="shared" si="92"/>
        <v>-2504.2911781741386</v>
      </c>
      <c r="AQ114">
        <f t="shared" si="78"/>
        <v>1.562255897516013</v>
      </c>
      <c r="AR114">
        <f t="shared" si="79"/>
        <v>-124.98047180128106</v>
      </c>
      <c r="AT114">
        <f t="shared" si="104"/>
        <v>-325983.36220649694</v>
      </c>
      <c r="AU114">
        <f t="shared" si="105"/>
        <v>-913745.50017501542</v>
      </c>
      <c r="AV114">
        <f t="shared" si="93"/>
        <v>-1.9134763268399391</v>
      </c>
      <c r="AW114">
        <f t="shared" si="94"/>
        <v>-304223.49984996521</v>
      </c>
      <c r="AX114">
        <f t="shared" si="95"/>
        <v>-105542.47909618265</v>
      </c>
      <c r="AY114">
        <f t="shared" si="103"/>
        <v>-2.8076606360212741</v>
      </c>
      <c r="BA114">
        <f t="shared" si="80"/>
        <v>3.0127922334309183</v>
      </c>
      <c r="BB114">
        <f t="shared" si="96"/>
        <v>9.5793836624371682</v>
      </c>
      <c r="BC114">
        <f t="shared" si="97"/>
        <v>0.89418430918133507</v>
      </c>
      <c r="BD114">
        <f t="shared" si="81"/>
        <v>-128.76701291854619</v>
      </c>
      <c r="BF114">
        <f t="shared" si="82"/>
        <v>-3.4509256475737504</v>
      </c>
      <c r="BG114">
        <f t="shared" si="83"/>
        <v>-117.05894192006339</v>
      </c>
      <c r="BH114">
        <f t="shared" si="98"/>
        <v>62.94105807993661</v>
      </c>
      <c r="BI114">
        <f t="shared" si="99"/>
        <v>62.94105807993661</v>
      </c>
      <c r="BJ114">
        <f t="shared" si="84"/>
        <v>0</v>
      </c>
      <c r="BK114">
        <f t="shared" si="100"/>
        <v>0</v>
      </c>
      <c r="BM114">
        <f t="shared" si="101"/>
        <v>-13.030309310010919</v>
      </c>
      <c r="BN114">
        <f t="shared" si="85"/>
        <v>-168.29192900151725</v>
      </c>
      <c r="BQ114" s="66">
        <f t="shared" si="102"/>
        <v>26.481344462722305</v>
      </c>
      <c r="BR114" s="71"/>
      <c r="BS114" s="71"/>
      <c r="BT114" s="71">
        <v>1096.4780000000001</v>
      </c>
      <c r="BU114" s="71">
        <v>14.1501</v>
      </c>
      <c r="BV114" s="71">
        <v>-260.5471</v>
      </c>
      <c r="BW114" s="75"/>
      <c r="BY114" s="71"/>
      <c r="BZ114" s="71"/>
      <c r="CA114" s="71"/>
      <c r="CC114" s="71"/>
    </row>
    <row r="115" spans="1:81" x14ac:dyDescent="0.15">
      <c r="A115">
        <f t="shared" si="106"/>
        <v>40500</v>
      </c>
      <c r="B115">
        <f t="shared" si="86"/>
        <v>40.5</v>
      </c>
      <c r="C115">
        <f t="shared" si="55"/>
        <v>1.0140054482186405</v>
      </c>
      <c r="D115">
        <f t="shared" si="56"/>
        <v>0.16639662121903728</v>
      </c>
      <c r="F115">
        <f t="shared" si="57"/>
        <v>1.4307339788020184E-2</v>
      </c>
      <c r="G115">
        <f t="shared" si="58"/>
        <v>3.9457702045400597E-2</v>
      </c>
      <c r="H115">
        <f t="shared" si="59"/>
        <v>-3.1021349479545997</v>
      </c>
      <c r="J115">
        <f t="shared" si="60"/>
        <v>15</v>
      </c>
      <c r="M115">
        <f t="shared" si="61"/>
        <v>2.3531447220190193E-2</v>
      </c>
      <c r="N115">
        <f t="shared" si="62"/>
        <v>-1.5707963250000001</v>
      </c>
      <c r="O115">
        <f t="shared" si="63"/>
        <v>17.243848431709168</v>
      </c>
      <c r="P115">
        <f t="shared" si="64"/>
        <v>1.5127720777398361</v>
      </c>
      <c r="Q115">
        <f t="shared" si="65"/>
        <v>7.8552437321018012</v>
      </c>
      <c r="R115">
        <f t="shared" si="66"/>
        <v>1.4431464467361512</v>
      </c>
      <c r="S115">
        <f t="shared" si="67"/>
        <v>0.98785909281418538</v>
      </c>
      <c r="T115">
        <f t="shared" si="68"/>
        <v>-0.1559843195500254</v>
      </c>
      <c r="U115">
        <f t="shared" si="69"/>
        <v>0.95536017798204276</v>
      </c>
      <c r="V115">
        <f t="shared" si="70"/>
        <v>-0.29991982975772968</v>
      </c>
      <c r="X115">
        <f t="shared" si="87"/>
        <v>-3.6800985022901376</v>
      </c>
      <c r="Y115">
        <f t="shared" si="71"/>
        <v>-114.96514348609757</v>
      </c>
      <c r="Z115">
        <f t="shared" si="88"/>
        <v>65.034856513902426</v>
      </c>
      <c r="AC115">
        <v>1</v>
      </c>
      <c r="AD115">
        <f t="shared" si="72"/>
        <v>17.214828164572502</v>
      </c>
      <c r="AE115">
        <f t="shared" si="73"/>
        <v>-6.570960282389327E-4</v>
      </c>
      <c r="AF115">
        <f t="shared" si="74"/>
        <v>2.1248161888275004E-3</v>
      </c>
      <c r="AG115">
        <f t="shared" si="89"/>
        <v>7261.7780650463137</v>
      </c>
      <c r="AH115">
        <f t="shared" si="90"/>
        <v>-2716.3222658235777</v>
      </c>
      <c r="AJ115">
        <f t="shared" si="75"/>
        <v>20000</v>
      </c>
      <c r="AK115">
        <f t="shared" si="76"/>
        <v>3145.2368974740002</v>
      </c>
      <c r="AL115">
        <v>1</v>
      </c>
      <c r="AM115">
        <f t="shared" si="77"/>
        <v>7.7913319843736994</v>
      </c>
      <c r="AN115">
        <f t="shared" si="91"/>
        <v>721.26553888750709</v>
      </c>
      <c r="AO115">
        <f t="shared" si="92"/>
        <v>-2474.382364886766</v>
      </c>
      <c r="AQ115">
        <f t="shared" si="78"/>
        <v>1.5239256324291375</v>
      </c>
      <c r="AR115">
        <f t="shared" si="79"/>
        <v>-123.43797622676013</v>
      </c>
      <c r="AT115">
        <f t="shared" si="104"/>
        <v>-324230.91354261426</v>
      </c>
      <c r="AU115">
        <f t="shared" si="105"/>
        <v>-900518.66128402157</v>
      </c>
      <c r="AV115">
        <f t="shared" si="93"/>
        <v>-1.9163953537634619</v>
      </c>
      <c r="AW115">
        <f t="shared" si="94"/>
        <v>-296739.98466754053</v>
      </c>
      <c r="AX115">
        <f t="shared" si="95"/>
        <v>-103224.03415485927</v>
      </c>
      <c r="AY115">
        <f t="shared" si="103"/>
        <v>-2.8068253739847893</v>
      </c>
      <c r="BA115">
        <f t="shared" si="80"/>
        <v>3.0463631452205955</v>
      </c>
      <c r="BB115">
        <f t="shared" si="96"/>
        <v>9.6756334531780368</v>
      </c>
      <c r="BC115">
        <f t="shared" si="97"/>
        <v>0.89043002022132733</v>
      </c>
      <c r="BD115">
        <f t="shared" si="81"/>
        <v>-128.98211783127297</v>
      </c>
      <c r="BF115">
        <f t="shared" si="82"/>
        <v>-3.5705577680920819</v>
      </c>
      <c r="BG115">
        <f t="shared" si="83"/>
        <v>-117.18753390022167</v>
      </c>
      <c r="BH115">
        <f t="shared" si="98"/>
        <v>62.812466099778334</v>
      </c>
      <c r="BI115">
        <f t="shared" si="99"/>
        <v>62.812466099778334</v>
      </c>
      <c r="BJ115">
        <f t="shared" si="84"/>
        <v>0</v>
      </c>
      <c r="BK115">
        <f t="shared" si="100"/>
        <v>0</v>
      </c>
      <c r="BM115">
        <f t="shared" si="101"/>
        <v>-13.246191221270118</v>
      </c>
      <c r="BN115">
        <f t="shared" si="85"/>
        <v>-168.20541606894872</v>
      </c>
      <c r="BQ115" s="66">
        <f t="shared" si="102"/>
        <v>26.577594253463172</v>
      </c>
      <c r="BR115" s="71"/>
      <c r="BS115" s="71"/>
      <c r="BT115" s="71">
        <v>1122.018</v>
      </c>
      <c r="BU115" s="71">
        <v>13.9679</v>
      </c>
      <c r="BV115" s="71">
        <v>-259.93099999999998</v>
      </c>
      <c r="BW115" s="75"/>
      <c r="BY115" s="71"/>
      <c r="BZ115" s="71"/>
      <c r="CA115" s="71"/>
      <c r="CC115" s="71"/>
    </row>
    <row r="116" spans="1:81" x14ac:dyDescent="0.15">
      <c r="A116">
        <f t="shared" si="106"/>
        <v>41000</v>
      </c>
      <c r="B116">
        <f t="shared" si="86"/>
        <v>41</v>
      </c>
      <c r="C116">
        <f t="shared" si="55"/>
        <v>1.0143509346192046</v>
      </c>
      <c r="D116">
        <f t="shared" si="56"/>
        <v>0.16841250541328598</v>
      </c>
      <c r="F116">
        <f t="shared" si="57"/>
        <v>1.3955855714880658E-2</v>
      </c>
      <c r="G116">
        <f t="shared" si="58"/>
        <v>3.896326973549126E-2</v>
      </c>
      <c r="H116">
        <f t="shared" si="59"/>
        <v>-3.1026293802645091</v>
      </c>
      <c r="J116">
        <f t="shared" si="60"/>
        <v>15</v>
      </c>
      <c r="M116">
        <f t="shared" si="61"/>
        <v>2.3244478351651287E-2</v>
      </c>
      <c r="N116">
        <f t="shared" si="62"/>
        <v>-1.5707963250000001</v>
      </c>
      <c r="O116">
        <f t="shared" si="63"/>
        <v>17.456023853557991</v>
      </c>
      <c r="P116">
        <f t="shared" si="64"/>
        <v>1.5134781321753046</v>
      </c>
      <c r="Q116">
        <f t="shared" si="65"/>
        <v>7.9506598314369592</v>
      </c>
      <c r="R116">
        <f t="shared" si="66"/>
        <v>1.4446866003001508</v>
      </c>
      <c r="S116">
        <f t="shared" si="67"/>
        <v>0.98756307076332961</v>
      </c>
      <c r="T116">
        <f t="shared" si="68"/>
        <v>-0.1578784001247884</v>
      </c>
      <c r="U116">
        <f t="shared" si="69"/>
        <v>0.95432599285012398</v>
      </c>
      <c r="V116">
        <f t="shared" si="70"/>
        <v>-0.30340069508721257</v>
      </c>
      <c r="X116">
        <f t="shared" si="87"/>
        <v>-3.8006827736646587</v>
      </c>
      <c r="Y116">
        <f t="shared" si="71"/>
        <v>-115.0572341916443</v>
      </c>
      <c r="Z116">
        <f t="shared" si="88"/>
        <v>64.942765808355702</v>
      </c>
      <c r="AC116">
        <v>1</v>
      </c>
      <c r="AD116">
        <f t="shared" si="72"/>
        <v>17.427356907345004</v>
      </c>
      <c r="AE116">
        <f t="shared" si="73"/>
        <v>-6.7342077333921405E-4</v>
      </c>
      <c r="AF116">
        <f t="shared" si="74"/>
        <v>2.151048487455E-3</v>
      </c>
      <c r="AG116">
        <f t="shared" si="89"/>
        <v>7246.0647074062636</v>
      </c>
      <c r="AH116">
        <f t="shared" si="90"/>
        <v>-2733.3881747519254</v>
      </c>
      <c r="AJ116">
        <f t="shared" si="75"/>
        <v>20000</v>
      </c>
      <c r="AK116">
        <f t="shared" si="76"/>
        <v>3184.066982628</v>
      </c>
      <c r="AL116">
        <v>1</v>
      </c>
      <c r="AM116">
        <f t="shared" si="77"/>
        <v>7.8875212681313993</v>
      </c>
      <c r="AN116">
        <f t="shared" si="91"/>
        <v>713.68867050821382</v>
      </c>
      <c r="AO116">
        <f t="shared" si="92"/>
        <v>-2445.1675848299587</v>
      </c>
      <c r="AQ116">
        <f t="shared" si="78"/>
        <v>1.486988847583643</v>
      </c>
      <c r="AR116">
        <f t="shared" si="79"/>
        <v>-121.93308550185874</v>
      </c>
      <c r="AT116">
        <f t="shared" si="104"/>
        <v>-322515.63661301357</v>
      </c>
      <c r="AU116">
        <f t="shared" si="105"/>
        <v>-887599.54525214201</v>
      </c>
      <c r="AV116">
        <f t="shared" si="93"/>
        <v>-1.9193206990534493</v>
      </c>
      <c r="AW116">
        <f t="shared" si="94"/>
        <v>-289522.76915781939</v>
      </c>
      <c r="AX116">
        <f t="shared" si="95"/>
        <v>-100999.76993352783</v>
      </c>
      <c r="AY116">
        <f t="shared" si="103"/>
        <v>-2.8059434641391396</v>
      </c>
      <c r="BA116">
        <f t="shared" si="80"/>
        <v>3.0798210209224819</v>
      </c>
      <c r="BB116">
        <f t="shared" si="96"/>
        <v>9.7705095775136428</v>
      </c>
      <c r="BC116">
        <f t="shared" si="97"/>
        <v>0.88662276508569038</v>
      </c>
      <c r="BD116">
        <f t="shared" si="81"/>
        <v>-129.20025748232374</v>
      </c>
      <c r="BF116">
        <f t="shared" si="82"/>
        <v>-3.6887711520826332</v>
      </c>
      <c r="BG116">
        <f t="shared" si="83"/>
        <v>-117.31850077946797</v>
      </c>
      <c r="BH116">
        <f t="shared" si="98"/>
        <v>62.681499220532032</v>
      </c>
      <c r="BI116">
        <f t="shared" si="99"/>
        <v>62.681499220532032</v>
      </c>
      <c r="BJ116">
        <f t="shared" si="84"/>
        <v>0</v>
      </c>
      <c r="BK116">
        <f t="shared" si="100"/>
        <v>0</v>
      </c>
      <c r="BM116">
        <f t="shared" si="101"/>
        <v>-13.459280729596275</v>
      </c>
      <c r="BN116">
        <f t="shared" si="85"/>
        <v>-168.11824329714426</v>
      </c>
      <c r="BQ116" s="66">
        <f t="shared" si="102"/>
        <v>26.672470377798781</v>
      </c>
      <c r="BR116" s="71"/>
      <c r="BS116" s="71"/>
      <c r="BT116" s="71">
        <v>1148.154</v>
      </c>
      <c r="BU116" s="71">
        <v>13.7508</v>
      </c>
      <c r="BV116" s="71">
        <v>-259.94799999999998</v>
      </c>
      <c r="BW116" s="75"/>
      <c r="BY116" s="71"/>
      <c r="BZ116" s="71"/>
      <c r="CA116" s="71"/>
      <c r="CC116" s="71"/>
    </row>
    <row r="117" spans="1:81" x14ac:dyDescent="0.15">
      <c r="A117">
        <f t="shared" si="106"/>
        <v>41500</v>
      </c>
      <c r="B117">
        <f t="shared" si="86"/>
        <v>41.5</v>
      </c>
      <c r="C117">
        <f t="shared" si="55"/>
        <v>1.014700540311257</v>
      </c>
      <c r="D117">
        <f t="shared" si="56"/>
        <v>0.17042700868084396</v>
      </c>
      <c r="F117">
        <f t="shared" si="57"/>
        <v>1.3617220749385532E-2</v>
      </c>
      <c r="G117">
        <f t="shared" si="58"/>
        <v>3.8481229514959324E-2</v>
      </c>
      <c r="H117">
        <f t="shared" si="59"/>
        <v>-3.1031114204850407</v>
      </c>
      <c r="J117">
        <f t="shared" si="60"/>
        <v>15</v>
      </c>
      <c r="M117">
        <f t="shared" si="61"/>
        <v>2.2964424395607294E-2</v>
      </c>
      <c r="N117">
        <f t="shared" si="62"/>
        <v>-1.5707963250000001</v>
      </c>
      <c r="O117">
        <f t="shared" si="63"/>
        <v>17.668207768452955</v>
      </c>
      <c r="P117">
        <f t="shared" si="64"/>
        <v>1.514167228419887</v>
      </c>
      <c r="Q117">
        <f t="shared" si="65"/>
        <v>8.0460943429930882</v>
      </c>
      <c r="R117">
        <f t="shared" si="66"/>
        <v>1.4461902219195528</v>
      </c>
      <c r="S117">
        <f t="shared" si="67"/>
        <v>0.98726368741206572</v>
      </c>
      <c r="T117">
        <f t="shared" si="68"/>
        <v>-0.15977133909224947</v>
      </c>
      <c r="U117">
        <f t="shared" si="69"/>
        <v>0.95328253147351127</v>
      </c>
      <c r="V117">
        <f t="shared" si="70"/>
        <v>-0.30687399045828734</v>
      </c>
      <c r="X117">
        <f t="shared" si="87"/>
        <v>-3.9198878127797867</v>
      </c>
      <c r="Y117">
        <f t="shared" si="71"/>
        <v>-115.15125962710439</v>
      </c>
      <c r="Z117">
        <f t="shared" si="88"/>
        <v>64.848740372895605</v>
      </c>
      <c r="AC117">
        <v>1</v>
      </c>
      <c r="AD117">
        <f t="shared" si="72"/>
        <v>17.639885650117503</v>
      </c>
      <c r="AE117">
        <f t="shared" si="73"/>
        <v>-6.899458220603578E-4</v>
      </c>
      <c r="AF117">
        <f t="shared" si="74"/>
        <v>2.1772807860825005E-3</v>
      </c>
      <c r="AG117">
        <f t="shared" si="89"/>
        <v>7230.2276556787783</v>
      </c>
      <c r="AH117">
        <f t="shared" si="90"/>
        <v>-2750.433201753297</v>
      </c>
      <c r="AJ117">
        <f t="shared" si="75"/>
        <v>20000</v>
      </c>
      <c r="AK117">
        <f t="shared" si="76"/>
        <v>3222.8970677819998</v>
      </c>
      <c r="AL117">
        <v>1</v>
      </c>
      <c r="AM117">
        <f t="shared" si="77"/>
        <v>7.9837105518891001</v>
      </c>
      <c r="AN117">
        <f t="shared" si="91"/>
        <v>706.37837098580212</v>
      </c>
      <c r="AO117">
        <f t="shared" si="92"/>
        <v>-2416.6233862835816</v>
      </c>
      <c r="AQ117">
        <f t="shared" si="78"/>
        <v>1.4513788098693758</v>
      </c>
      <c r="AR117">
        <f t="shared" si="79"/>
        <v>-120.4644412191582</v>
      </c>
      <c r="AT117">
        <f t="shared" si="104"/>
        <v>-320835.59954984742</v>
      </c>
      <c r="AU117">
        <f t="shared" si="105"/>
        <v>-874977.25489563413</v>
      </c>
      <c r="AV117">
        <f t="shared" si="93"/>
        <v>-1.9222518057740072</v>
      </c>
      <c r="AW117">
        <f t="shared" si="94"/>
        <v>-282559.47199041751</v>
      </c>
      <c r="AX117">
        <f t="shared" si="95"/>
        <v>-98864.559050852229</v>
      </c>
      <c r="AY117">
        <f t="shared" si="103"/>
        <v>-2.8050163836479083</v>
      </c>
      <c r="BA117">
        <f t="shared" si="80"/>
        <v>3.1131641006790911</v>
      </c>
      <c r="BB117">
        <f t="shared" si="96"/>
        <v>9.8640402751410718</v>
      </c>
      <c r="BC117">
        <f t="shared" si="97"/>
        <v>0.88276457787390106</v>
      </c>
      <c r="BD117">
        <f t="shared" si="81"/>
        <v>-129.42131532638319</v>
      </c>
      <c r="BF117">
        <f t="shared" si="82"/>
        <v>-3.8056071534165299</v>
      </c>
      <c r="BG117">
        <f t="shared" si="83"/>
        <v>-117.45175495857274</v>
      </c>
      <c r="BH117">
        <f t="shared" si="98"/>
        <v>62.548245041427265</v>
      </c>
      <c r="BI117">
        <f t="shared" si="99"/>
        <v>62.548245041427265</v>
      </c>
      <c r="BJ117">
        <f t="shared" si="84"/>
        <v>0</v>
      </c>
      <c r="BK117">
        <f t="shared" si="100"/>
        <v>0</v>
      </c>
      <c r="BM117">
        <f t="shared" si="101"/>
        <v>-13.669647428557601</v>
      </c>
      <c r="BN117">
        <f t="shared" si="85"/>
        <v>-168.03043963218954</v>
      </c>
      <c r="BQ117" s="66">
        <f t="shared" si="102"/>
        <v>26.766001075426207</v>
      </c>
      <c r="BR117" s="71"/>
      <c r="BS117" s="71"/>
      <c r="BT117" s="71">
        <v>1174.8979999999999</v>
      </c>
      <c r="BU117" s="71">
        <v>13.6038</v>
      </c>
      <c r="BV117" s="71">
        <v>-260.19870000000003</v>
      </c>
      <c r="BW117" s="75"/>
      <c r="BY117" s="71"/>
      <c r="BZ117" s="71"/>
      <c r="CA117" s="71"/>
      <c r="CC117" s="71"/>
    </row>
    <row r="118" spans="1:81" x14ac:dyDescent="0.15">
      <c r="A118">
        <f t="shared" si="106"/>
        <v>42000</v>
      </c>
      <c r="B118">
        <f t="shared" si="86"/>
        <v>42</v>
      </c>
      <c r="C118">
        <f t="shared" si="55"/>
        <v>1.0150542610384896</v>
      </c>
      <c r="D118">
        <f t="shared" si="56"/>
        <v>0.17244011610648602</v>
      </c>
      <c r="F118">
        <f t="shared" si="57"/>
        <v>1.3290813623258513E-2</v>
      </c>
      <c r="G118">
        <f t="shared" si="58"/>
        <v>3.801111597841729E-2</v>
      </c>
      <c r="H118">
        <f t="shared" si="59"/>
        <v>-3.1035815340215831</v>
      </c>
      <c r="J118">
        <f t="shared" si="60"/>
        <v>15</v>
      </c>
      <c r="M118">
        <f t="shared" si="61"/>
        <v>2.2691038390897686E-2</v>
      </c>
      <c r="N118">
        <f t="shared" si="62"/>
        <v>-1.5707963250000001</v>
      </c>
      <c r="O118">
        <f t="shared" si="63"/>
        <v>17.880399874037103</v>
      </c>
      <c r="P118">
        <f t="shared" si="64"/>
        <v>1.514839969551121</v>
      </c>
      <c r="Q118">
        <f t="shared" si="65"/>
        <v>8.1415466192907839</v>
      </c>
      <c r="R118">
        <f t="shared" si="66"/>
        <v>1.4476585895849756</v>
      </c>
      <c r="S118">
        <f t="shared" si="67"/>
        <v>0.9869609522499786</v>
      </c>
      <c r="T118">
        <f t="shared" si="68"/>
        <v>-0.16166312393093554</v>
      </c>
      <c r="U118">
        <f t="shared" si="69"/>
        <v>0.95222989964930027</v>
      </c>
      <c r="V118">
        <f t="shared" si="70"/>
        <v>-0.31033965701065008</v>
      </c>
      <c r="X118">
        <f t="shared" si="87"/>
        <v>-4.0377523580225034</v>
      </c>
      <c r="Y118">
        <f t="shared" si="71"/>
        <v>-115.24713544568088</v>
      </c>
      <c r="Z118">
        <f t="shared" si="88"/>
        <v>64.752864554319117</v>
      </c>
      <c r="AC118">
        <v>1</v>
      </c>
      <c r="AD118">
        <f t="shared" si="72"/>
        <v>17.852414392890005</v>
      </c>
      <c r="AE118">
        <f t="shared" si="73"/>
        <v>-7.0667117440236394E-4</v>
      </c>
      <c r="AF118">
        <f t="shared" si="74"/>
        <v>2.2035130847100001E-3</v>
      </c>
      <c r="AG118">
        <f t="shared" si="89"/>
        <v>7214.2689750111149</v>
      </c>
      <c r="AH118">
        <f t="shared" si="90"/>
        <v>-2767.4516531533113</v>
      </c>
      <c r="AJ118">
        <f t="shared" si="75"/>
        <v>20000</v>
      </c>
      <c r="AK118">
        <f t="shared" si="76"/>
        <v>3261.727152936</v>
      </c>
      <c r="AL118">
        <v>1</v>
      </c>
      <c r="AM118">
        <f t="shared" si="77"/>
        <v>8.079899835646799</v>
      </c>
      <c r="AN118">
        <f t="shared" si="91"/>
        <v>699.3223442846197</v>
      </c>
      <c r="AO118">
        <f t="shared" si="92"/>
        <v>-2388.7273417134329</v>
      </c>
      <c r="AQ118">
        <f t="shared" si="78"/>
        <v>1.4170327334561428</v>
      </c>
      <c r="AR118">
        <f t="shared" si="79"/>
        <v>-119.03074961031599</v>
      </c>
      <c r="AT118">
        <f t="shared" si="104"/>
        <v>-319188.98949959903</v>
      </c>
      <c r="AU118">
        <f t="shared" si="105"/>
        <v>-862641.4135667946</v>
      </c>
      <c r="AV118">
        <f t="shared" si="93"/>
        <v>-1.9251881414910121</v>
      </c>
      <c r="AW118">
        <f t="shared" si="94"/>
        <v>-275838.41896037187</v>
      </c>
      <c r="AX118">
        <f t="shared" si="95"/>
        <v>-96813.61555014427</v>
      </c>
      <c r="AY118">
        <f t="shared" si="103"/>
        <v>-2.8040455428826347</v>
      </c>
      <c r="BA118">
        <f t="shared" si="80"/>
        <v>3.1463906472113119</v>
      </c>
      <c r="BB118">
        <f t="shared" si="96"/>
        <v>9.9562528488718769</v>
      </c>
      <c r="BC118">
        <f t="shared" si="97"/>
        <v>0.87885740139162261</v>
      </c>
      <c r="BD118">
        <f t="shared" si="81"/>
        <v>-129.64518004888635</v>
      </c>
      <c r="BF118">
        <f t="shared" si="82"/>
        <v>-3.9211054382299313</v>
      </c>
      <c r="BG118">
        <f t="shared" si="83"/>
        <v>-117.58721264331496</v>
      </c>
      <c r="BH118">
        <f t="shared" si="98"/>
        <v>62.412787356685044</v>
      </c>
      <c r="BI118">
        <f t="shared" si="99"/>
        <v>62.412787356685044</v>
      </c>
      <c r="BJ118">
        <f t="shared" si="84"/>
        <v>0</v>
      </c>
      <c r="BK118">
        <f t="shared" si="100"/>
        <v>0</v>
      </c>
      <c r="BM118">
        <f t="shared" si="101"/>
        <v>-13.877358287101808</v>
      </c>
      <c r="BN118">
        <f t="shared" si="85"/>
        <v>-167.94203259442864</v>
      </c>
      <c r="BQ118" s="66">
        <f t="shared" si="102"/>
        <v>26.858213649157015</v>
      </c>
      <c r="BR118" s="71"/>
      <c r="BS118" s="71"/>
      <c r="BT118" s="71">
        <v>1202.2639999999999</v>
      </c>
      <c r="BU118" s="71">
        <v>13.412800000000001</v>
      </c>
      <c r="BV118" s="71">
        <v>-259.34100000000001</v>
      </c>
      <c r="BW118" s="75"/>
      <c r="BY118" s="71"/>
      <c r="BZ118" s="71"/>
      <c r="CA118" s="71"/>
      <c r="CC118" s="71"/>
    </row>
    <row r="119" spans="1:81" x14ac:dyDescent="0.15">
      <c r="A119">
        <f t="shared" si="106"/>
        <v>42500</v>
      </c>
      <c r="B119">
        <f t="shared" si="86"/>
        <v>42.5</v>
      </c>
      <c r="C119">
        <f t="shared" si="55"/>
        <v>1.0154120925004617</v>
      </c>
      <c r="D119">
        <f t="shared" si="56"/>
        <v>0.17445181284090294</v>
      </c>
      <c r="F119">
        <f t="shared" si="57"/>
        <v>1.2976050312617367E-2</v>
      </c>
      <c r="G119">
        <f t="shared" si="58"/>
        <v>3.7552486973898735E-2</v>
      </c>
      <c r="H119">
        <f t="shared" si="59"/>
        <v>-3.1040401630261014</v>
      </c>
      <c r="J119">
        <f t="shared" si="60"/>
        <v>15</v>
      </c>
      <c r="M119">
        <f t="shared" si="61"/>
        <v>2.2424084998063597E-2</v>
      </c>
      <c r="N119">
        <f t="shared" si="62"/>
        <v>-1.5707963250000001</v>
      </c>
      <c r="O119">
        <f t="shared" si="63"/>
        <v>18.092599882126386</v>
      </c>
      <c r="P119">
        <f t="shared" si="64"/>
        <v>1.5154969304145069</v>
      </c>
      <c r="Q119">
        <f t="shared" si="65"/>
        <v>8.2370160427453758</v>
      </c>
      <c r="R119">
        <f t="shared" si="66"/>
        <v>1.4490929226626763</v>
      </c>
      <c r="S119">
        <f t="shared" si="67"/>
        <v>0.98665487485713066</v>
      </c>
      <c r="T119">
        <f t="shared" si="68"/>
        <v>-0.16355374216768093</v>
      </c>
      <c r="U119">
        <f t="shared" si="69"/>
        <v>0.95116820345254827</v>
      </c>
      <c r="V119">
        <f t="shared" si="70"/>
        <v>-0.31379763687527812</v>
      </c>
      <c r="X119">
        <f t="shared" si="87"/>
        <v>-4.1543135517664194</v>
      </c>
      <c r="Y119">
        <f t="shared" si="71"/>
        <v>-115.34478100054612</v>
      </c>
      <c r="Z119">
        <f t="shared" si="88"/>
        <v>64.655218999453879</v>
      </c>
      <c r="AC119">
        <v>1</v>
      </c>
      <c r="AD119">
        <f t="shared" si="72"/>
        <v>18.064943135662503</v>
      </c>
      <c r="AE119">
        <f t="shared" si="73"/>
        <v>-7.2359683036523237E-4</v>
      </c>
      <c r="AF119">
        <f t="shared" si="74"/>
        <v>2.2297453833375002E-3</v>
      </c>
      <c r="AG119">
        <f t="shared" si="89"/>
        <v>7198.1907317148298</v>
      </c>
      <c r="AH119">
        <f t="shared" si="90"/>
        <v>-2784.4380996274022</v>
      </c>
      <c r="AJ119">
        <f t="shared" si="75"/>
        <v>20000</v>
      </c>
      <c r="AK119">
        <f t="shared" si="76"/>
        <v>3300.5572380899998</v>
      </c>
      <c r="AL119">
        <v>1</v>
      </c>
      <c r="AM119">
        <f t="shared" si="77"/>
        <v>8.1760891194044998</v>
      </c>
      <c r="AN119">
        <f t="shared" si="91"/>
        <v>692.50899166041017</v>
      </c>
      <c r="AO119">
        <f t="shared" si="92"/>
        <v>-2361.4579937144613</v>
      </c>
      <c r="AQ119">
        <f t="shared" si="78"/>
        <v>1.3838915029061722</v>
      </c>
      <c r="AR119">
        <f t="shared" si="79"/>
        <v>-117.63077774702464</v>
      </c>
      <c r="AT119">
        <f t="shared" si="104"/>
        <v>-317574.1042577005</v>
      </c>
      <c r="AU119">
        <f t="shared" si="105"/>
        <v>-850582.1343694824</v>
      </c>
      <c r="AV119">
        <f t="shared" si="93"/>
        <v>-1.9281291969008054</v>
      </c>
      <c r="AW119">
        <f t="shared" si="94"/>
        <v>-269348.5953582197</v>
      </c>
      <c r="AX119">
        <f t="shared" si="95"/>
        <v>-94842.468315540842</v>
      </c>
      <c r="AY119">
        <f t="shared" si="103"/>
        <v>-2.8030322893445039</v>
      </c>
      <c r="BA119">
        <f t="shared" si="80"/>
        <v>3.1794989451391285</v>
      </c>
      <c r="BB119">
        <f t="shared" si="96"/>
        <v>10.047173704679599</v>
      </c>
      <c r="BC119">
        <f t="shared" si="97"/>
        <v>0.87490309244369846</v>
      </c>
      <c r="BD119">
        <f t="shared" si="81"/>
        <v>-129.87174526275209</v>
      </c>
      <c r="BF119">
        <f t="shared" si="82"/>
        <v>-4.0353040767265922</v>
      </c>
      <c r="BG119">
        <f t="shared" si="83"/>
        <v>-117.7247936308579</v>
      </c>
      <c r="BH119">
        <f t="shared" si="98"/>
        <v>62.275206369142097</v>
      </c>
      <c r="BI119">
        <f t="shared" si="99"/>
        <v>62.275206369142097</v>
      </c>
      <c r="BJ119">
        <f t="shared" si="84"/>
        <v>0</v>
      </c>
      <c r="BK119">
        <f t="shared" si="100"/>
        <v>0</v>
      </c>
      <c r="BM119">
        <f t="shared" si="101"/>
        <v>-14.08247778140619</v>
      </c>
      <c r="BN119">
        <f t="shared" si="85"/>
        <v>-167.85304836810582</v>
      </c>
      <c r="BQ119" s="66">
        <f t="shared" si="102"/>
        <v>26.949134504964736</v>
      </c>
      <c r="BR119" s="71"/>
      <c r="BS119" s="71"/>
      <c r="BT119" s="71">
        <v>1230.269</v>
      </c>
      <c r="BU119" s="71">
        <v>13.1837</v>
      </c>
      <c r="BV119" s="71">
        <v>-259.55099999999999</v>
      </c>
      <c r="BW119" s="75"/>
      <c r="BY119" s="71"/>
      <c r="BZ119" s="71"/>
      <c r="CA119" s="71"/>
      <c r="CC119" s="71"/>
    </row>
    <row r="120" spans="1:81" x14ac:dyDescent="0.15">
      <c r="A120">
        <f t="shared" si="106"/>
        <v>43000</v>
      </c>
      <c r="B120">
        <f t="shared" si="86"/>
        <v>43</v>
      </c>
      <c r="C120">
        <f t="shared" si="55"/>
        <v>1.01577403035285</v>
      </c>
      <c r="D120">
        <f t="shared" si="56"/>
        <v>0.17646208410126055</v>
      </c>
      <c r="F120">
        <f t="shared" si="57"/>
        <v>1.2672381380611259E-2</v>
      </c>
      <c r="G120">
        <f t="shared" si="58"/>
        <v>3.7104922155619051E-2</v>
      </c>
      <c r="H120">
        <f t="shared" si="59"/>
        <v>-3.104487727844381</v>
      </c>
      <c r="J120">
        <f t="shared" si="60"/>
        <v>15</v>
      </c>
      <c r="M120">
        <f t="shared" si="61"/>
        <v>2.2163339823667506E-2</v>
      </c>
      <c r="N120">
        <f t="shared" si="62"/>
        <v>-1.5707963250000001</v>
      </c>
      <c r="O120">
        <f t="shared" si="63"/>
        <v>18.304807517889454</v>
      </c>
      <c r="P120">
        <f t="shared" si="64"/>
        <v>1.5161386592547981</v>
      </c>
      <c r="Q120">
        <f t="shared" si="65"/>
        <v>8.332502023967578</v>
      </c>
      <c r="R120">
        <f t="shared" si="66"/>
        <v>1.4504943852011407</v>
      </c>
      <c r="S120">
        <f t="shared" si="67"/>
        <v>0.98634546490325126</v>
      </c>
      <c r="T120">
        <f t="shared" si="68"/>
        <v>-0.1654431813780578</v>
      </c>
      <c r="U120">
        <f t="shared" si="69"/>
        <v>0.95009754921117973</v>
      </c>
      <c r="V120">
        <f t="shared" si="70"/>
        <v>-0.31724787317485553</v>
      </c>
      <c r="X120">
        <f t="shared" si="87"/>
        <v>-4.2696070262577219</v>
      </c>
      <c r="Y120">
        <f t="shared" si="71"/>
        <v>-115.44411914486021</v>
      </c>
      <c r="Z120">
        <f t="shared" si="88"/>
        <v>64.55588085513979</v>
      </c>
      <c r="AC120">
        <v>1</v>
      </c>
      <c r="AD120">
        <f t="shared" si="72"/>
        <v>18.277471878435005</v>
      </c>
      <c r="AE120">
        <f t="shared" si="73"/>
        <v>-7.407227899489631E-4</v>
      </c>
      <c r="AF120">
        <f t="shared" si="74"/>
        <v>2.2559776819650003E-3</v>
      </c>
      <c r="AG120">
        <f t="shared" si="89"/>
        <v>7181.9949927092457</v>
      </c>
      <c r="AH120">
        <f t="shared" si="90"/>
        <v>-2801.3873625267197</v>
      </c>
      <c r="AJ120">
        <f t="shared" si="75"/>
        <v>20000</v>
      </c>
      <c r="AK120">
        <f t="shared" si="76"/>
        <v>3339.3873232440005</v>
      </c>
      <c r="AL120">
        <v>1</v>
      </c>
      <c r="AM120">
        <f t="shared" si="77"/>
        <v>8.2722784031622005</v>
      </c>
      <c r="AN120">
        <f t="shared" si="91"/>
        <v>685.9273649839181</v>
      </c>
      <c r="AO120">
        <f t="shared" si="92"/>
        <v>-2334.7948042504217</v>
      </c>
      <c r="AQ120">
        <f t="shared" si="78"/>
        <v>1.35189941868325</v>
      </c>
      <c r="AR120">
        <f t="shared" si="79"/>
        <v>-116.2633500067595</v>
      </c>
      <c r="AT120">
        <f t="shared" si="104"/>
        <v>-315989.3445783272</v>
      </c>
      <c r="AU120">
        <f t="shared" si="105"/>
        <v>-838789.99153105565</v>
      </c>
      <c r="AV120">
        <f t="shared" si="93"/>
        <v>-1.9310744845534666</v>
      </c>
      <c r="AW120">
        <f t="shared" si="94"/>
        <v>-263079.60201834288</v>
      </c>
      <c r="AX120">
        <f t="shared" si="95"/>
        <v>-92946.936841541901</v>
      </c>
      <c r="AY120">
        <f t="shared" si="103"/>
        <v>-2.8019779113201961</v>
      </c>
      <c r="BA120">
        <f t="shared" si="80"/>
        <v>3.2124873003688443</v>
      </c>
      <c r="BB120">
        <f t="shared" si="96"/>
        <v>10.136828389724702</v>
      </c>
      <c r="BC120">
        <f t="shared" si="97"/>
        <v>0.87090342676672949</v>
      </c>
      <c r="BD120">
        <f t="shared" si="81"/>
        <v>-130.10090922576762</v>
      </c>
      <c r="BF120">
        <f t="shared" si="82"/>
        <v>-4.1482396287561683</v>
      </c>
      <c r="BG120">
        <f t="shared" si="83"/>
        <v>-117.86442111002214</v>
      </c>
      <c r="BH120">
        <f t="shared" si="98"/>
        <v>62.135578889977864</v>
      </c>
      <c r="BI120">
        <f t="shared" si="99"/>
        <v>62.135578889977864</v>
      </c>
      <c r="BJ120">
        <f t="shared" si="84"/>
        <v>0</v>
      </c>
      <c r="BK120">
        <f t="shared" si="100"/>
        <v>0</v>
      </c>
      <c r="BM120">
        <f t="shared" si="101"/>
        <v>-14.285068018480869</v>
      </c>
      <c r="BN120">
        <f t="shared" si="85"/>
        <v>-167.76351188425451</v>
      </c>
      <c r="BQ120" s="66">
        <f t="shared" si="102"/>
        <v>27.038789190009837</v>
      </c>
      <c r="BR120" s="71"/>
      <c r="BS120" s="71"/>
      <c r="BT120" s="71">
        <v>1258.925</v>
      </c>
      <c r="BU120" s="71">
        <v>13.0792</v>
      </c>
      <c r="BV120" s="71">
        <v>-259.27199999999999</v>
      </c>
      <c r="BW120" s="75"/>
      <c r="BY120" s="71"/>
      <c r="BZ120" s="71"/>
      <c r="CA120" s="71"/>
      <c r="CC120" s="71"/>
    </row>
    <row r="121" spans="1:81" x14ac:dyDescent="0.15">
      <c r="A121">
        <f t="shared" si="106"/>
        <v>43500</v>
      </c>
      <c r="B121">
        <f t="shared" si="86"/>
        <v>43.5</v>
      </c>
      <c r="C121">
        <f t="shared" si="55"/>
        <v>1.0161400702077019</v>
      </c>
      <c r="D121">
        <f t="shared" si="56"/>
        <v>0.1784709151717514</v>
      </c>
      <c r="F121">
        <f t="shared" si="57"/>
        <v>1.2379289539426174E-2</v>
      </c>
      <c r="G121">
        <f t="shared" si="58"/>
        <v>3.6668021644318184E-2</v>
      </c>
      <c r="H121">
        <f t="shared" si="59"/>
        <v>-3.1049246283556822</v>
      </c>
      <c r="J121">
        <f t="shared" si="60"/>
        <v>15</v>
      </c>
      <c r="M121">
        <f t="shared" si="61"/>
        <v>2.1908588791211558E-2</v>
      </c>
      <c r="N121">
        <f t="shared" si="62"/>
        <v>-1.5707963250000001</v>
      </c>
      <c r="O121">
        <f t="shared" si="63"/>
        <v>18.517022519083724</v>
      </c>
      <c r="P121">
        <f t="shared" si="64"/>
        <v>1.5167656792355819</v>
      </c>
      <c r="Q121">
        <f t="shared" si="65"/>
        <v>8.4280040001783654</v>
      </c>
      <c r="R121">
        <f t="shared" si="66"/>
        <v>1.4518640890174972</v>
      </c>
      <c r="S121">
        <f t="shared" si="67"/>
        <v>0.98603273214691822</v>
      </c>
      <c r="T121">
        <f t="shared" si="68"/>
        <v>-0.16733142918680216</v>
      </c>
      <c r="U121">
        <f t="shared" si="69"/>
        <v>0.94901804348111507</v>
      </c>
      <c r="V121">
        <f t="shared" si="70"/>
        <v>-0.32069031002393195</v>
      </c>
      <c r="X121">
        <f t="shared" si="87"/>
        <v>-4.3836669837749458</v>
      </c>
      <c r="Y121">
        <f t="shared" si="71"/>
        <v>-115.54507604462513</v>
      </c>
      <c r="Z121">
        <f t="shared" si="88"/>
        <v>64.454923955374866</v>
      </c>
      <c r="AC121">
        <v>1</v>
      </c>
      <c r="AD121">
        <f t="shared" si="72"/>
        <v>18.490000621207503</v>
      </c>
      <c r="AE121">
        <f t="shared" si="73"/>
        <v>-7.5804905315355589E-4</v>
      </c>
      <c r="AF121">
        <f t="shared" si="74"/>
        <v>2.2822099805925003E-3</v>
      </c>
      <c r="AG121">
        <f t="shared" si="89"/>
        <v>7165.683824972014</v>
      </c>
      <c r="AH121">
        <f t="shared" si="90"/>
        <v>-2818.2945011255915</v>
      </c>
      <c r="AJ121">
        <f t="shared" si="75"/>
        <v>20000</v>
      </c>
      <c r="AK121">
        <f t="shared" si="76"/>
        <v>3378.2174083979999</v>
      </c>
      <c r="AL121">
        <v>1</v>
      </c>
      <c r="AM121">
        <f t="shared" si="77"/>
        <v>8.3684676869198995</v>
      </c>
      <c r="AN121">
        <f t="shared" si="91"/>
        <v>679.56712365066596</v>
      </c>
      <c r="AO121">
        <f t="shared" si="92"/>
        <v>-2308.7181069656995</v>
      </c>
      <c r="AQ121">
        <f t="shared" si="78"/>
        <v>1.321003963011889</v>
      </c>
      <c r="AR121">
        <f t="shared" si="79"/>
        <v>-114.92734478203434</v>
      </c>
      <c r="AT121">
        <f t="shared" si="104"/>
        <v>-314433.2070976941</v>
      </c>
      <c r="AU121">
        <f t="shared" si="105"/>
        <v>-827255.99375652673</v>
      </c>
      <c r="AV121">
        <f t="shared" si="93"/>
        <v>-1.9340235376631125</v>
      </c>
      <c r="AW121">
        <f t="shared" si="94"/>
        <v>-257021.61472656563</v>
      </c>
      <c r="AX121">
        <f t="shared" si="95"/>
        <v>-91123.109123554794</v>
      </c>
      <c r="AY121">
        <f t="shared" si="103"/>
        <v>-2.8008836412924714</v>
      </c>
      <c r="BA121">
        <f t="shared" si="80"/>
        <v>3.2453540395415756</v>
      </c>
      <c r="BB121">
        <f t="shared" si="96"/>
        <v>10.225241628473134</v>
      </c>
      <c r="BC121">
        <f t="shared" si="97"/>
        <v>0.86686010362935884</v>
      </c>
      <c r="BD121">
        <f t="shared" si="81"/>
        <v>-130.33257457701126</v>
      </c>
      <c r="BF121">
        <f t="shared" si="82"/>
        <v>-4.2599472236678846</v>
      </c>
      <c r="BG121">
        <f t="shared" si="83"/>
        <v>-118.00602147443365</v>
      </c>
      <c r="BH121">
        <f t="shared" si="98"/>
        <v>61.993978525566348</v>
      </c>
      <c r="BI121">
        <f t="shared" si="99"/>
        <v>61.993978525566348</v>
      </c>
      <c r="BJ121">
        <f t="shared" si="84"/>
        <v>0</v>
      </c>
      <c r="BK121">
        <f t="shared" si="100"/>
        <v>0</v>
      </c>
      <c r="BM121">
        <f t="shared" si="101"/>
        <v>-14.485188852141018</v>
      </c>
      <c r="BN121">
        <f t="shared" si="85"/>
        <v>-167.67344689742239</v>
      </c>
      <c r="BQ121" s="66">
        <f t="shared" si="102"/>
        <v>27.12720242875827</v>
      </c>
      <c r="BR121" s="71"/>
      <c r="BS121" s="71"/>
      <c r="BT121" s="71">
        <v>1288.25</v>
      </c>
      <c r="BU121" s="71">
        <v>12.807</v>
      </c>
      <c r="BV121" s="71">
        <v>-258.86099999999999</v>
      </c>
      <c r="BW121" s="75"/>
      <c r="BY121" s="71"/>
      <c r="BZ121" s="71"/>
      <c r="CA121" s="71"/>
      <c r="CC121" s="71"/>
    </row>
    <row r="122" spans="1:81" x14ac:dyDescent="0.15">
      <c r="A122">
        <f t="shared" si="106"/>
        <v>44000</v>
      </c>
      <c r="B122">
        <f t="shared" si="86"/>
        <v>44</v>
      </c>
      <c r="C122">
        <f t="shared" si="55"/>
        <v>1.0165102076336907</v>
      </c>
      <c r="D122">
        <f t="shared" si="56"/>
        <v>0.18047829140413918</v>
      </c>
      <c r="F122">
        <f t="shared" si="57"/>
        <v>1.2096287411135866E-2</v>
      </c>
      <c r="G122">
        <f t="shared" si="58"/>
        <v>3.6241404785909169E-2</v>
      </c>
      <c r="H122">
        <f t="shared" si="59"/>
        <v>-3.105351245214091</v>
      </c>
      <c r="J122">
        <f t="shared" si="60"/>
        <v>15</v>
      </c>
      <c r="M122">
        <f t="shared" si="61"/>
        <v>2.1659627554947793E-2</v>
      </c>
      <c r="N122">
        <f t="shared" si="62"/>
        <v>-1.5707963250000001</v>
      </c>
      <c r="O122">
        <f t="shared" si="63"/>
        <v>18.729244635343257</v>
      </c>
      <c r="P122">
        <f t="shared" si="64"/>
        <v>1.5173784898559721</v>
      </c>
      <c r="Q122">
        <f t="shared" si="65"/>
        <v>8.52352143372919</v>
      </c>
      <c r="R122">
        <f t="shared" si="66"/>
        <v>1.4532030965805802</v>
      </c>
      <c r="S122">
        <f t="shared" si="67"/>
        <v>0.98571668643473587</v>
      </c>
      <c r="T122">
        <f t="shared" si="68"/>
        <v>-0.16921847326823461</v>
      </c>
      <c r="U122">
        <f t="shared" si="69"/>
        <v>0.94792979302162672</v>
      </c>
      <c r="V122">
        <f t="shared" si="70"/>
        <v>-0.32412489252882071</v>
      </c>
      <c r="X122">
        <f t="shared" si="87"/>
        <v>-4.4965262715160295</v>
      </c>
      <c r="Y122">
        <f t="shared" si="71"/>
        <v>-115.64758100343843</v>
      </c>
      <c r="Z122">
        <f t="shared" si="88"/>
        <v>64.352418996561568</v>
      </c>
      <c r="AC122">
        <v>1</v>
      </c>
      <c r="AD122">
        <f t="shared" si="72"/>
        <v>18.702529363980002</v>
      </c>
      <c r="AE122">
        <f t="shared" si="73"/>
        <v>-7.7557561997901152E-4</v>
      </c>
      <c r="AF122">
        <f t="shared" si="74"/>
        <v>2.3084422792200004E-3</v>
      </c>
      <c r="AG122">
        <f t="shared" si="89"/>
        <v>7149.2592949970076</v>
      </c>
      <c r="AH122">
        <f t="shared" si="90"/>
        <v>-2835.1548007167125</v>
      </c>
      <c r="AJ122">
        <f t="shared" si="75"/>
        <v>20000</v>
      </c>
      <c r="AK122">
        <f t="shared" si="76"/>
        <v>3417.0474935520006</v>
      </c>
      <c r="AL122">
        <v>1</v>
      </c>
      <c r="AM122">
        <f t="shared" si="77"/>
        <v>8.4646569706776003</v>
      </c>
      <c r="AN122">
        <f t="shared" si="91"/>
        <v>673.41849476709922</v>
      </c>
      <c r="AO122">
        <f t="shared" si="92"/>
        <v>-2283.2090623615431</v>
      </c>
      <c r="AQ122">
        <f t="shared" si="78"/>
        <v>1.2911555842479019</v>
      </c>
      <c r="AR122">
        <f t="shared" si="79"/>
        <v>-113.62169141381537</v>
      </c>
      <c r="AT122">
        <f t="shared" si="104"/>
        <v>-312904.27781545994</v>
      </c>
      <c r="AU122">
        <f t="shared" si="105"/>
        <v>-815971.55940665386</v>
      </c>
      <c r="AV122">
        <f t="shared" si="93"/>
        <v>-1.9369759089983509</v>
      </c>
      <c r="AW122">
        <f t="shared" si="94"/>
        <v>-251165.34669857915</v>
      </c>
      <c r="AX122">
        <f t="shared" si="95"/>
        <v>-89367.32146231817</v>
      </c>
      <c r="AY122">
        <f t="shared" si="103"/>
        <v>-2.7997506591242578</v>
      </c>
      <c r="BA122">
        <f t="shared" si="80"/>
        <v>3.2780975095382971</v>
      </c>
      <c r="BB122">
        <f t="shared" si="96"/>
        <v>10.312437357017698</v>
      </c>
      <c r="BC122">
        <f t="shared" si="97"/>
        <v>0.86277475012590688</v>
      </c>
      <c r="BD122">
        <f t="shared" si="81"/>
        <v>-130.56664809084549</v>
      </c>
      <c r="BF122">
        <f t="shared" si="82"/>
        <v>-4.3704606348929014</v>
      </c>
      <c r="BG122">
        <f t="shared" si="83"/>
        <v>-118.14952414760964</v>
      </c>
      <c r="BH122">
        <f t="shared" si="98"/>
        <v>61.85047585239036</v>
      </c>
      <c r="BI122">
        <f t="shared" si="99"/>
        <v>61.85047585239036</v>
      </c>
      <c r="BJ122">
        <f t="shared" si="84"/>
        <v>0</v>
      </c>
      <c r="BK122">
        <f t="shared" si="100"/>
        <v>0</v>
      </c>
      <c r="BM122">
        <f t="shared" si="101"/>
        <v>-14.6828979919106</v>
      </c>
      <c r="BN122">
        <f t="shared" si="85"/>
        <v>-167.58287605676415</v>
      </c>
      <c r="BQ122" s="66">
        <f t="shared" si="102"/>
        <v>27.214398157302835</v>
      </c>
      <c r="BR122" s="71"/>
      <c r="BS122" s="71"/>
      <c r="BT122" s="71">
        <v>1318.2570000000001</v>
      </c>
      <c r="BU122" s="71">
        <v>12.682600000000001</v>
      </c>
      <c r="BV122" s="71">
        <v>-258.68299999999999</v>
      </c>
      <c r="BW122" s="75"/>
      <c r="BY122" s="71"/>
      <c r="BZ122" s="71"/>
      <c r="CA122" s="71"/>
      <c r="CC122" s="71"/>
    </row>
    <row r="123" spans="1:81" x14ac:dyDescent="0.15">
      <c r="A123">
        <f t="shared" si="106"/>
        <v>44500</v>
      </c>
      <c r="B123">
        <f t="shared" si="86"/>
        <v>44.5</v>
      </c>
      <c r="C123">
        <f t="shared" si="55"/>
        <v>1.0168844381563715</v>
      </c>
      <c r="D123">
        <f t="shared" si="56"/>
        <v>0.18248419821829506</v>
      </c>
      <c r="F123">
        <f t="shared" si="57"/>
        <v>1.182291546901734E-2</v>
      </c>
      <c r="G123">
        <f t="shared" si="58"/>
        <v>3.5824709000064327E-2</v>
      </c>
      <c r="H123">
        <f t="shared" si="59"/>
        <v>-3.1057679409999359</v>
      </c>
      <c r="J123">
        <f t="shared" si="60"/>
        <v>15</v>
      </c>
      <c r="M123">
        <f t="shared" si="61"/>
        <v>2.1416260953206805E-2</v>
      </c>
      <c r="N123">
        <f t="shared" si="62"/>
        <v>-1.5707963250000001</v>
      </c>
      <c r="O123">
        <f t="shared" si="63"/>
        <v>18.941473627514398</v>
      </c>
      <c r="P123">
        <f t="shared" si="64"/>
        <v>1.5179775682724339</v>
      </c>
      <c r="Q123">
        <f t="shared" si="65"/>
        <v>8.6190538107195334</v>
      </c>
      <c r="R123">
        <f t="shared" si="66"/>
        <v>1.4545124237060307</v>
      </c>
      <c r="S123">
        <f t="shared" si="67"/>
        <v>0.98539733770050819</v>
      </c>
      <c r="T123">
        <f t="shared" si="68"/>
        <v>-0.17110430134667623</v>
      </c>
      <c r="U123">
        <f t="shared" si="69"/>
        <v>0.94683290477093696</v>
      </c>
      <c r="V123">
        <f t="shared" si="70"/>
        <v>-0.32755156678723801</v>
      </c>
      <c r="X123">
        <f t="shared" si="87"/>
        <v>-4.6082164516245365</v>
      </c>
      <c r="Y123">
        <f t="shared" si="71"/>
        <v>-115.75156629828386</v>
      </c>
      <c r="Z123">
        <f t="shared" si="88"/>
        <v>64.248433701716138</v>
      </c>
      <c r="AC123">
        <v>1</v>
      </c>
      <c r="AD123">
        <f t="shared" si="72"/>
        <v>18.9150581067525</v>
      </c>
      <c r="AE123">
        <f t="shared" si="73"/>
        <v>-7.9330249042532921E-4</v>
      </c>
      <c r="AF123">
        <f t="shared" si="74"/>
        <v>2.3346745778475004E-3</v>
      </c>
      <c r="AG123">
        <f t="shared" si="89"/>
        <v>7132.7234682597154</v>
      </c>
      <c r="AH123">
        <f t="shared" si="90"/>
        <v>-2851.9637614868257</v>
      </c>
      <c r="AJ123">
        <f t="shared" si="75"/>
        <v>20000</v>
      </c>
      <c r="AK123">
        <f t="shared" si="76"/>
        <v>3455.8775787059999</v>
      </c>
      <c r="AL123">
        <v>1</v>
      </c>
      <c r="AM123">
        <f t="shared" si="77"/>
        <v>8.560846254435301</v>
      </c>
      <c r="AN123">
        <f t="shared" si="91"/>
        <v>667.47223633290912</v>
      </c>
      <c r="AO123">
        <f t="shared" si="92"/>
        <v>-2258.2496156441398</v>
      </c>
      <c r="AQ123">
        <f t="shared" si="78"/>
        <v>1.2623074981065388</v>
      </c>
      <c r="AR123">
        <f t="shared" si="79"/>
        <v>-112.34536733148195</v>
      </c>
      <c r="AT123">
        <f t="shared" si="104"/>
        <v>-311401.22608440765</v>
      </c>
      <c r="AU123">
        <f t="shared" si="105"/>
        <v>-804928.49335597269</v>
      </c>
      <c r="AV123">
        <f t="shared" si="93"/>
        <v>-1.9399311698466344</v>
      </c>
      <c r="AW123">
        <f t="shared" si="94"/>
        <v>-245502.0138681478</v>
      </c>
      <c r="AX123">
        <f t="shared" si="95"/>
        <v>-87676.139997325954</v>
      </c>
      <c r="AY123">
        <f t="shared" si="103"/>
        <v>-2.7985800950333983</v>
      </c>
      <c r="BA123">
        <f t="shared" si="80"/>
        <v>3.3107160770370871</v>
      </c>
      <c r="BB123">
        <f t="shared" si="96"/>
        <v>10.398438755704484</v>
      </c>
      <c r="BC123">
        <f t="shared" si="97"/>
        <v>0.85864892518676394</v>
      </c>
      <c r="BD123">
        <f t="shared" si="81"/>
        <v>-130.80304044713833</v>
      </c>
      <c r="BF123">
        <f t="shared" si="82"/>
        <v>-4.4798123496676538</v>
      </c>
      <c r="BG123">
        <f t="shared" si="83"/>
        <v>-118.29486141912059</v>
      </c>
      <c r="BH123">
        <f t="shared" si="98"/>
        <v>61.705138580879407</v>
      </c>
      <c r="BI123">
        <f t="shared" si="99"/>
        <v>61.705138580879407</v>
      </c>
      <c r="BJ123">
        <f t="shared" si="84"/>
        <v>0</v>
      </c>
      <c r="BK123">
        <f t="shared" si="100"/>
        <v>0</v>
      </c>
      <c r="BM123">
        <f t="shared" si="101"/>
        <v>-14.87825110537214</v>
      </c>
      <c r="BN123">
        <f t="shared" si="85"/>
        <v>-167.49182097198226</v>
      </c>
      <c r="BQ123" s="66">
        <f t="shared" si="102"/>
        <v>27.300399555989621</v>
      </c>
      <c r="BR123" s="71"/>
      <c r="BS123" s="71"/>
      <c r="BT123" s="71">
        <v>1348.963</v>
      </c>
      <c r="BU123" s="71">
        <v>12.475899999999999</v>
      </c>
      <c r="BV123" s="71">
        <v>-258.79700000000003</v>
      </c>
      <c r="BW123" s="75"/>
      <c r="BY123" s="71"/>
      <c r="BZ123" s="71"/>
      <c r="CA123" s="71"/>
      <c r="CC123" s="71"/>
    </row>
    <row r="124" spans="1:81" x14ac:dyDescent="0.15">
      <c r="A124">
        <f t="shared" si="106"/>
        <v>45000</v>
      </c>
      <c r="B124">
        <f t="shared" si="86"/>
        <v>45</v>
      </c>
      <c r="C124">
        <f t="shared" si="55"/>
        <v>1.0172627572584403</v>
      </c>
      <c r="D124">
        <f t="shared" si="56"/>
        <v>0.18448862110272696</v>
      </c>
      <c r="F124">
        <f t="shared" si="57"/>
        <v>1.1558740142845443E-2</v>
      </c>
      <c r="G124">
        <f t="shared" si="58"/>
        <v>3.5417588711179393E-2</v>
      </c>
      <c r="H124">
        <f t="shared" si="59"/>
        <v>-3.1061750612888206</v>
      </c>
      <c r="J124">
        <f t="shared" si="60"/>
        <v>15</v>
      </c>
      <c r="M124">
        <f t="shared" si="61"/>
        <v>2.1178302498171174E-2</v>
      </c>
      <c r="N124">
        <f t="shared" si="62"/>
        <v>-1.5707963250000001</v>
      </c>
      <c r="O124">
        <f t="shared" si="63"/>
        <v>19.153709267035506</v>
      </c>
      <c r="P124">
        <f t="shared" si="64"/>
        <v>1.5185633705330728</v>
      </c>
      <c r="Q124">
        <f t="shared" si="65"/>
        <v>8.7146006397044147</v>
      </c>
      <c r="R124">
        <f t="shared" si="66"/>
        <v>1.4557930420775018</v>
      </c>
      <c r="S124">
        <f t="shared" si="67"/>
        <v>0.985074695964405</v>
      </c>
      <c r="T124">
        <f t="shared" si="68"/>
        <v>-0.1729889011968597</v>
      </c>
      <c r="U124">
        <f t="shared" si="69"/>
        <v>0.94572748582205901</v>
      </c>
      <c r="V124">
        <f t="shared" si="70"/>
        <v>-0.33097027988768735</v>
      </c>
      <c r="X124">
        <f t="shared" si="87"/>
        <v>-4.7187678667300856</v>
      </c>
      <c r="Y124">
        <f t="shared" si="71"/>
        <v>-115.85696702556642</v>
      </c>
      <c r="Z124">
        <f t="shared" si="88"/>
        <v>64.143032974433581</v>
      </c>
      <c r="AC124">
        <v>1</v>
      </c>
      <c r="AD124">
        <f t="shared" si="72"/>
        <v>19.127586849525002</v>
      </c>
      <c r="AE124">
        <f t="shared" si="73"/>
        <v>-8.1122966449250953E-4</v>
      </c>
      <c r="AF124">
        <f t="shared" si="74"/>
        <v>2.3609068764750001E-3</v>
      </c>
      <c r="AG124">
        <f t="shared" si="89"/>
        <v>7116.0784086903086</v>
      </c>
      <c r="AH124">
        <f t="shared" si="90"/>
        <v>-2868.7170881116908</v>
      </c>
      <c r="AJ124">
        <f t="shared" si="75"/>
        <v>20000</v>
      </c>
      <c r="AK124">
        <f t="shared" si="76"/>
        <v>3494.7076638599997</v>
      </c>
      <c r="AL124">
        <v>1</v>
      </c>
      <c r="AM124">
        <f t="shared" si="77"/>
        <v>8.657035538193</v>
      </c>
      <c r="AN124">
        <f t="shared" si="91"/>
        <v>661.71960316588275</v>
      </c>
      <c r="AO124">
        <f t="shared" si="92"/>
        <v>-2233.8224570660173</v>
      </c>
      <c r="AQ124">
        <f t="shared" si="78"/>
        <v>1.2344155042587335</v>
      </c>
      <c r="AR124">
        <f t="shared" si="79"/>
        <v>-111.09739538328601</v>
      </c>
      <c r="AT124">
        <f t="shared" si="104"/>
        <v>-309922.79906352534</v>
      </c>
      <c r="AU124">
        <f t="shared" si="105"/>
        <v>-794118.96539962897</v>
      </c>
      <c r="AV124">
        <f t="shared" si="93"/>
        <v>-1.9428889090468002</v>
      </c>
      <c r="AW124">
        <f t="shared" si="94"/>
        <v>-240023.30274859615</v>
      </c>
      <c r="AX124">
        <f t="shared" si="95"/>
        <v>-86046.343804020333</v>
      </c>
      <c r="AY124">
        <f t="shared" si="103"/>
        <v>-2.7973730323737427</v>
      </c>
      <c r="BA124">
        <f t="shared" si="80"/>
        <v>3.3432081281186057</v>
      </c>
      <c r="BB124">
        <f t="shared" si="96"/>
        <v>10.483268280160347</v>
      </c>
      <c r="BC124">
        <f t="shared" si="97"/>
        <v>0.85448412332694246</v>
      </c>
      <c r="BD124">
        <f t="shared" si="81"/>
        <v>-131.041666016487</v>
      </c>
      <c r="BF124">
        <f t="shared" si="82"/>
        <v>-4.5880336342731178</v>
      </c>
      <c r="BG124">
        <f t="shared" si="83"/>
        <v>-118.44196829103454</v>
      </c>
      <c r="BH124">
        <f t="shared" si="98"/>
        <v>61.558031708965459</v>
      </c>
      <c r="BI124">
        <f t="shared" si="99"/>
        <v>61.558031708965459</v>
      </c>
      <c r="BJ124">
        <f t="shared" si="84"/>
        <v>0</v>
      </c>
      <c r="BK124">
        <f t="shared" si="100"/>
        <v>0</v>
      </c>
      <c r="BM124">
        <f t="shared" si="101"/>
        <v>-15.071301914433464</v>
      </c>
      <c r="BN124">
        <f t="shared" si="85"/>
        <v>-167.40030227454753</v>
      </c>
      <c r="BQ124" s="66">
        <f t="shared" si="102"/>
        <v>27.385229080445484</v>
      </c>
      <c r="BR124" s="71"/>
      <c r="BS124" s="71"/>
      <c r="BT124" s="71">
        <v>1380.384</v>
      </c>
      <c r="BU124" s="71">
        <v>12.2584</v>
      </c>
      <c r="BV124" s="71">
        <v>-258.41000000000003</v>
      </c>
      <c r="BW124" s="75"/>
      <c r="BY124" s="71"/>
      <c r="BZ124" s="71"/>
      <c r="CA124" s="71"/>
      <c r="CC124" s="71"/>
    </row>
    <row r="125" spans="1:81" x14ac:dyDescent="0.15">
      <c r="A125">
        <f t="shared" si="106"/>
        <v>45500</v>
      </c>
      <c r="B125">
        <f t="shared" si="86"/>
        <v>45.5</v>
      </c>
      <c r="C125">
        <f t="shared" si="55"/>
        <v>1.0176451603799939</v>
      </c>
      <c r="D125">
        <f t="shared" si="56"/>
        <v>0.18649154561510056</v>
      </c>
      <c r="F125">
        <f t="shared" si="57"/>
        <v>1.130335207336108E-2</v>
      </c>
      <c r="G125">
        <f t="shared" si="58"/>
        <v>3.5019714354877655E-2</v>
      </c>
      <c r="H125">
        <f t="shared" si="59"/>
        <v>-3.1065729356451226</v>
      </c>
      <c r="J125">
        <f t="shared" si="60"/>
        <v>15</v>
      </c>
      <c r="M125">
        <f t="shared" si="61"/>
        <v>2.0945573899290169E-2</v>
      </c>
      <c r="N125">
        <f t="shared" si="62"/>
        <v>-1.5707963250000001</v>
      </c>
      <c r="O125">
        <f t="shared" si="63"/>
        <v>19.365951335357344</v>
      </c>
      <c r="P125">
        <f t="shared" si="64"/>
        <v>1.5191363327310647</v>
      </c>
      <c r="Q125">
        <f t="shared" si="65"/>
        <v>8.8101614504851078</v>
      </c>
      <c r="R125">
        <f t="shared" si="66"/>
        <v>1.457045881606865</v>
      </c>
      <c r="S125">
        <f t="shared" si="67"/>
        <v>0.98474877133212491</v>
      </c>
      <c r="T125">
        <f t="shared" si="68"/>
        <v>-0.17487226064433492</v>
      </c>
      <c r="U125">
        <f t="shared" si="69"/>
        <v>0.94461364339889364</v>
      </c>
      <c r="V125">
        <f t="shared" si="70"/>
        <v>-0.33438097990859333</v>
      </c>
      <c r="X125">
        <f t="shared" si="87"/>
        <v>-4.8282097013446332</v>
      </c>
      <c r="Y125">
        <f t="shared" si="71"/>
        <v>-115.96372095666308</v>
      </c>
      <c r="Z125">
        <f t="shared" si="88"/>
        <v>64.036279043336918</v>
      </c>
      <c r="AC125">
        <v>1</v>
      </c>
      <c r="AD125">
        <f t="shared" si="72"/>
        <v>19.340115592297501</v>
      </c>
      <c r="AE125">
        <f t="shared" si="73"/>
        <v>-8.2935714218055191E-4</v>
      </c>
      <c r="AF125">
        <f t="shared" si="74"/>
        <v>2.3871391751025006E-3</v>
      </c>
      <c r="AG125">
        <f t="shared" si="89"/>
        <v>7099.326178154537</v>
      </c>
      <c r="AH125">
        <f t="shared" si="90"/>
        <v>-2885.4106800145282</v>
      </c>
      <c r="AJ125">
        <f t="shared" si="75"/>
        <v>20000</v>
      </c>
      <c r="AK125">
        <f t="shared" si="76"/>
        <v>3533.5377490140004</v>
      </c>
      <c r="AL125">
        <v>1</v>
      </c>
      <c r="AM125">
        <f t="shared" si="77"/>
        <v>8.753224821950699</v>
      </c>
      <c r="AN125">
        <f t="shared" si="91"/>
        <v>656.15231533939846</v>
      </c>
      <c r="AO125">
        <f t="shared" si="92"/>
        <v>-2209.9109845952444</v>
      </c>
      <c r="AQ125">
        <f t="shared" si="78"/>
        <v>1.2074378169524269</v>
      </c>
      <c r="AR125">
        <f t="shared" si="79"/>
        <v>-109.87684134267086</v>
      </c>
      <c r="AT125">
        <f t="shared" si="104"/>
        <v>-308467.81659402023</v>
      </c>
      <c r="AU125">
        <f t="shared" si="105"/>
        <v>-783535.49008944386</v>
      </c>
      <c r="AV125">
        <f t="shared" si="93"/>
        <v>-1.9458487320845879</v>
      </c>
      <c r="AW125">
        <f t="shared" si="94"/>
        <v>-234721.34065309938</v>
      </c>
      <c r="AX125">
        <f t="shared" si="95"/>
        <v>-84474.909406897146</v>
      </c>
      <c r="AY125">
        <f t="shared" si="103"/>
        <v>-2.7961305102369489</v>
      </c>
      <c r="BA125">
        <f t="shared" si="80"/>
        <v>3.3755720679161541</v>
      </c>
      <c r="BB125">
        <f t="shared" si="96"/>
        <v>10.566947690811368</v>
      </c>
      <c r="BC125">
        <f t="shared" si="97"/>
        <v>0.85028177815236106</v>
      </c>
      <c r="BD125">
        <f t="shared" si="81"/>
        <v>-131.28244265932281</v>
      </c>
      <c r="BF125">
        <f t="shared" si="82"/>
        <v>-4.6951545951318749</v>
      </c>
      <c r="BG125">
        <f t="shared" si="83"/>
        <v>-118.59078233391556</v>
      </c>
      <c r="BH125">
        <f t="shared" si="98"/>
        <v>61.409217666084444</v>
      </c>
      <c r="BI125">
        <f t="shared" si="99"/>
        <v>61.409217666084444</v>
      </c>
      <c r="BJ125">
        <f t="shared" si="84"/>
        <v>0</v>
      </c>
      <c r="BK125">
        <f t="shared" si="100"/>
        <v>0</v>
      </c>
      <c r="BM125">
        <f t="shared" si="101"/>
        <v>-15.262102285943245</v>
      </c>
      <c r="BN125">
        <f t="shared" si="85"/>
        <v>-167.30833967459276</v>
      </c>
      <c r="BQ125" s="66">
        <f t="shared" si="102"/>
        <v>27.468908491096506</v>
      </c>
      <c r="BR125" s="71"/>
      <c r="BS125" s="71"/>
      <c r="BT125" s="71">
        <v>1412.538</v>
      </c>
      <c r="BU125" s="71">
        <v>12.0929</v>
      </c>
      <c r="BV125" s="71">
        <v>-258.13599999999997</v>
      </c>
      <c r="BW125" s="75"/>
      <c r="BY125" s="71"/>
      <c r="BZ125" s="71"/>
      <c r="CA125" s="71"/>
      <c r="CC125" s="71"/>
    </row>
    <row r="126" spans="1:81" x14ac:dyDescent="0.15">
      <c r="A126">
        <f t="shared" si="106"/>
        <v>46000</v>
      </c>
      <c r="B126">
        <f t="shared" si="86"/>
        <v>46</v>
      </c>
      <c r="C126">
        <f t="shared" si="55"/>
        <v>1.0180316429187934</v>
      </c>
      <c r="D126">
        <f t="shared" si="56"/>
        <v>0.18849295738275343</v>
      </c>
      <c r="F126">
        <f t="shared" si="57"/>
        <v>1.1056364502599177E-2</v>
      </c>
      <c r="G126">
        <f t="shared" si="58"/>
        <v>3.4630771453860558E-2</v>
      </c>
      <c r="H126">
        <f t="shared" si="59"/>
        <v>-3.1069618785461395</v>
      </c>
      <c r="J126">
        <f t="shared" si="60"/>
        <v>15</v>
      </c>
      <c r="M126">
        <f t="shared" si="61"/>
        <v>2.0717904617776148E-2</v>
      </c>
      <c r="N126">
        <f t="shared" si="62"/>
        <v>-1.5707963250000001</v>
      </c>
      <c r="O126">
        <f t="shared" si="63"/>
        <v>19.578199623401154</v>
      </c>
      <c r="P126">
        <f t="shared" si="64"/>
        <v>1.5196968720833386</v>
      </c>
      <c r="Q126">
        <f t="shared" si="65"/>
        <v>8.9057357929769516</v>
      </c>
      <c r="R126">
        <f t="shared" si="66"/>
        <v>1.4582718326452242</v>
      </c>
      <c r="S126">
        <f t="shared" si="67"/>
        <v>0.98441957399405322</v>
      </c>
      <c r="T126">
        <f t="shared" si="68"/>
        <v>-0.17675436756587024</v>
      </c>
      <c r="U126">
        <f t="shared" si="69"/>
        <v>0.94349148483258738</v>
      </c>
      <c r="V126">
        <f t="shared" si="70"/>
        <v>-0.33778361591718792</v>
      </c>
      <c r="X126">
        <f t="shared" si="87"/>
        <v>-4.9365700394262042</v>
      </c>
      <c r="Y126">
        <f t="shared" si="71"/>
        <v>-116.07176840231615</v>
      </c>
      <c r="Z126">
        <f t="shared" si="88"/>
        <v>63.928231597683848</v>
      </c>
      <c r="AC126">
        <v>1</v>
      </c>
      <c r="AD126">
        <f t="shared" si="72"/>
        <v>19.552644335070003</v>
      </c>
      <c r="AE126">
        <f t="shared" si="73"/>
        <v>-8.4768492348945691E-4</v>
      </c>
      <c r="AF126">
        <f t="shared" si="74"/>
        <v>2.4133714737300002E-3</v>
      </c>
      <c r="AG126">
        <f t="shared" si="89"/>
        <v>7082.46883594265</v>
      </c>
      <c r="AH126">
        <f t="shared" si="90"/>
        <v>-2902.0406222370302</v>
      </c>
      <c r="AJ126">
        <f t="shared" si="75"/>
        <v>20000</v>
      </c>
      <c r="AK126">
        <f t="shared" si="76"/>
        <v>3572.3678341679997</v>
      </c>
      <c r="AL126">
        <v>1</v>
      </c>
      <c r="AM126">
        <f t="shared" si="77"/>
        <v>8.8494141057083997</v>
      </c>
      <c r="AN126">
        <f t="shared" si="91"/>
        <v>650.76252892404136</v>
      </c>
      <c r="AO126">
        <f t="shared" si="92"/>
        <v>-2186.4992687588829</v>
      </c>
      <c r="AQ126">
        <f t="shared" si="78"/>
        <v>1.1813349084465445</v>
      </c>
      <c r="AR126">
        <f t="shared" si="79"/>
        <v>-108.68281157708211</v>
      </c>
      <c r="AT126">
        <f t="shared" si="104"/>
        <v>-307035.16646174144</v>
      </c>
      <c r="AU126">
        <f t="shared" si="105"/>
        <v>-773170.90789008967</v>
      </c>
      <c r="AV126">
        <f t="shared" si="93"/>
        <v>-1.9488102602463724</v>
      </c>
      <c r="AW126">
        <f t="shared" si="94"/>
        <v>-229588.66807908393</v>
      </c>
      <c r="AX126">
        <f t="shared" si="95"/>
        <v>-82958.996576056059</v>
      </c>
      <c r="AY126">
        <f t="shared" si="103"/>
        <v>-2.7948535258881479</v>
      </c>
      <c r="BA126">
        <f t="shared" si="80"/>
        <v>3.4078063203069648</v>
      </c>
      <c r="BB126">
        <f t="shared" si="96"/>
        <v>10.649498080976759</v>
      </c>
      <c r="BC126">
        <f t="shared" si="97"/>
        <v>0.84604326564177557</v>
      </c>
      <c r="BD126">
        <f t="shared" si="81"/>
        <v>-131.52529153787026</v>
      </c>
      <c r="BF126">
        <f t="shared" si="82"/>
        <v>-4.8012042360747316</v>
      </c>
      <c r="BG126">
        <f t="shared" si="83"/>
        <v>-118.74124355170292</v>
      </c>
      <c r="BH126">
        <f t="shared" si="98"/>
        <v>61.258756448297078</v>
      </c>
      <c r="BI126">
        <f t="shared" si="99"/>
        <v>61.258756448297078</v>
      </c>
      <c r="BJ126">
        <f t="shared" si="84"/>
        <v>0</v>
      </c>
      <c r="BK126">
        <f t="shared" si="100"/>
        <v>0</v>
      </c>
      <c r="BM126">
        <f t="shared" si="101"/>
        <v>-15.450702317051491</v>
      </c>
      <c r="BN126">
        <f t="shared" si="85"/>
        <v>-167.21595201383266</v>
      </c>
      <c r="BQ126" s="66">
        <f t="shared" si="102"/>
        <v>27.551458881261897</v>
      </c>
      <c r="BR126" s="71"/>
      <c r="BS126" s="71"/>
      <c r="BT126" s="71">
        <v>1445.44</v>
      </c>
      <c r="BU126" s="71">
        <v>11.918900000000001</v>
      </c>
      <c r="BV126" s="71">
        <v>-257.92899999999997</v>
      </c>
      <c r="BW126" s="75"/>
      <c r="BY126" s="71"/>
      <c r="BZ126" s="71"/>
      <c r="CA126" s="71"/>
      <c r="CC126" s="71"/>
    </row>
    <row r="127" spans="1:81" x14ac:dyDescent="0.15">
      <c r="A127">
        <f t="shared" si="106"/>
        <v>46500</v>
      </c>
      <c r="B127">
        <f t="shared" si="86"/>
        <v>46.5</v>
      </c>
      <c r="C127">
        <f t="shared" si="55"/>
        <v>1.0184222002305263</v>
      </c>
      <c r="D127">
        <f t="shared" si="56"/>
        <v>0.19049284210320078</v>
      </c>
      <c r="F127">
        <f t="shared" si="57"/>
        <v>1.0817411788088302E-2</v>
      </c>
      <c r="G127">
        <f t="shared" si="58"/>
        <v>3.4250459757487757E-2</v>
      </c>
      <c r="H127">
        <f t="shared" si="59"/>
        <v>-3.1073421902425125</v>
      </c>
      <c r="J127">
        <f t="shared" si="60"/>
        <v>15</v>
      </c>
      <c r="M127">
        <f t="shared" si="61"/>
        <v>2.0495131449843072E-2</v>
      </c>
      <c r="N127">
        <f t="shared" si="62"/>
        <v>-1.5707963250000001</v>
      </c>
      <c r="O127">
        <f t="shared" si="63"/>
        <v>19.790453931051456</v>
      </c>
      <c r="P127">
        <f t="shared" si="64"/>
        <v>1.5202453879400935</v>
      </c>
      <c r="Q127">
        <f t="shared" si="65"/>
        <v>9.0013232361485276</v>
      </c>
      <c r="R127">
        <f t="shared" si="66"/>
        <v>1.4594717480555792</v>
      </c>
      <c r="S127">
        <f t="shared" si="67"/>
        <v>0.98408711422441419</v>
      </c>
      <c r="T127">
        <f t="shared" si="68"/>
        <v>-0.17863520988984799</v>
      </c>
      <c r="U127">
        <f t="shared" si="69"/>
        <v>0.94236111753815766</v>
      </c>
      <c r="V127">
        <f t="shared" si="70"/>
        <v>-0.34117813796815355</v>
      </c>
      <c r="X127">
        <f t="shared" si="87"/>
        <v>-5.0438759183949138</v>
      </c>
      <c r="Y127">
        <f t="shared" si="71"/>
        <v>-116.18105208525213</v>
      </c>
      <c r="Z127">
        <f t="shared" si="88"/>
        <v>63.818947914747866</v>
      </c>
      <c r="AC127">
        <v>1</v>
      </c>
      <c r="AD127">
        <f t="shared" si="72"/>
        <v>19.765173077842501</v>
      </c>
      <c r="AE127">
        <f t="shared" si="73"/>
        <v>-8.6621300841922409E-4</v>
      </c>
      <c r="AF127">
        <f t="shared" si="74"/>
        <v>2.4396037723575003E-3</v>
      </c>
      <c r="AG127">
        <f t="shared" si="89"/>
        <v>7065.5084382664236</v>
      </c>
      <c r="AH127">
        <f t="shared" si="90"/>
        <v>-2918.6031768763678</v>
      </c>
      <c r="AJ127">
        <f t="shared" si="75"/>
        <v>20000</v>
      </c>
      <c r="AK127">
        <f t="shared" si="76"/>
        <v>3611.1979193220004</v>
      </c>
      <c r="AL127">
        <v>1</v>
      </c>
      <c r="AM127">
        <f t="shared" si="77"/>
        <v>8.9456033894660987</v>
      </c>
      <c r="AN127">
        <f t="shared" si="91"/>
        <v>645.54280884398304</v>
      </c>
      <c r="AO127">
        <f t="shared" si="92"/>
        <v>-2163.5720195181993</v>
      </c>
      <c r="AQ127">
        <f t="shared" si="78"/>
        <v>1.1560693641618498</v>
      </c>
      <c r="AR127">
        <f t="shared" si="79"/>
        <v>-107.51445086705202</v>
      </c>
      <c r="AT127">
        <f t="shared" si="104"/>
        <v>-305623.80001298932</v>
      </c>
      <c r="AU127">
        <f t="shared" si="105"/>
        <v>-763018.36755566904</v>
      </c>
      <c r="AV127">
        <f t="shared" si="93"/>
        <v>-1.951773129826752</v>
      </c>
      <c r="AW127">
        <f t="shared" si="94"/>
        <v>-224618.21307983255</v>
      </c>
      <c r="AX127">
        <f t="shared" si="95"/>
        <v>-81495.935288371242</v>
      </c>
      <c r="AY127">
        <f t="shared" si="103"/>
        <v>-2.7935430370475478</v>
      </c>
      <c r="BA127">
        <f t="shared" si="80"/>
        <v>3.4399093276416228</v>
      </c>
      <c r="BB127">
        <f t="shared" si="96"/>
        <v>10.730939903617303</v>
      </c>
      <c r="BC127">
        <f t="shared" si="97"/>
        <v>0.84176990722079581</v>
      </c>
      <c r="BD127">
        <f t="shared" si="81"/>
        <v>-131.77013694001886</v>
      </c>
      <c r="BF127">
        <f t="shared" si="82"/>
        <v>-4.9062105120617723</v>
      </c>
      <c r="BG127">
        <f t="shared" si="83"/>
        <v>-118.89329425485279</v>
      </c>
      <c r="BH127">
        <f t="shared" si="98"/>
        <v>61.10670574514721</v>
      </c>
      <c r="BI127">
        <f t="shared" si="99"/>
        <v>61.10670574514721</v>
      </c>
      <c r="BJ127">
        <f t="shared" si="84"/>
        <v>0</v>
      </c>
      <c r="BK127">
        <f t="shared" si="100"/>
        <v>0</v>
      </c>
      <c r="BM127">
        <f t="shared" si="101"/>
        <v>-15.637150415679075</v>
      </c>
      <c r="BN127">
        <f t="shared" si="85"/>
        <v>-167.12315731483392</v>
      </c>
      <c r="BQ127" s="66">
        <f t="shared" si="102"/>
        <v>27.63290070390244</v>
      </c>
      <c r="BR127" s="71"/>
      <c r="BS127" s="71"/>
      <c r="BT127" s="71">
        <v>1479.1079999999999</v>
      </c>
      <c r="BU127" s="71">
        <v>11.714700000000001</v>
      </c>
      <c r="BV127" s="71">
        <v>-257.745</v>
      </c>
      <c r="BW127" s="75"/>
      <c r="BY127" s="71"/>
      <c r="BZ127" s="71"/>
      <c r="CA127" s="71"/>
      <c r="CC127" s="71"/>
    </row>
    <row r="128" spans="1:81" x14ac:dyDescent="0.15">
      <c r="A128">
        <f t="shared" si="106"/>
        <v>47000</v>
      </c>
      <c r="B128">
        <f t="shared" si="86"/>
        <v>47</v>
      </c>
      <c r="C128">
        <f t="shared" si="55"/>
        <v>1.0188168276290734</v>
      </c>
      <c r="D128">
        <f t="shared" si="56"/>
        <v>0.19249118554463379</v>
      </c>
      <c r="F128">
        <f t="shared" si="57"/>
        <v>1.0586148030114338E-2</v>
      </c>
      <c r="G128">
        <f t="shared" si="58"/>
        <v>3.3878492439986557E-2</v>
      </c>
      <c r="H128">
        <f t="shared" si="59"/>
        <v>-3.1077141575600136</v>
      </c>
      <c r="J128">
        <f t="shared" si="60"/>
        <v>15</v>
      </c>
      <c r="M128">
        <f t="shared" si="61"/>
        <v>2.0277098136546868E-2</v>
      </c>
      <c r="N128">
        <f t="shared" si="62"/>
        <v>-1.5707963250000001</v>
      </c>
      <c r="O128">
        <f t="shared" si="63"/>
        <v>20.00271406668115</v>
      </c>
      <c r="P128">
        <f t="shared" si="64"/>
        <v>1.5207822627302712</v>
      </c>
      <c r="Q128">
        <f t="shared" si="65"/>
        <v>9.096923367027097</v>
      </c>
      <c r="R128">
        <f t="shared" si="66"/>
        <v>1.4606464451570873</v>
      </c>
      <c r="S128">
        <f t="shared" si="67"/>
        <v>0.98375140238041936</v>
      </c>
      <c r="T128">
        <f t="shared" si="68"/>
        <v>-0.18051477559665532</v>
      </c>
      <c r="U128">
        <f t="shared" si="69"/>
        <v>0.94122264899139452</v>
      </c>
      <c r="V128">
        <f t="shared" si="70"/>
        <v>-0.34456449710202702</v>
      </c>
      <c r="X128">
        <f t="shared" si="87"/>
        <v>-5.1501533798613295</v>
      </c>
      <c r="Y128">
        <f t="shared" si="71"/>
        <v>-116.29151702045354</v>
      </c>
      <c r="Z128">
        <f t="shared" si="88"/>
        <v>63.70848297954646</v>
      </c>
      <c r="AC128">
        <v>1</v>
      </c>
      <c r="AD128">
        <f t="shared" si="72"/>
        <v>19.977701820615003</v>
      </c>
      <c r="AE128">
        <f t="shared" si="73"/>
        <v>-8.8494139696985356E-4</v>
      </c>
      <c r="AF128">
        <f t="shared" si="74"/>
        <v>2.4658360709850003E-3</v>
      </c>
      <c r="AG128">
        <f t="shared" si="89"/>
        <v>7048.4470377645166</v>
      </c>
      <c r="AH128">
        <f t="shared" si="90"/>
        <v>-2935.0947750457267</v>
      </c>
      <c r="AJ128">
        <f t="shared" si="75"/>
        <v>20000</v>
      </c>
      <c r="AK128">
        <f t="shared" si="76"/>
        <v>3650.0280044760002</v>
      </c>
      <c r="AL128">
        <v>1</v>
      </c>
      <c r="AM128">
        <f t="shared" si="77"/>
        <v>9.0417926732237994</v>
      </c>
      <c r="AN128">
        <f t="shared" si="91"/>
        <v>640.48610367600622</v>
      </c>
      <c r="AO128">
        <f t="shared" si="92"/>
        <v>-2141.1145550433716</v>
      </c>
      <c r="AQ128">
        <f t="shared" si="78"/>
        <v>1.1316057485572026</v>
      </c>
      <c r="AR128">
        <f t="shared" si="79"/>
        <v>-106.37094036437705</v>
      </c>
      <c r="AT128">
        <f t="shared" si="104"/>
        <v>-304232.72809384833</v>
      </c>
      <c r="AU128">
        <f t="shared" si="105"/>
        <v>-753071.30963552138</v>
      </c>
      <c r="AV128">
        <f t="shared" si="93"/>
        <v>-1.9547369913860075</v>
      </c>
      <c r="AW128">
        <f t="shared" si="94"/>
        <v>-219803.26746240002</v>
      </c>
      <c r="AX128">
        <f t="shared" si="95"/>
        <v>-80083.213746570531</v>
      </c>
      <c r="AY128">
        <f t="shared" si="103"/>
        <v>-2.7921999640290434</v>
      </c>
      <c r="BA128">
        <f t="shared" si="80"/>
        <v>3.4718795505088278</v>
      </c>
      <c r="BB128">
        <f t="shared" si="96"/>
        <v>10.811292996812846</v>
      </c>
      <c r="BC128">
        <f t="shared" si="97"/>
        <v>0.83746297264303582</v>
      </c>
      <c r="BD128">
        <f t="shared" si="81"/>
        <v>-132.01690611424544</v>
      </c>
      <c r="BF128">
        <f t="shared" si="82"/>
        <v>-5.0102003796180519</v>
      </c>
      <c r="BG128">
        <f t="shared" si="83"/>
        <v>-119.04687894117076</v>
      </c>
      <c r="BH128">
        <f t="shared" si="98"/>
        <v>60.95312105882924</v>
      </c>
      <c r="BI128">
        <f t="shared" si="99"/>
        <v>60.95312105882924</v>
      </c>
      <c r="BJ128">
        <f t="shared" si="84"/>
        <v>0</v>
      </c>
      <c r="BK128">
        <f t="shared" si="100"/>
        <v>0</v>
      </c>
      <c r="BM128">
        <f t="shared" si="101"/>
        <v>-15.821493376430897</v>
      </c>
      <c r="BN128">
        <f t="shared" si="85"/>
        <v>-167.02997282692533</v>
      </c>
      <c r="BQ128" s="66">
        <f t="shared" si="102"/>
        <v>27.713253797097984</v>
      </c>
      <c r="BR128" s="71"/>
      <c r="BS128" s="71"/>
      <c r="BT128" s="71">
        <v>1513.5609999999999</v>
      </c>
      <c r="BU128" s="71">
        <v>11.5252</v>
      </c>
      <c r="BV128" s="71">
        <v>-257.61</v>
      </c>
      <c r="BW128" s="75"/>
      <c r="BY128" s="71"/>
      <c r="BZ128" s="71"/>
      <c r="CA128" s="71"/>
      <c r="CC128" s="71"/>
    </row>
    <row r="129" spans="1:81" x14ac:dyDescent="0.15">
      <c r="A129">
        <f t="shared" si="106"/>
        <v>47500</v>
      </c>
      <c r="B129">
        <f t="shared" si="86"/>
        <v>47.5</v>
      </c>
      <c r="C129">
        <f t="shared" si="55"/>
        <v>1.0192155203867763</v>
      </c>
      <c r="D129">
        <f t="shared" si="56"/>
        <v>0.19448797354641023</v>
      </c>
      <c r="F129">
        <f t="shared" si="57"/>
        <v>1.0362245802292848E-2</v>
      </c>
      <c r="G129">
        <f t="shared" si="58"/>
        <v>3.3514595352654206E-2</v>
      </c>
      <c r="H129">
        <f t="shared" si="59"/>
        <v>-3.1080780546473461</v>
      </c>
      <c r="J129">
        <f t="shared" si="60"/>
        <v>15</v>
      </c>
      <c r="M129">
        <f t="shared" si="61"/>
        <v>2.0063654998267427E-2</v>
      </c>
      <c r="N129">
        <f t="shared" si="62"/>
        <v>-1.5707963250000001</v>
      </c>
      <c r="O129">
        <f t="shared" si="63"/>
        <v>20.214979846706424</v>
      </c>
      <c r="P129">
        <f t="shared" si="64"/>
        <v>1.5213078628476648</v>
      </c>
      <c r="Q129">
        <f t="shared" si="65"/>
        <v>9.1925357897654916</v>
      </c>
      <c r="R129">
        <f t="shared" si="66"/>
        <v>1.4617967075500711</v>
      </c>
      <c r="S129">
        <f t="shared" si="67"/>
        <v>0.98341244890141222</v>
      </c>
      <c r="T129">
        <f t="shared" si="68"/>
        <v>-0.18239305271907003</v>
      </c>
      <c r="U129">
        <f t="shared" si="69"/>
        <v>0.94007618670604398</v>
      </c>
      <c r="V129">
        <f t="shared" si="70"/>
        <v>-0.34794264534336794</v>
      </c>
      <c r="X129">
        <f t="shared" si="87"/>
        <v>-5.2554275173056393</v>
      </c>
      <c r="Y129">
        <f t="shared" si="71"/>
        <v>-116.40311040255803</v>
      </c>
      <c r="Z129">
        <f t="shared" si="88"/>
        <v>63.596889597441972</v>
      </c>
      <c r="AC129">
        <v>1</v>
      </c>
      <c r="AD129">
        <f t="shared" si="72"/>
        <v>20.190230563387502</v>
      </c>
      <c r="AE129">
        <f t="shared" si="73"/>
        <v>-9.0387008914134554E-4</v>
      </c>
      <c r="AF129">
        <f t="shared" si="74"/>
        <v>2.4920683696125004E-3</v>
      </c>
      <c r="AG129">
        <f t="shared" si="89"/>
        <v>7031.2866830161993</v>
      </c>
      <c r="AH129">
        <f t="shared" si="90"/>
        <v>-2951.5120093193577</v>
      </c>
      <c r="AJ129">
        <f t="shared" si="75"/>
        <v>20000</v>
      </c>
      <c r="AK129">
        <f t="shared" si="76"/>
        <v>3688.8580896300004</v>
      </c>
      <c r="AL129">
        <v>1</v>
      </c>
      <c r="AM129">
        <f t="shared" si="77"/>
        <v>9.1379819569815002</v>
      </c>
      <c r="AN129">
        <f t="shared" si="91"/>
        <v>635.58572223460396</v>
      </c>
      <c r="AO129">
        <f t="shared" si="92"/>
        <v>-2119.1127722648662</v>
      </c>
      <c r="AQ129">
        <f t="shared" si="78"/>
        <v>1.1079104808331486</v>
      </c>
      <c r="AR129">
        <f t="shared" si="79"/>
        <v>-105.25149567914913</v>
      </c>
      <c r="AT129">
        <f t="shared" si="104"/>
        <v>-302861.01728597691</v>
      </c>
      <c r="AU129">
        <f t="shared" si="105"/>
        <v>-743323.45102576818</v>
      </c>
      <c r="AV129">
        <f t="shared" si="93"/>
        <v>-1.9577015090537706</v>
      </c>
      <c r="AW129">
        <f t="shared" si="94"/>
        <v>-215137.46466537469</v>
      </c>
      <c r="AX129">
        <f t="shared" si="95"/>
        <v>-78718.467360283394</v>
      </c>
      <c r="AY129">
        <f t="shared" si="103"/>
        <v>-2.7908251917460252</v>
      </c>
      <c r="BA129">
        <f t="shared" si="80"/>
        <v>3.5037154675327988</v>
      </c>
      <c r="BB129">
        <f t="shared" si="96"/>
        <v>10.890576608038371</v>
      </c>
      <c r="BC129">
        <f t="shared" si="97"/>
        <v>0.83312368269225456</v>
      </c>
      <c r="BD129">
        <f t="shared" si="81"/>
        <v>-132.26552911479286</v>
      </c>
      <c r="BF129">
        <f t="shared" si="82"/>
        <v>-5.113199844222577</v>
      </c>
      <c r="BG129">
        <f t="shared" si="83"/>
        <v>-119.20194418380837</v>
      </c>
      <c r="BH129">
        <f t="shared" si="98"/>
        <v>60.798055816191635</v>
      </c>
      <c r="BI129">
        <f t="shared" si="99"/>
        <v>60.798055816191635</v>
      </c>
      <c r="BJ129">
        <f t="shared" si="84"/>
        <v>0</v>
      </c>
      <c r="BK129">
        <f t="shared" si="100"/>
        <v>0</v>
      </c>
      <c r="BM129">
        <f t="shared" si="101"/>
        <v>-16.003776452260947</v>
      </c>
      <c r="BN129">
        <f t="shared" si="85"/>
        <v>-166.93641506901554</v>
      </c>
      <c r="BQ129" s="66">
        <f t="shared" si="102"/>
        <v>27.792537408323508</v>
      </c>
      <c r="BR129" s="71"/>
      <c r="BS129" s="71"/>
      <c r="BT129" s="71">
        <v>1548.817</v>
      </c>
      <c r="BU129" s="71">
        <v>11.3354</v>
      </c>
      <c r="BV129" s="71">
        <v>-257.471</v>
      </c>
      <c r="BW129" s="75"/>
      <c r="BY129" s="71"/>
      <c r="BZ129" s="71"/>
      <c r="CA129" s="71"/>
      <c r="CC129" s="71"/>
    </row>
    <row r="130" spans="1:81" x14ac:dyDescent="0.15">
      <c r="A130">
        <f t="shared" si="106"/>
        <v>48000</v>
      </c>
      <c r="B130">
        <f t="shared" si="86"/>
        <v>48</v>
      </c>
      <c r="C130">
        <f t="shared" si="55"/>
        <v>1.0196182737347048</v>
      </c>
      <c r="D130">
        <f t="shared" si="56"/>
        <v>0.19648319201953715</v>
      </c>
      <c r="F130">
        <f t="shared" si="57"/>
        <v>1.0145394976634211E-2</v>
      </c>
      <c r="G130">
        <f t="shared" si="58"/>
        <v>3.3158506325832962E-2</v>
      </c>
      <c r="H130">
        <f t="shared" si="59"/>
        <v>-3.1084341436741671</v>
      </c>
      <c r="J130">
        <f t="shared" si="60"/>
        <v>15</v>
      </c>
      <c r="M130">
        <f t="shared" si="61"/>
        <v>1.9854658592035477E-2</v>
      </c>
      <c r="N130">
        <f t="shared" si="62"/>
        <v>-1.5707963250000001</v>
      </c>
      <c r="O130">
        <f t="shared" si="63"/>
        <v>20.427251095169378</v>
      </c>
      <c r="P130">
        <f t="shared" si="64"/>
        <v>1.5218225394819682</v>
      </c>
      <c r="Q130">
        <f t="shared" si="65"/>
        <v>9.2881601247660974</v>
      </c>
      <c r="R130">
        <f t="shared" si="66"/>
        <v>1.4629232868301814</v>
      </c>
      <c r="S130">
        <f t="shared" si="67"/>
        <v>0.9830702643080067</v>
      </c>
      <c r="T130">
        <f t="shared" si="68"/>
        <v>-0.1842700293426407</v>
      </c>
      <c r="U130">
        <f t="shared" si="69"/>
        <v>0.9389218382112785</v>
      </c>
      <c r="V130">
        <f t="shared" si="70"/>
        <v>-0.35131253569869553</v>
      </c>
      <c r="X130">
        <f t="shared" si="87"/>
        <v>-5.3597225209258692</v>
      </c>
      <c r="Y130">
        <f t="shared" si="71"/>
        <v>-116.51578149989842</v>
      </c>
      <c r="Z130">
        <f t="shared" si="88"/>
        <v>63.484218500101576</v>
      </c>
      <c r="AC130">
        <v>1</v>
      </c>
      <c r="AD130">
        <f t="shared" si="72"/>
        <v>20.402759306160004</v>
      </c>
      <c r="AE130">
        <f t="shared" si="73"/>
        <v>-9.2299908493369981E-4</v>
      </c>
      <c r="AF130">
        <f t="shared" si="74"/>
        <v>2.5183006682400005E-3</v>
      </c>
      <c r="AG130">
        <f t="shared" si="89"/>
        <v>7014.0294180636492</v>
      </c>
      <c r="AH130">
        <f t="shared" si="90"/>
        <v>-2967.8516266265442</v>
      </c>
      <c r="AJ130">
        <f t="shared" si="75"/>
        <v>20000</v>
      </c>
      <c r="AK130">
        <f t="shared" si="76"/>
        <v>3727.6881747840002</v>
      </c>
      <c r="AL130">
        <v>1</v>
      </c>
      <c r="AM130">
        <f t="shared" si="77"/>
        <v>9.2341712407391991</v>
      </c>
      <c r="AN130">
        <f t="shared" si="91"/>
        <v>630.83531180054911</v>
      </c>
      <c r="AO130">
        <f t="shared" si="92"/>
        <v>-2097.5531190873762</v>
      </c>
      <c r="AQ130">
        <f t="shared" si="78"/>
        <v>1.0849517196484757</v>
      </c>
      <c r="AR130">
        <f t="shared" si="79"/>
        <v>-104.15536508625367</v>
      </c>
      <c r="AT130">
        <f t="shared" si="104"/>
        <v>-301507.7864143264</v>
      </c>
      <c r="AU130">
        <f t="shared" si="105"/>
        <v>-733768.77049011271</v>
      </c>
      <c r="AV130">
        <f t="shared" si="93"/>
        <v>-1.9606663598755507</v>
      </c>
      <c r="AW130">
        <f t="shared" si="94"/>
        <v>-210614.75918303148</v>
      </c>
      <c r="AX130">
        <f t="shared" si="95"/>
        <v>-77399.46860269997</v>
      </c>
      <c r="AY130">
        <f t="shared" si="103"/>
        <v>-2.7894195715937333</v>
      </c>
      <c r="BA130">
        <f t="shared" si="80"/>
        <v>3.5354155752009646</v>
      </c>
      <c r="BB130">
        <f t="shared" si="96"/>
        <v>10.968809417304348</v>
      </c>
      <c r="BC130">
        <f t="shared" si="97"/>
        <v>0.82875321171818261</v>
      </c>
      <c r="BD130">
        <f t="shared" si="81"/>
        <v>-132.51593865637773</v>
      </c>
      <c r="BF130">
        <f t="shared" si="82"/>
        <v>-5.2152340048688561</v>
      </c>
      <c r="BG130">
        <f t="shared" si="83"/>
        <v>-119.35843852593699</v>
      </c>
      <c r="BH130">
        <f t="shared" si="98"/>
        <v>60.64156147406301</v>
      </c>
      <c r="BI130">
        <f t="shared" si="99"/>
        <v>60.64156147406301</v>
      </c>
      <c r="BJ130">
        <f t="shared" si="84"/>
        <v>0</v>
      </c>
      <c r="BK130">
        <f t="shared" si="100"/>
        <v>0</v>
      </c>
      <c r="BM130">
        <f t="shared" si="101"/>
        <v>-16.184043422173207</v>
      </c>
      <c r="BN130">
        <f t="shared" si="85"/>
        <v>-166.84249986955925</v>
      </c>
      <c r="BQ130" s="66">
        <f t="shared" si="102"/>
        <v>27.870770217589484</v>
      </c>
      <c r="BR130" s="71"/>
      <c r="BS130" s="71"/>
      <c r="BT130" s="71">
        <v>1584.893</v>
      </c>
      <c r="BU130" s="71">
        <v>11.160399999999999</v>
      </c>
      <c r="BV130" s="71">
        <v>-256.94200000000001</v>
      </c>
      <c r="BW130" s="75"/>
      <c r="BY130" s="71"/>
      <c r="BZ130" s="71"/>
      <c r="CA130" s="71"/>
      <c r="CC130" s="71"/>
    </row>
    <row r="131" spans="1:81" x14ac:dyDescent="0.15">
      <c r="A131">
        <f t="shared" si="106"/>
        <v>48500</v>
      </c>
      <c r="B131">
        <f t="shared" si="86"/>
        <v>48.5</v>
      </c>
      <c r="C131">
        <f t="shared" si="55"/>
        <v>1.0200250828629296</v>
      </c>
      <c r="D131">
        <f t="shared" si="56"/>
        <v>0.19847682694714586</v>
      </c>
      <c r="F131">
        <f t="shared" si="57"/>
        <v>9.9353016351252377E-3</v>
      </c>
      <c r="G131">
        <f t="shared" si="58"/>
        <v>3.2809974516812612E-2</v>
      </c>
      <c r="H131">
        <f t="shared" si="59"/>
        <v>-3.1087826754831878</v>
      </c>
      <c r="J131">
        <f t="shared" si="60"/>
        <v>15</v>
      </c>
      <c r="M131">
        <f t="shared" si="61"/>
        <v>1.9649971390055726E-2</v>
      </c>
      <c r="N131">
        <f t="shared" si="62"/>
        <v>-1.5707963250000001</v>
      </c>
      <c r="O131">
        <f t="shared" si="63"/>
        <v>20.639527643346376</v>
      </c>
      <c r="P131">
        <f t="shared" si="64"/>
        <v>1.5223266293987092</v>
      </c>
      <c r="Q131">
        <f t="shared" si="65"/>
        <v>9.3837960078579137</v>
      </c>
      <c r="R131">
        <f t="shared" si="66"/>
        <v>1.4640269041994591</v>
      </c>
      <c r="S131">
        <f t="shared" si="67"/>
        <v>0.98272485920122365</v>
      </c>
      <c r="T131">
        <f t="shared" si="68"/>
        <v>-0.18614569360606251</v>
      </c>
      <c r="U131">
        <f t="shared" si="69"/>
        <v>0.93775971102946232</v>
      </c>
      <c r="V131">
        <f t="shared" si="70"/>
        <v>-0.3546741221541988</v>
      </c>
      <c r="X131">
        <f t="shared" si="87"/>
        <v>-5.4630617198554656</v>
      </c>
      <c r="Y131">
        <f t="shared" si="71"/>
        <v>-116.62948155473444</v>
      </c>
      <c r="Z131">
        <f t="shared" si="88"/>
        <v>63.37051844526556</v>
      </c>
      <c r="AC131">
        <v>1</v>
      </c>
      <c r="AD131">
        <f t="shared" si="72"/>
        <v>20.615288048932502</v>
      </c>
      <c r="AE131">
        <f t="shared" si="73"/>
        <v>-9.4232838434691614E-4</v>
      </c>
      <c r="AF131">
        <f t="shared" si="74"/>
        <v>2.5445329668675001E-3</v>
      </c>
      <c r="AG131">
        <f t="shared" si="89"/>
        <v>6996.6772819428961</v>
      </c>
      <c r="AH131">
        <f t="shared" si="90"/>
        <v>-2984.1105215617417</v>
      </c>
      <c r="AJ131">
        <f t="shared" si="75"/>
        <v>20000</v>
      </c>
      <c r="AK131">
        <f t="shared" si="76"/>
        <v>3766.5182599379996</v>
      </c>
      <c r="AL131">
        <v>1</v>
      </c>
      <c r="AM131">
        <f t="shared" si="77"/>
        <v>9.3303605244968999</v>
      </c>
      <c r="AN131">
        <f t="shared" si="91"/>
        <v>626.2288378629745</v>
      </c>
      <c r="AO131">
        <f t="shared" si="92"/>
        <v>-2076.422568160267</v>
      </c>
      <c r="AQ131">
        <f t="shared" si="78"/>
        <v>1.0626992561105206</v>
      </c>
      <c r="AR131">
        <f t="shared" si="79"/>
        <v>-103.08182784272051</v>
      </c>
      <c r="AT131">
        <f t="shared" si="104"/>
        <v>-300172.20330451231</v>
      </c>
      <c r="AU131">
        <f t="shared" si="105"/>
        <v>-724401.49507972656</v>
      </c>
      <c r="AV131">
        <f t="shared" si="93"/>
        <v>-1.9636312331990393</v>
      </c>
      <c r="AW131">
        <f t="shared" si="94"/>
        <v>-206229.40741416995</v>
      </c>
      <c r="AX131">
        <f t="shared" si="95"/>
        <v>-76124.117665027443</v>
      </c>
      <c r="AY131">
        <f t="shared" si="103"/>
        <v>-2.7879839232167773</v>
      </c>
      <c r="BA131">
        <f t="shared" si="80"/>
        <v>3.5669783877196832</v>
      </c>
      <c r="BB131">
        <f t="shared" si="96"/>
        <v>11.046009559222824</v>
      </c>
      <c r="BC131">
        <f t="shared" si="97"/>
        <v>0.82435269001773803</v>
      </c>
      <c r="BD131">
        <f t="shared" si="81"/>
        <v>-132.76806997775702</v>
      </c>
      <c r="BF131">
        <f t="shared" si="82"/>
        <v>-5.31632709599746</v>
      </c>
      <c r="BG131">
        <f t="shared" si="83"/>
        <v>-119.51631238164971</v>
      </c>
      <c r="BH131">
        <f t="shared" si="98"/>
        <v>60.483687618350288</v>
      </c>
      <c r="BI131">
        <f t="shared" si="99"/>
        <v>60.483687618350288</v>
      </c>
      <c r="BJ131">
        <f t="shared" si="84"/>
        <v>0</v>
      </c>
      <c r="BK131">
        <f t="shared" si="100"/>
        <v>0</v>
      </c>
      <c r="BM131">
        <f t="shared" si="101"/>
        <v>-16.362336655220282</v>
      </c>
      <c r="BN131">
        <f t="shared" si="85"/>
        <v>-166.74824240389268</v>
      </c>
      <c r="BQ131" s="66">
        <f t="shared" si="102"/>
        <v>27.947970359507963</v>
      </c>
      <c r="BR131" s="71"/>
      <c r="BS131" s="71"/>
      <c r="BT131" s="71">
        <v>1621.81</v>
      </c>
      <c r="BU131" s="71">
        <v>10.9787</v>
      </c>
      <c r="BV131" s="71">
        <v>-256.75299999999999</v>
      </c>
      <c r="BW131" s="75"/>
      <c r="BY131" s="71"/>
      <c r="BZ131" s="71"/>
      <c r="CA131" s="71"/>
      <c r="CC131" s="71"/>
    </row>
    <row r="132" spans="1:81" x14ac:dyDescent="0.15">
      <c r="A132">
        <f t="shared" si="106"/>
        <v>49000</v>
      </c>
      <c r="B132">
        <f t="shared" si="86"/>
        <v>49</v>
      </c>
      <c r="C132">
        <f t="shared" si="55"/>
        <v>1.0204359429207928</v>
      </c>
      <c r="D132">
        <f t="shared" si="56"/>
        <v>0.20046886438495914</v>
      </c>
      <c r="F132">
        <f t="shared" si="57"/>
        <v>9.7316870606025795E-3</v>
      </c>
      <c r="G132">
        <f t="shared" si="58"/>
        <v>3.2468759800152756E-2</v>
      </c>
      <c r="H132">
        <f t="shared" si="59"/>
        <v>-3.1091238901998475</v>
      </c>
      <c r="J132">
        <f t="shared" si="60"/>
        <v>15</v>
      </c>
      <c r="M132">
        <f t="shared" si="61"/>
        <v>1.9449461477912301E-2</v>
      </c>
      <c r="N132">
        <f t="shared" si="62"/>
        <v>-1.5707963250000001</v>
      </c>
      <c r="O132">
        <f t="shared" si="63"/>
        <v>20.851809329380238</v>
      </c>
      <c r="P132">
        <f t="shared" si="64"/>
        <v>1.5228204556716998</v>
      </c>
      <c r="Q132">
        <f t="shared" si="65"/>
        <v>9.4794430895229738</v>
      </c>
      <c r="R132">
        <f t="shared" si="66"/>
        <v>1.4651082519814322</v>
      </c>
      <c r="S132">
        <f t="shared" si="67"/>
        <v>0.9823762442616214</v>
      </c>
      <c r="T132">
        <f t="shared" si="68"/>
        <v>-0.18802003370154705</v>
      </c>
      <c r="U132">
        <f t="shared" si="69"/>
        <v>0.93658991265421443</v>
      </c>
      <c r="V132">
        <f t="shared" si="70"/>
        <v>-0.35802735967322347</v>
      </c>
      <c r="X132">
        <f t="shared" si="87"/>
        <v>-5.5654676219342258</v>
      </c>
      <c r="Y132">
        <f t="shared" si="71"/>
        <v>-116.74416368925958</v>
      </c>
      <c r="Z132">
        <f t="shared" si="88"/>
        <v>63.25583631074042</v>
      </c>
      <c r="AC132">
        <v>1</v>
      </c>
      <c r="AD132">
        <f t="shared" si="72"/>
        <v>20.827816791705004</v>
      </c>
      <c r="AE132">
        <f t="shared" si="73"/>
        <v>-9.6185798738099499E-4</v>
      </c>
      <c r="AF132">
        <f t="shared" si="74"/>
        <v>2.5707652654950001E-3</v>
      </c>
      <c r="AG132">
        <f t="shared" si="89"/>
        <v>6979.2323082235025</v>
      </c>
      <c r="AH132">
        <f t="shared" si="90"/>
        <v>-3000.285730080896</v>
      </c>
      <c r="AJ132">
        <f t="shared" si="75"/>
        <v>20000</v>
      </c>
      <c r="AK132">
        <f t="shared" si="76"/>
        <v>3805.3483450920003</v>
      </c>
      <c r="AL132">
        <v>1</v>
      </c>
      <c r="AM132">
        <f t="shared" si="77"/>
        <v>9.4265498082546006</v>
      </c>
      <c r="AN132">
        <f t="shared" si="91"/>
        <v>621.76056525639501</v>
      </c>
      <c r="AO132">
        <f t="shared" si="92"/>
        <v>-2055.7085921059424</v>
      </c>
      <c r="AQ132">
        <f t="shared" si="78"/>
        <v>1.0411244143675169</v>
      </c>
      <c r="AR132">
        <f t="shared" si="79"/>
        <v>-102.03019260801666</v>
      </c>
      <c r="AT132">
        <f t="shared" si="104"/>
        <v>-298853.48176960368</v>
      </c>
      <c r="AU132">
        <f t="shared" si="105"/>
        <v>-715216.08738780243</v>
      </c>
      <c r="AV132">
        <f t="shared" si="93"/>
        <v>-1.9665958300973625</v>
      </c>
      <c r="AW132">
        <f t="shared" si="94"/>
        <v>-201975.9498245492</v>
      </c>
      <c r="AX132">
        <f t="shared" si="95"/>
        <v>-74890.433838551078</v>
      </c>
      <c r="AY132">
        <f t="shared" si="103"/>
        <v>-2.7865190361697554</v>
      </c>
      <c r="BA132">
        <f t="shared" si="80"/>
        <v>3.5984024368958729</v>
      </c>
      <c r="BB132">
        <f t="shared" si="96"/>
        <v>11.122194644056975</v>
      </c>
      <c r="BC132">
        <f t="shared" si="97"/>
        <v>0.81992320607239288</v>
      </c>
      <c r="BD132">
        <f t="shared" si="81"/>
        <v>-133.02186071353626</v>
      </c>
      <c r="BF132">
        <f t="shared" si="82"/>
        <v>-5.416502526984762</v>
      </c>
      <c r="BG132">
        <f t="shared" si="83"/>
        <v>-119.67551794267443</v>
      </c>
      <c r="BH132">
        <f t="shared" si="98"/>
        <v>60.324482057325568</v>
      </c>
      <c r="BI132">
        <f t="shared" si="99"/>
        <v>60.324482057325568</v>
      </c>
      <c r="BJ132">
        <f t="shared" si="84"/>
        <v>0</v>
      </c>
      <c r="BK132">
        <f t="shared" si="100"/>
        <v>0</v>
      </c>
      <c r="BM132">
        <f t="shared" si="101"/>
        <v>-16.538697171041733</v>
      </c>
      <c r="BN132">
        <f t="shared" si="85"/>
        <v>-166.65365722913819</v>
      </c>
      <c r="BQ132" s="66">
        <f t="shared" si="102"/>
        <v>28.02415544434211</v>
      </c>
      <c r="BR132" s="71"/>
      <c r="BS132" s="71"/>
      <c r="BT132" s="71">
        <v>1659.587</v>
      </c>
      <c r="BU132" s="71">
        <v>10.7578</v>
      </c>
      <c r="BV132" s="71">
        <v>-256.85699999999997</v>
      </c>
      <c r="BW132" s="75"/>
      <c r="BY132" s="71"/>
      <c r="BZ132" s="71"/>
      <c r="CA132" s="71"/>
      <c r="CC132" s="71"/>
    </row>
    <row r="133" spans="1:81" x14ac:dyDescent="0.15">
      <c r="A133">
        <f t="shared" si="106"/>
        <v>49500</v>
      </c>
      <c r="B133">
        <f t="shared" si="86"/>
        <v>49.5</v>
      </c>
      <c r="C133">
        <f t="shared" si="55"/>
        <v>1.020850849017183</v>
      </c>
      <c r="D133">
        <f t="shared" si="56"/>
        <v>0.20245929046175046</v>
      </c>
      <c r="F133">
        <f t="shared" si="57"/>
        <v>9.5342868003666162E-3</v>
      </c>
      <c r="G133">
        <f t="shared" si="58"/>
        <v>3.2134632197221347E-2</v>
      </c>
      <c r="H133">
        <f t="shared" si="59"/>
        <v>-3.1094580178027789</v>
      </c>
      <c r="J133">
        <f t="shared" si="60"/>
        <v>15</v>
      </c>
      <c r="M133">
        <f t="shared" si="61"/>
        <v>1.92530022710647E-2</v>
      </c>
      <c r="N133">
        <f t="shared" si="62"/>
        <v>-1.5707963250000001</v>
      </c>
      <c r="O133">
        <f t="shared" si="63"/>
        <v>21.064095997934668</v>
      </c>
      <c r="P133">
        <f t="shared" si="64"/>
        <v>1.5233043283713334</v>
      </c>
      <c r="Q133">
        <f t="shared" si="65"/>
        <v>9.5751010341687408</v>
      </c>
      <c r="R133">
        <f t="shared" si="66"/>
        <v>1.4661679950468209</v>
      </c>
      <c r="S133">
        <f t="shared" si="67"/>
        <v>0.9820244302484239</v>
      </c>
      <c r="T133">
        <f t="shared" si="68"/>
        <v>-0.1898930378751876</v>
      </c>
      <c r="U133">
        <f t="shared" si="69"/>
        <v>0.93541255052877925</v>
      </c>
      <c r="V133">
        <f t="shared" si="70"/>
        <v>-0.36137220419354033</v>
      </c>
      <c r="X133">
        <f t="shared" si="87"/>
        <v>-5.6669619512015448</v>
      </c>
      <c r="Y133">
        <f t="shared" si="71"/>
        <v>-116.85978281700157</v>
      </c>
      <c r="Z133">
        <f t="shared" si="88"/>
        <v>63.140217182998427</v>
      </c>
      <c r="AC133">
        <v>1</v>
      </c>
      <c r="AD133">
        <f t="shared" si="72"/>
        <v>21.040345534477503</v>
      </c>
      <c r="AE133">
        <f t="shared" si="73"/>
        <v>-9.8158789403593634E-4</v>
      </c>
      <c r="AF133">
        <f t="shared" si="74"/>
        <v>2.5969975641225002E-3</v>
      </c>
      <c r="AG133">
        <f t="shared" si="89"/>
        <v>6961.6965245571264</v>
      </c>
      <c r="AH133">
        <f t="shared" si="90"/>
        <v>-3016.374423556379</v>
      </c>
      <c r="AJ133">
        <f t="shared" si="75"/>
        <v>20000</v>
      </c>
      <c r="AK133">
        <f t="shared" si="76"/>
        <v>3844.1784302460001</v>
      </c>
      <c r="AL133">
        <v>1</v>
      </c>
      <c r="AM133">
        <f t="shared" si="77"/>
        <v>9.5227390920122996</v>
      </c>
      <c r="AN133">
        <f t="shared" si="91"/>
        <v>617.42504058440545</v>
      </c>
      <c r="AO133">
        <f t="shared" si="92"/>
        <v>-2035.3991401143978</v>
      </c>
      <c r="AQ133">
        <f t="shared" si="78"/>
        <v>1.0201999591920017</v>
      </c>
      <c r="AR133">
        <f t="shared" si="79"/>
        <v>-100.99979596000816</v>
      </c>
      <c r="AT133">
        <f t="shared" si="104"/>
        <v>-297550.87880792125</v>
      </c>
      <c r="AU133">
        <f t="shared" si="105"/>
        <v>-706207.23357958766</v>
      </c>
      <c r="AV133">
        <f t="shared" si="93"/>
        <v>-1.9695598628266779</v>
      </c>
      <c r="AW133">
        <f t="shared" si="94"/>
        <v>-197849.19432142953</v>
      </c>
      <c r="AX133">
        <f t="shared" si="95"/>
        <v>-73696.547560914172</v>
      </c>
      <c r="AY133">
        <f t="shared" si="103"/>
        <v>-2.7850256714782859</v>
      </c>
      <c r="BA133">
        <f t="shared" si="80"/>
        <v>3.6296862720426937</v>
      </c>
      <c r="BB133">
        <f t="shared" si="96"/>
        <v>11.197381777808582</v>
      </c>
      <c r="BC133">
        <f t="shared" si="97"/>
        <v>0.815465808651608</v>
      </c>
      <c r="BD133">
        <f t="shared" si="81"/>
        <v>-133.27725077365156</v>
      </c>
      <c r="BF133">
        <f t="shared" si="82"/>
        <v>-5.5157829193569032</v>
      </c>
      <c r="BG133">
        <f t="shared" si="83"/>
        <v>-119.83600909051516</v>
      </c>
      <c r="BH133">
        <f t="shared" si="98"/>
        <v>60.163990909484838</v>
      </c>
      <c r="BI133">
        <f t="shared" si="99"/>
        <v>60.163990909484838</v>
      </c>
      <c r="BJ133">
        <f t="shared" si="84"/>
        <v>0</v>
      </c>
      <c r="BK133">
        <f t="shared" si="100"/>
        <v>0</v>
      </c>
      <c r="BM133">
        <f t="shared" si="101"/>
        <v>-16.713164697165485</v>
      </c>
      <c r="BN133">
        <f t="shared" si="85"/>
        <v>-166.55875831686359</v>
      </c>
      <c r="BQ133" s="66">
        <f t="shared" si="102"/>
        <v>28.099342578093719</v>
      </c>
      <c r="BR133" s="71"/>
      <c r="BS133" s="71"/>
      <c r="BT133" s="71">
        <v>1698.2439999999999</v>
      </c>
      <c r="BU133" s="71">
        <v>10.580500000000001</v>
      </c>
      <c r="BV133" s="71">
        <v>-256.31299999999999</v>
      </c>
      <c r="BW133" s="75"/>
      <c r="BY133" s="71"/>
      <c r="BZ133" s="71"/>
      <c r="CA133" s="71"/>
      <c r="CC133" s="71"/>
    </row>
    <row r="134" spans="1:81" x14ac:dyDescent="0.15">
      <c r="A134">
        <f t="shared" si="106"/>
        <v>50000</v>
      </c>
      <c r="B134">
        <f t="shared" si="86"/>
        <v>50</v>
      </c>
      <c r="C134">
        <f t="shared" si="55"/>
        <v>1.0212697962208097</v>
      </c>
      <c r="D134">
        <f t="shared" si="56"/>
        <v>0.20444809137979539</v>
      </c>
      <c r="F134">
        <f t="shared" si="57"/>
        <v>9.342849796588875E-3</v>
      </c>
      <c r="G134">
        <f t="shared" si="58"/>
        <v>3.1807371342021037E-2</v>
      </c>
      <c r="H134">
        <f t="shared" si="59"/>
        <v>-3.1097852786579794</v>
      </c>
      <c r="J134">
        <f t="shared" si="60"/>
        <v>15</v>
      </c>
      <c r="M134">
        <f t="shared" si="61"/>
        <v>1.9060472248354055E-2</v>
      </c>
      <c r="N134">
        <f t="shared" si="62"/>
        <v>-1.5707963250000001</v>
      </c>
      <c r="O134">
        <f t="shared" si="63"/>
        <v>21.276387499869305</v>
      </c>
      <c r="P134">
        <f t="shared" si="64"/>
        <v>1.523778545211808</v>
      </c>
      <c r="Q134">
        <f t="shared" si="65"/>
        <v>9.6707695194432866</v>
      </c>
      <c r="R134">
        <f t="shared" si="66"/>
        <v>1.4672067721559232</v>
      </c>
      <c r="S134">
        <f t="shared" si="67"/>
        <v>0.98166942799864454</v>
      </c>
      <c r="T134">
        <f t="shared" si="68"/>
        <v>-0.19176469442731886</v>
      </c>
      <c r="U134">
        <f t="shared" si="69"/>
        <v>0.93422773202470433</v>
      </c>
      <c r="V134">
        <f t="shared" si="70"/>
        <v>-0.36470861262439841</v>
      </c>
      <c r="X134">
        <f t="shared" si="87"/>
        <v>-5.7675656832677502</v>
      </c>
      <c r="Y134">
        <f t="shared" si="71"/>
        <v>-116.97629555925737</v>
      </c>
      <c r="Z134">
        <f t="shared" si="88"/>
        <v>63.023704440742634</v>
      </c>
      <c r="AC134">
        <v>1</v>
      </c>
      <c r="AD134">
        <f t="shared" si="72"/>
        <v>21.252874277250005</v>
      </c>
      <c r="AE134">
        <f t="shared" si="73"/>
        <v>-1.0015181043117401E-3</v>
      </c>
      <c r="AF134">
        <f t="shared" si="74"/>
        <v>2.6232298627500003E-3</v>
      </c>
      <c r="AG134">
        <f t="shared" si="89"/>
        <v>6944.0719522350191</v>
      </c>
      <c r="AH134">
        <f t="shared" si="90"/>
        <v>-3032.373903165204</v>
      </c>
      <c r="AJ134">
        <f t="shared" si="75"/>
        <v>20000</v>
      </c>
      <c r="AK134">
        <f t="shared" si="76"/>
        <v>3883.0085154000003</v>
      </c>
      <c r="AL134">
        <v>1</v>
      </c>
      <c r="AM134">
        <f t="shared" si="77"/>
        <v>9.6189283757700004</v>
      </c>
      <c r="AN134">
        <f t="shared" si="91"/>
        <v>613.21707583111561</v>
      </c>
      <c r="AO134">
        <f t="shared" si="92"/>
        <v>-2015.4826158186215</v>
      </c>
      <c r="AQ134">
        <f t="shared" si="78"/>
        <v>0.99990000999900008</v>
      </c>
      <c r="AR134">
        <f t="shared" si="79"/>
        <v>-99.990000999900005</v>
      </c>
      <c r="AT134">
        <f t="shared" si="104"/>
        <v>-296263.69199508586</v>
      </c>
      <c r="AU134">
        <f t="shared" si="105"/>
        <v>-697369.83214345272</v>
      </c>
      <c r="AV134">
        <f t="shared" si="93"/>
        <v>-1.9725230543157182</v>
      </c>
      <c r="AW134">
        <f t="shared" si="94"/>
        <v>-193844.20074742884</v>
      </c>
      <c r="AX134">
        <f t="shared" si="95"/>
        <v>-72540.693069320521</v>
      </c>
      <c r="AY134">
        <f t="shared" si="103"/>
        <v>-2.7835045631071988</v>
      </c>
      <c r="BA134">
        <f t="shared" si="80"/>
        <v>3.660828459907445</v>
      </c>
      <c r="BB134">
        <f t="shared" si="96"/>
        <v>11.271587581394403</v>
      </c>
      <c r="BC134">
        <f t="shared" si="97"/>
        <v>0.81098150879148068</v>
      </c>
      <c r="BD134">
        <f t="shared" si="81"/>
        <v>-133.53418223000156</v>
      </c>
      <c r="BF134">
        <f t="shared" si="82"/>
        <v>-5.6141901418847713</v>
      </c>
      <c r="BG134">
        <f t="shared" si="83"/>
        <v>-119.9977413136635</v>
      </c>
      <c r="BH134">
        <f t="shared" si="98"/>
        <v>60.002258686336504</v>
      </c>
      <c r="BI134">
        <f t="shared" si="99"/>
        <v>60.002258686336504</v>
      </c>
      <c r="BJ134">
        <f t="shared" si="84"/>
        <v>0</v>
      </c>
      <c r="BK134">
        <f t="shared" si="100"/>
        <v>0</v>
      </c>
      <c r="BM134">
        <f t="shared" si="101"/>
        <v>-16.885777723279176</v>
      </c>
      <c r="BN134">
        <f t="shared" si="85"/>
        <v>-166.46355908366192</v>
      </c>
      <c r="BQ134" s="66">
        <f t="shared" si="102"/>
        <v>28.173548381679542</v>
      </c>
      <c r="BR134" s="71"/>
      <c r="BS134" s="71"/>
      <c r="BT134" s="71">
        <v>1737.8009999999999</v>
      </c>
      <c r="BU134" s="71">
        <v>10.4643</v>
      </c>
      <c r="BV134" s="71">
        <v>-256.37900000000002</v>
      </c>
      <c r="BW134" s="75"/>
      <c r="BY134" s="71"/>
      <c r="BZ134" s="71"/>
      <c r="CA134" s="71"/>
      <c r="CC134" s="71"/>
    </row>
    <row r="135" spans="1:81" x14ac:dyDescent="0.15">
      <c r="A135">
        <f t="shared" si="106"/>
        <v>50500</v>
      </c>
      <c r="B135">
        <f t="shared" si="86"/>
        <v>50.5</v>
      </c>
      <c r="C135">
        <f t="shared" si="55"/>
        <v>1.02169277956048</v>
      </c>
      <c r="D135">
        <f t="shared" si="56"/>
        <v>0.20643525341531532</v>
      </c>
      <c r="F135">
        <f t="shared" si="57"/>
        <v>9.1571375781087216E-3</v>
      </c>
      <c r="G135">
        <f t="shared" si="58"/>
        <v>3.1486765980623541E-2</v>
      </c>
      <c r="H135">
        <f t="shared" si="59"/>
        <v>-3.1101058840193767</v>
      </c>
      <c r="J135">
        <f t="shared" si="60"/>
        <v>15</v>
      </c>
      <c r="M135">
        <f t="shared" si="61"/>
        <v>1.887175470134065E-2</v>
      </c>
      <c r="N135">
        <f t="shared" si="62"/>
        <v>-1.5707963250000001</v>
      </c>
      <c r="O135">
        <f t="shared" si="63"/>
        <v>21.488683691934021</v>
      </c>
      <c r="P135">
        <f t="shared" si="64"/>
        <v>1.5242433921600971</v>
      </c>
      <c r="Q135">
        <f t="shared" si="65"/>
        <v>9.7664482355904081</v>
      </c>
      <c r="R135">
        <f t="shared" si="66"/>
        <v>1.4682251972232865</v>
      </c>
      <c r="S135">
        <f t="shared" si="67"/>
        <v>0.98131124842620554</v>
      </c>
      <c r="T135">
        <f t="shared" si="68"/>
        <v>-0.19363499171287149</v>
      </c>
      <c r="U135">
        <f t="shared" si="69"/>
        <v>0.93303556442083446</v>
      </c>
      <c r="V135">
        <f t="shared" si="70"/>
        <v>-0.36803654284336917</v>
      </c>
      <c r="X135">
        <f t="shared" si="87"/>
        <v>-5.8672990787066572</v>
      </c>
      <c r="Y135">
        <f t="shared" si="71"/>
        <v>-117.09366016623615</v>
      </c>
      <c r="Z135">
        <f t="shared" si="88"/>
        <v>62.906339833763852</v>
      </c>
      <c r="AC135">
        <v>1</v>
      </c>
      <c r="AD135">
        <f t="shared" si="72"/>
        <v>21.465403020022503</v>
      </c>
      <c r="AE135">
        <f t="shared" si="73"/>
        <v>-1.0216486182084061E-3</v>
      </c>
      <c r="AF135">
        <f t="shared" si="74"/>
        <v>2.6494621613774999E-3</v>
      </c>
      <c r="AG135">
        <f t="shared" si="89"/>
        <v>6926.3606057545321</v>
      </c>
      <c r="AH135">
        <f t="shared" si="90"/>
        <v>-3048.2815945872007</v>
      </c>
      <c r="AJ135">
        <f t="shared" si="75"/>
        <v>20000</v>
      </c>
      <c r="AK135">
        <f t="shared" si="76"/>
        <v>3921.8386005540001</v>
      </c>
      <c r="AL135">
        <v>1</v>
      </c>
      <c r="AM135">
        <f t="shared" si="77"/>
        <v>9.7151176595277011</v>
      </c>
      <c r="AN135">
        <f t="shared" si="91"/>
        <v>609.13173306982719</v>
      </c>
      <c r="AO135">
        <f t="shared" si="92"/>
        <v>-1995.9478563713922</v>
      </c>
      <c r="AQ135">
        <f t="shared" si="78"/>
        <v>0.98019996079200156</v>
      </c>
      <c r="AR135">
        <f t="shared" si="79"/>
        <v>-99.000196039992161</v>
      </c>
      <c r="AT135">
        <f t="shared" si="104"/>
        <v>-294991.25705504091</v>
      </c>
      <c r="AU135">
        <f t="shared" si="105"/>
        <v>-688698.98331287492</v>
      </c>
      <c r="AV135">
        <f t="shared" si="93"/>
        <v>-1.9754851376850766</v>
      </c>
      <c r="AW135">
        <f t="shared" si="94"/>
        <v>-189956.26640877762</v>
      </c>
      <c r="AX135">
        <f t="shared" si="95"/>
        <v>-71421.201608812815</v>
      </c>
      <c r="AY135">
        <f t="shared" si="103"/>
        <v>-2.7819564193421198</v>
      </c>
      <c r="BA135">
        <f t="shared" si="80"/>
        <v>3.6918275846200026</v>
      </c>
      <c r="BB135">
        <f t="shared" si="96"/>
        <v>11.344828208959408</v>
      </c>
      <c r="BC135">
        <f t="shared" si="97"/>
        <v>0.80647128165704318</v>
      </c>
      <c r="BD135">
        <f t="shared" si="81"/>
        <v>-133.7925992097455</v>
      </c>
      <c r="BF135">
        <f t="shared" si="82"/>
        <v>-5.7117453437034733</v>
      </c>
      <c r="BG135">
        <f t="shared" si="83"/>
        <v>-120.16067162955173</v>
      </c>
      <c r="BH135">
        <f t="shared" si="98"/>
        <v>59.839328370448271</v>
      </c>
      <c r="BI135">
        <f t="shared" si="99"/>
        <v>59.839328370448271</v>
      </c>
      <c r="BJ135">
        <f t="shared" si="84"/>
        <v>0</v>
      </c>
      <c r="BK135">
        <f t="shared" si="100"/>
        <v>0</v>
      </c>
      <c r="BM135">
        <f t="shared" si="101"/>
        <v>-17.056573552662879</v>
      </c>
      <c r="BN135">
        <f t="shared" si="85"/>
        <v>-166.36807241980625</v>
      </c>
      <c r="BQ135" s="66">
        <f t="shared" si="102"/>
        <v>28.246789009244541</v>
      </c>
      <c r="BR135" s="71"/>
      <c r="BS135" s="71"/>
      <c r="BT135" s="71">
        <v>1778.279</v>
      </c>
      <c r="BU135" s="71">
        <v>10.213699999999999</v>
      </c>
      <c r="BV135" s="71">
        <v>-256.01499999999999</v>
      </c>
      <c r="BW135" s="75"/>
      <c r="BY135" s="71"/>
      <c r="BZ135" s="71"/>
      <c r="CA135" s="71"/>
      <c r="CC135" s="71"/>
    </row>
    <row r="136" spans="1:81" x14ac:dyDescent="0.15">
      <c r="A136">
        <f t="shared" si="106"/>
        <v>51000</v>
      </c>
      <c r="B136">
        <f t="shared" si="86"/>
        <v>51</v>
      </c>
      <c r="C136">
        <f t="shared" si="55"/>
        <v>1.022119794025377</v>
      </c>
      <c r="D136">
        <f t="shared" si="56"/>
        <v>0.20842076291891298</v>
      </c>
      <c r="F136">
        <f t="shared" si="57"/>
        <v>8.9769235087034018E-3</v>
      </c>
      <c r="G136">
        <f t="shared" si="58"/>
        <v>3.1172613501756739E-2</v>
      </c>
      <c r="H136">
        <f t="shared" si="59"/>
        <v>-3.1104200364982435</v>
      </c>
      <c r="J136">
        <f t="shared" si="60"/>
        <v>15</v>
      </c>
      <c r="M136">
        <f t="shared" si="61"/>
        <v>1.8686737498386327E-2</v>
      </c>
      <c r="N136">
        <f t="shared" si="62"/>
        <v>-1.5707963250000001</v>
      </c>
      <c r="O136">
        <f t="shared" si="63"/>
        <v>21.700984436481136</v>
      </c>
      <c r="P136">
        <f t="shared" si="64"/>
        <v>1.5246991440092852</v>
      </c>
      <c r="Q136">
        <f t="shared" si="65"/>
        <v>9.8621368848419628</v>
      </c>
      <c r="R136">
        <f t="shared" si="66"/>
        <v>1.4692238605098407</v>
      </c>
      <c r="S136">
        <f t="shared" si="67"/>
        <v>0.98094990252105518</v>
      </c>
      <c r="T136">
        <f t="shared" si="68"/>
        <v>-0.19550391814172166</v>
      </c>
      <c r="U136">
        <f t="shared" si="69"/>
        <v>0.93183615488262328</v>
      </c>
      <c r="V136">
        <f t="shared" si="70"/>
        <v>-0.3713559536929838</v>
      </c>
      <c r="X136">
        <f t="shared" si="87"/>
        <v>-5.9661817146015395</v>
      </c>
      <c r="Y136">
        <f t="shared" si="71"/>
        <v>-117.21183644260303</v>
      </c>
      <c r="Z136">
        <f t="shared" si="88"/>
        <v>62.78816355739697</v>
      </c>
      <c r="AC136">
        <v>1</v>
      </c>
      <c r="AD136">
        <f t="shared" si="72"/>
        <v>21.677931762795001</v>
      </c>
      <c r="AE136">
        <f t="shared" si="73"/>
        <v>-1.0419794357259345E-3</v>
      </c>
      <c r="AF136">
        <f t="shared" si="74"/>
        <v>2.6756944600050004E-3</v>
      </c>
      <c r="AG136">
        <f t="shared" si="89"/>
        <v>6908.564492394743</v>
      </c>
      <c r="AH136">
        <f t="shared" si="90"/>
        <v>-3064.0950429917093</v>
      </c>
      <c r="AJ136">
        <f t="shared" si="75"/>
        <v>20000</v>
      </c>
      <c r="AK136">
        <f t="shared" si="76"/>
        <v>3960.6686857080003</v>
      </c>
      <c r="AL136">
        <v>1</v>
      </c>
      <c r="AM136">
        <f t="shared" si="77"/>
        <v>9.8113069432854001</v>
      </c>
      <c r="AN136">
        <f t="shared" si="91"/>
        <v>605.16431018610569</v>
      </c>
      <c r="AO136">
        <f t="shared" si="92"/>
        <v>-1976.7841126494577</v>
      </c>
      <c r="AQ136">
        <f t="shared" si="78"/>
        <v>0.96107640557424312</v>
      </c>
      <c r="AR136">
        <f t="shared" si="79"/>
        <v>-98.029793368572797</v>
      </c>
      <c r="AT136">
        <f t="shared" si="104"/>
        <v>-293732.94559611689</v>
      </c>
      <c r="AU136">
        <f t="shared" si="105"/>
        <v>-680189.97911317192</v>
      </c>
      <c r="AV136">
        <f t="shared" si="93"/>
        <v>-1.9784458557941957</v>
      </c>
      <c r="AW136">
        <f t="shared" si="94"/>
        <v>-186180.91256020218</v>
      </c>
      <c r="AX136">
        <f t="shared" si="95"/>
        <v>-70336.495148665839</v>
      </c>
      <c r="AY136">
        <f t="shared" si="103"/>
        <v>-2.7803819240902055</v>
      </c>
      <c r="BA136">
        <f t="shared" si="80"/>
        <v>3.7226822476602979</v>
      </c>
      <c r="BB136">
        <f t="shared" si="96"/>
        <v>11.417119365372185</v>
      </c>
      <c r="BC136">
        <f t="shared" si="97"/>
        <v>0.80193606829600972</v>
      </c>
      <c r="BD136">
        <f t="shared" si="81"/>
        <v>-134.05244779482098</v>
      </c>
      <c r="BF136">
        <f t="shared" si="82"/>
        <v>-5.8084689855883109</v>
      </c>
      <c r="BG136">
        <f t="shared" si="83"/>
        <v>-120.32475851094118</v>
      </c>
      <c r="BH136">
        <f t="shared" si="98"/>
        <v>59.67524148905882</v>
      </c>
      <c r="BI136">
        <f t="shared" si="99"/>
        <v>59.67524148905882</v>
      </c>
      <c r="BJ136">
        <f t="shared" si="84"/>
        <v>0</v>
      </c>
      <c r="BK136">
        <f t="shared" si="100"/>
        <v>0</v>
      </c>
      <c r="BM136">
        <f t="shared" si="101"/>
        <v>-17.225588350960496</v>
      </c>
      <c r="BN136">
        <f t="shared" si="85"/>
        <v>-166.27231071612019</v>
      </c>
      <c r="BQ136" s="66">
        <f t="shared" si="102"/>
        <v>28.319080165657322</v>
      </c>
      <c r="BR136" s="71"/>
      <c r="BS136" s="71"/>
      <c r="BT136" s="71">
        <v>1819.701</v>
      </c>
      <c r="BU136" s="71">
        <v>10.045199999999999</v>
      </c>
      <c r="BV136" s="71">
        <v>-255.833</v>
      </c>
      <c r="BW136" s="75"/>
      <c r="BY136" s="71"/>
      <c r="BZ136" s="71"/>
      <c r="CA136" s="71"/>
      <c r="CC136" s="71"/>
    </row>
    <row r="137" spans="1:81" x14ac:dyDescent="0.15">
      <c r="A137">
        <f t="shared" si="106"/>
        <v>51500</v>
      </c>
      <c r="B137">
        <f t="shared" si="86"/>
        <v>51.5</v>
      </c>
      <c r="C137">
        <f t="shared" ref="C137:C200" si="107">SQRT((A137/Fesr)^2+1)</f>
        <v>1.02255083456534</v>
      </c>
      <c r="D137">
        <f t="shared" ref="D137:D200" si="108">ATAN(A137/Fesr)</f>
        <v>0.21040460631600016</v>
      </c>
      <c r="F137">
        <f t="shared" ref="F137:F200" si="109">(Ro/(Ro+Rdcr))/SQRT((A137/(Q*Fo))^2+(1-(A137^2/Fo^2))^2)</f>
        <v>8.8019920873548992E-3</v>
      </c>
      <c r="G137">
        <f t="shared" ref="G137:G200" si="110">-ATAN(A137*Fo/(Q*(Fo^2-A137^2)))</f>
        <v>3.086471949629347E-2</v>
      </c>
      <c r="H137">
        <f t="shared" ref="H137:H200" si="111">IF(G137&gt;0,G137-Pi,G137)</f>
        <v>-3.1107279305037068</v>
      </c>
      <c r="J137">
        <f t="shared" ref="J137:J200" si="112">Vin/Vramp</f>
        <v>15</v>
      </c>
      <c r="M137">
        <f t="shared" ref="M137:M200" si="113">1/(2*Pi*_Rfb1*(Cc1ea_u+Cc2ea_u)*A137)</f>
        <v>1.8505312862479667E-2</v>
      </c>
      <c r="N137">
        <f t="shared" ref="N137:N200" si="114">-Pi/2</f>
        <v>-1.5707963250000001</v>
      </c>
      <c r="O137">
        <f t="shared" ref="O137:O200" si="115">SQRT(1+(A137/Fz1_u)^2)</f>
        <v>21.913289601194307</v>
      </c>
      <c r="P137">
        <f t="shared" ref="P137:P200" si="116">ATAN2(Fz1_u,A137)</f>
        <v>1.5251460649186712</v>
      </c>
      <c r="Q137">
        <f t="shared" ref="Q137:Q200" si="117">SQRT(1+(A137/Fz2_u)^2)</f>
        <v>9.9578351808449455</v>
      </c>
      <c r="R137">
        <f t="shared" ref="R137:R200" si="118">ATAN2(Fz2_u,A137)</f>
        <v>1.4702033297472865</v>
      </c>
      <c r="S137">
        <f t="shared" ref="S137:S200" si="119">1/SQRT(1+(A137/Fp1_u)^2)</f>
        <v>0.98058540134828132</v>
      </c>
      <c r="T137">
        <f t="shared" ref="T137:T200" si="120">-ATAN2(Fp1_u,A137)</f>
        <v>-0.1973714621790349</v>
      </c>
      <c r="U137">
        <f t="shared" ref="U137:U200" si="121">1/SQRT(1+(A137/Fp2_u)^2)</f>
        <v>0.93062961044177051</v>
      </c>
      <c r="V137">
        <f t="shared" ref="V137:V200" si="122">-ATAN2(Fp2_u,A137)</f>
        <v>-0.3746668049771697</v>
      </c>
      <c r="X137">
        <f t="shared" si="87"/>
        <v>-6.0642325143664397</v>
      </c>
      <c r="Y137">
        <f t="shared" ref="Y137:Y200" si="123">(180/Pi)*(D137+H137+N137+P137+R137+T137+V137)</f>
        <v>-117.33078567714108</v>
      </c>
      <c r="Z137">
        <f t="shared" si="88"/>
        <v>62.66921432285892</v>
      </c>
      <c r="AC137">
        <v>1</v>
      </c>
      <c r="AD137">
        <f t="shared" ref="AD137:AD200" si="124">Rcea1_u*Cc1ea_u*A137*2*Pi</f>
        <v>21.890460505567503</v>
      </c>
      <c r="AE137">
        <f t="shared" ref="AE137:AE200" si="125">-Rcea1_u*Cc1ea_u*Cc2ea_u*(A137*2*Pi)^2</f>
        <v>-1.0625105568643251E-3</v>
      </c>
      <c r="AF137">
        <f t="shared" ref="AF137:AF200" si="126">(Cc2ea_u+Cc1ea_u)*A137*2*Pi</f>
        <v>2.7019267586325E-3</v>
      </c>
      <c r="AG137">
        <f t="shared" si="89"/>
        <v>6890.6856118012338</v>
      </c>
      <c r="AH137">
        <f t="shared" si="90"/>
        <v>-3079.8119082930152</v>
      </c>
      <c r="AJ137">
        <f t="shared" ref="AJ137:AJ200" si="127">_Rfb1</f>
        <v>20000</v>
      </c>
      <c r="AK137">
        <f t="shared" ref="AK137:AK200" si="128">_Rfb1*Rcea2_u*Cc3ea_u*A137*2*Pi</f>
        <v>3999.4987708620001</v>
      </c>
      <c r="AL137">
        <v>1</v>
      </c>
      <c r="AM137">
        <f t="shared" ref="AM137:AM200" si="129">(_Rfb1+Rcea2_u)*Cc3ea_u*A137*2*Pi</f>
        <v>9.9074962270430991</v>
      </c>
      <c r="AN137">
        <f t="shared" si="91"/>
        <v>601.31032753934824</v>
      </c>
      <c r="AO137">
        <f t="shared" si="92"/>
        <v>-1957.9810305161434</v>
      </c>
      <c r="AQ137">
        <f t="shared" ref="AQ137:AQ200" si="130">Eadcg/(1+(Eadcg*A137/GBP)^2)</f>
        <v>0.94250706880301605</v>
      </c>
      <c r="AR137">
        <f t="shared" ref="AR137:AR200" si="131">-(A137*Eadcg*Eadcg/GBP)/(1+(Eadcg*A137/GBP)^2)</f>
        <v>-97.078228086710652</v>
      </c>
      <c r="AT137">
        <f t="shared" si="104"/>
        <v>-292488.16299941501</v>
      </c>
      <c r="AU137">
        <f t="shared" si="105"/>
        <v>-671838.29399040539</v>
      </c>
      <c r="AV137">
        <f t="shared" si="93"/>
        <v>-1.9814049608141828</v>
      </c>
      <c r="AW137">
        <f t="shared" si="94"/>
        <v>-182513.87177515379</v>
      </c>
      <c r="AX137">
        <f t="shared" si="95"/>
        <v>-69285.080564316682</v>
      </c>
      <c r="AY137">
        <f t="shared" si="103"/>
        <v>-2.7787817381053479</v>
      </c>
      <c r="BA137">
        <f t="shared" ref="BA137:BA200" si="132">SQRT(AT137^2+AU137^2)/SQRT(AW137^2+AX137^2)</f>
        <v>3.7533910678433324</v>
      </c>
      <c r="BB137">
        <f t="shared" si="96"/>
        <v>11.488476322944907</v>
      </c>
      <c r="BC137">
        <f t="shared" si="97"/>
        <v>0.79737677729116507</v>
      </c>
      <c r="BD137">
        <f t="shared" ref="BD137:BD200" si="133">BC137*180/Pi-180</f>
        <v>-134.31367592726903</v>
      </c>
      <c r="BF137">
        <f t="shared" ref="BF137:BF200" si="134">20*LOG(BA137*J137*F137*C137)</f>
        <v>-5.9043808695095308</v>
      </c>
      <c r="BG137">
        <f t="shared" ref="BG137:BG200" si="135">(180/Pi)*(D137+H137+BC137)</f>
        <v>-120.48996181646193</v>
      </c>
      <c r="BH137">
        <f t="shared" si="98"/>
        <v>59.510038183538072</v>
      </c>
      <c r="BI137">
        <f t="shared" si="99"/>
        <v>59.510038183538072</v>
      </c>
      <c r="BJ137">
        <f t="shared" ref="BJ137:BJ200" si="136">SUM((BF138&lt;0)*(BF137&gt;0))*A137</f>
        <v>0</v>
      </c>
      <c r="BK137">
        <f t="shared" si="100"/>
        <v>0</v>
      </c>
      <c r="BM137">
        <f t="shared" si="101"/>
        <v>-17.392857192454439</v>
      </c>
      <c r="BN137">
        <f t="shared" ref="BN137:BN200" si="137">(H137+D137)*180/Pi</f>
        <v>-166.17628588919294</v>
      </c>
      <c r="BQ137" s="66">
        <f t="shared" si="102"/>
        <v>28.390437123230043</v>
      </c>
      <c r="BR137" s="71"/>
      <c r="BS137" s="71"/>
      <c r="BT137" s="71">
        <v>1862.087</v>
      </c>
      <c r="BU137" s="71">
        <v>9.8767200000000006</v>
      </c>
      <c r="BV137" s="71">
        <v>-255.47</v>
      </c>
      <c r="BW137" s="75"/>
      <c r="BY137" s="71"/>
      <c r="BZ137" s="71"/>
      <c r="CA137" s="71"/>
      <c r="CC137" s="71"/>
    </row>
    <row r="138" spans="1:81" x14ac:dyDescent="0.15">
      <c r="A138">
        <f t="shared" si="106"/>
        <v>52000</v>
      </c>
      <c r="B138">
        <f t="shared" ref="B138:B201" si="138">A138/1000</f>
        <v>52</v>
      </c>
      <c r="C138">
        <f t="shared" si="107"/>
        <v>1.0229858960911447</v>
      </c>
      <c r="D138">
        <f t="shared" si="108"/>
        <v>0.21238677010721776</v>
      </c>
      <c r="F138">
        <f t="shared" si="109"/>
        <v>8.63213829643345E-3</v>
      </c>
      <c r="G138">
        <f t="shared" si="110"/>
        <v>3.0562897343575774E-2</v>
      </c>
      <c r="H138">
        <f t="shared" si="111"/>
        <v>-3.1110297526564246</v>
      </c>
      <c r="J138">
        <f t="shared" si="112"/>
        <v>15</v>
      </c>
      <c r="M138">
        <f t="shared" si="113"/>
        <v>1.8327377161878902E-2</v>
      </c>
      <c r="N138">
        <f t="shared" si="114"/>
        <v>-1.5707963250000001</v>
      </c>
      <c r="O138">
        <f t="shared" si="115"/>
        <v>22.125599058833046</v>
      </c>
      <c r="P138">
        <f t="shared" si="116"/>
        <v>1.5255844089228656</v>
      </c>
      <c r="Q138">
        <f t="shared" si="117"/>
        <v>10.053542848121049</v>
      </c>
      <c r="R138">
        <f t="shared" si="118"/>
        <v>1.4711641511991727</v>
      </c>
      <c r="S138">
        <f t="shared" si="119"/>
        <v>0.98021775604722072</v>
      </c>
      <c r="T138">
        <f t="shared" si="120"/>
        <v>-0.19923761234560511</v>
      </c>
      <c r="U138">
        <f t="shared" si="121"/>
        <v>0.92941603797618366</v>
      </c>
      <c r="V138">
        <f t="shared" si="122"/>
        <v>-0.37796905745748938</v>
      </c>
      <c r="X138">
        <f t="shared" ref="X138:X201" si="139">20*LOG(C138*J138*O138*Q138*F138*M138*S138*U138)</f>
        <v>-6.161469775955382</v>
      </c>
      <c r="Y138">
        <f t="shared" si="123"/>
        <v>-117.45047057626878</v>
      </c>
      <c r="Z138">
        <f t="shared" ref="Z138:Z201" si="140">Y138+180</f>
        <v>62.549529423731215</v>
      </c>
      <c r="AC138">
        <v>1</v>
      </c>
      <c r="AD138">
        <f t="shared" si="124"/>
        <v>22.102989248340002</v>
      </c>
      <c r="AE138">
        <f t="shared" si="125"/>
        <v>-1.0832419816235782E-3</v>
      </c>
      <c r="AF138">
        <f t="shared" si="126"/>
        <v>2.7281590572600005E-3</v>
      </c>
      <c r="AG138">
        <f t="shared" ref="AG138:AG201" si="141">AC138*AE138/(AE138^2+AF138^2)+AD138*AF138/(AE138^2+AF138^2)</f>
        <v>6872.7259555800874</v>
      </c>
      <c r="AH138">
        <f t="shared" ref="AH138:AH201" si="142">AD138*AE138/(AE138^2+AF138^2)-AC138*AF138/(AE138^2+AF138^2)</f>
        <v>-3095.4299606562713</v>
      </c>
      <c r="AJ138">
        <f t="shared" si="127"/>
        <v>20000</v>
      </c>
      <c r="AK138">
        <f t="shared" si="128"/>
        <v>4038.3288560160004</v>
      </c>
      <c r="AL138">
        <v>1</v>
      </c>
      <c r="AM138">
        <f t="shared" si="129"/>
        <v>10.0036855108008</v>
      </c>
      <c r="AN138">
        <f t="shared" ref="AN138:AN201" si="143">AJ138*AL138/(AL138^2+AM138^2)+AK138*AM138/(AL138^2+AM138^2)</f>
        <v>597.56551549325718</v>
      </c>
      <c r="AO138">
        <f t="shared" ref="AO138:AO201" si="144">AK138*AL138/(AL138^2+AM138^2)-AJ138*AM138/(AL138^2+AM138^2)</f>
        <v>-1939.5286330781071</v>
      </c>
      <c r="AQ138">
        <f t="shared" si="130"/>
        <v>0.92447074050106315</v>
      </c>
      <c r="AR138">
        <f t="shared" si="131"/>
        <v>-96.144957012110567</v>
      </c>
      <c r="AT138">
        <f t="shared" si="104"/>
        <v>-291256.34644788026</v>
      </c>
      <c r="AU138">
        <f t="shared" si="105"/>
        <v>-663639.57598316111</v>
      </c>
      <c r="AV138">
        <f t="shared" ref="AV138:AV201" si="145">ATAN2(AT138,AU138)</f>
        <v>-1.9843622138247143</v>
      </c>
      <c r="AW138">
        <f t="shared" ref="AW138:AW201" si="146">AG138-AH138*AO138/_Rfb2+AG138*AN138/_Rfb2+AN138-AO138*AR138+AQ138*AN138</f>
        <v>-178951.07613599414</v>
      </c>
      <c r="AX138">
        <f t="shared" ref="AX138:AX201" si="147">AH138+AH138*AN138/_Rfb2+AG138*AO138/_Rfb2+AO138+AO138*AQ138+AN138*AR138</f>
        <v>-68265.54424619113</v>
      </c>
      <c r="AY138">
        <f t="shared" si="103"/>
        <v>-2.7771565001427847</v>
      </c>
      <c r="BA138">
        <f t="shared" si="132"/>
        <v>3.7839526813203892</v>
      </c>
      <c r="BB138">
        <f t="shared" ref="BB138:BB201" si="148">20*LOG(BA138)</f>
        <v>11.558913937417847</v>
      </c>
      <c r="BC138">
        <f t="shared" ref="BC138:BC201" si="149">AV138-AY138</f>
        <v>0.79279428631807036</v>
      </c>
      <c r="BD138">
        <f t="shared" si="133"/>
        <v>-134.57623331998417</v>
      </c>
      <c r="BF138">
        <f t="shared" si="134"/>
        <v>-5.9995001665784269</v>
      </c>
      <c r="BG138">
        <f t="shared" si="135"/>
        <v>-120.65624272504091</v>
      </c>
      <c r="BH138">
        <f t="shared" ref="BH138:BH201" si="150">IF(BG138&gt;180,BG138-180,BG138+180)</f>
        <v>59.343757274959088</v>
      </c>
      <c r="BI138">
        <f t="shared" ref="BI138:BI201" si="151">IF(BH138&gt;180,BH138-360,BH138)</f>
        <v>59.343757274959088</v>
      </c>
      <c r="BJ138">
        <f t="shared" si="136"/>
        <v>0</v>
      </c>
      <c r="BK138">
        <f t="shared" ref="BK138:BK201" si="152">IF(BJ138&gt;0,BI138,0)</f>
        <v>0</v>
      </c>
      <c r="BM138">
        <f t="shared" ref="BM138:BM201" si="153">20*LOG(J138*F138*C138)</f>
        <v>-17.558414103996274</v>
      </c>
      <c r="BN138">
        <f t="shared" si="137"/>
        <v>-166.08000940505676</v>
      </c>
      <c r="BQ138" s="66">
        <f t="shared" ref="BQ138:BQ201" si="154">20*LOG(BA138*7)</f>
        <v>28.460874737702984</v>
      </c>
      <c r="BR138" s="71"/>
      <c r="BS138" s="71"/>
      <c r="BT138" s="71">
        <v>1905.461</v>
      </c>
      <c r="BU138" s="71">
        <v>9.7134199999999993</v>
      </c>
      <c r="BV138" s="71">
        <v>-255.059</v>
      </c>
      <c r="BW138" s="75"/>
      <c r="BY138" s="71"/>
      <c r="BZ138" s="71"/>
      <c r="CA138" s="71"/>
      <c r="CC138" s="71"/>
    </row>
    <row r="139" spans="1:81" x14ac:dyDescent="0.15">
      <c r="A139">
        <f t="shared" si="106"/>
        <v>52500</v>
      </c>
      <c r="B139">
        <f t="shared" si="138"/>
        <v>52.5</v>
      </c>
      <c r="C139">
        <f t="shared" si="107"/>
        <v>1.0234249734747858</v>
      </c>
      <c r="D139">
        <f t="shared" si="108"/>
        <v>0.2143672408688474</v>
      </c>
      <c r="F139">
        <f t="shared" si="109"/>
        <v>8.4671669940749802E-3</v>
      </c>
      <c r="G139">
        <f t="shared" si="110"/>
        <v>3.0266967822676127E-2</v>
      </c>
      <c r="H139">
        <f t="shared" si="111"/>
        <v>-3.1113256821773243</v>
      </c>
      <c r="J139">
        <f t="shared" si="112"/>
        <v>15</v>
      </c>
      <c r="M139">
        <f t="shared" si="113"/>
        <v>1.8152830712718147E-2</v>
      </c>
      <c r="N139">
        <f t="shared" si="114"/>
        <v>-1.5707963250000001</v>
      </c>
      <c r="O139">
        <f t="shared" si="115"/>
        <v>22.337912686991722</v>
      </c>
      <c r="P139">
        <f t="shared" si="116"/>
        <v>1.5260144204119368</v>
      </c>
      <c r="Q139">
        <f t="shared" si="117"/>
        <v>10.149259621556547</v>
      </c>
      <c r="R139">
        <f t="shared" si="118"/>
        <v>1.4721068506627646</v>
      </c>
      <c r="S139">
        <f t="shared" si="119"/>
        <v>0.97984697783056651</v>
      </c>
      <c r="T139">
        <f t="shared" si="120"/>
        <v>-0.20110235721818814</v>
      </c>
      <c r="U139">
        <f t="shared" si="121"/>
        <v>0.9281955441902725</v>
      </c>
      <c r="V139">
        <f t="shared" si="122"/>
        <v>-0.38126267284918752</v>
      </c>
      <c r="X139">
        <f t="shared" si="139"/>
        <v>-6.257911198563642</v>
      </c>
      <c r="Y139">
        <f t="shared" si="123"/>
        <v>-117.57085520116914</v>
      </c>
      <c r="Z139">
        <f t="shared" si="140"/>
        <v>62.429144798830862</v>
      </c>
      <c r="AC139">
        <v>1</v>
      </c>
      <c r="AD139">
        <f t="shared" si="124"/>
        <v>22.3155179911125</v>
      </c>
      <c r="AE139">
        <f t="shared" si="125"/>
        <v>-1.1041737100036936E-3</v>
      </c>
      <c r="AF139">
        <f t="shared" si="126"/>
        <v>2.7543913558875002E-3</v>
      </c>
      <c r="AG139">
        <f t="shared" si="141"/>
        <v>6854.6875069011658</v>
      </c>
      <c r="AH139">
        <f t="shared" si="142"/>
        <v>-3110.9470762371257</v>
      </c>
      <c r="AJ139">
        <f t="shared" si="127"/>
        <v>20000</v>
      </c>
      <c r="AK139">
        <f t="shared" si="128"/>
        <v>4077.1589411700002</v>
      </c>
      <c r="AL139">
        <v>1</v>
      </c>
      <c r="AM139">
        <f t="shared" si="129"/>
        <v>10.099874794558499</v>
      </c>
      <c r="AN139">
        <f t="shared" si="143"/>
        <v>593.92580275135037</v>
      </c>
      <c r="AO139">
        <f t="shared" si="144"/>
        <v>-1921.4173038762858</v>
      </c>
      <c r="AQ139">
        <f t="shared" si="130"/>
        <v>0.90694721567204784</v>
      </c>
      <c r="AR139">
        <f t="shared" si="131"/>
        <v>-95.229457645565034</v>
      </c>
      <c r="AT139">
        <f t="shared" si="104"/>
        <v>-290036.96308543172</v>
      </c>
      <c r="AU139">
        <f t="shared" si="105"/>
        <v>-655589.63840092474</v>
      </c>
      <c r="AV139">
        <f t="shared" si="145"/>
        <v>-1.9873173844334309</v>
      </c>
      <c r="AW139">
        <f t="shared" si="146"/>
        <v>-175488.64618410845</v>
      </c>
      <c r="AX139">
        <f t="shared" si="147"/>
        <v>-67276.547100324882</v>
      </c>
      <c r="AY139">
        <f t="shared" ref="AY139:AY202" si="155">ATAN2(AW139,AX139)</f>
        <v>-2.7755068280476722</v>
      </c>
      <c r="BA139">
        <f t="shared" si="132"/>
        <v>3.814365741595211</v>
      </c>
      <c r="BB139">
        <f t="shared" si="148"/>
        <v>11.628446663246251</v>
      </c>
      <c r="BC139">
        <f t="shared" si="149"/>
        <v>0.78818944361424137</v>
      </c>
      <c r="BD139">
        <f t="shared" si="133"/>
        <v>-134.84007137253664</v>
      </c>
      <c r="BF139">
        <f t="shared" si="134"/>
        <v>-6.0938454434889602</v>
      </c>
      <c r="BG139">
        <f t="shared" si="135"/>
        <v>-120.82356367397357</v>
      </c>
      <c r="BH139">
        <f t="shared" si="150"/>
        <v>59.176436326026433</v>
      </c>
      <c r="BI139">
        <f t="shared" si="151"/>
        <v>59.176436326026433</v>
      </c>
      <c r="BJ139">
        <f t="shared" si="136"/>
        <v>0</v>
      </c>
      <c r="BK139">
        <f t="shared" si="152"/>
        <v>0</v>
      </c>
      <c r="BM139">
        <f t="shared" si="153"/>
        <v>-17.72229210673521</v>
      </c>
      <c r="BN139">
        <f t="shared" si="137"/>
        <v>-165.98349230143694</v>
      </c>
      <c r="BQ139" s="66">
        <f t="shared" si="154"/>
        <v>28.53040746353139</v>
      </c>
      <c r="BR139" s="71"/>
      <c r="BS139" s="71"/>
      <c r="BT139" s="71">
        <v>1949.845</v>
      </c>
      <c r="BU139" s="71">
        <v>9.5268499999999996</v>
      </c>
      <c r="BV139" s="71">
        <v>-254.971</v>
      </c>
      <c r="BW139" s="75"/>
      <c r="BY139" s="71"/>
      <c r="BZ139" s="71"/>
      <c r="CA139" s="71"/>
      <c r="CC139" s="71"/>
    </row>
    <row r="140" spans="1:81" x14ac:dyDescent="0.15">
      <c r="A140">
        <f t="shared" si="106"/>
        <v>53000</v>
      </c>
      <c r="B140">
        <f t="shared" si="138"/>
        <v>53</v>
      </c>
      <c r="C140">
        <f t="shared" si="107"/>
        <v>1.0238680615497604</v>
      </c>
      <c r="D140">
        <f t="shared" si="108"/>
        <v>0.21634600525321562</v>
      </c>
      <c r="F140">
        <f t="shared" si="109"/>
        <v>8.3068923473527852E-3</v>
      </c>
      <c r="G140">
        <f t="shared" si="110"/>
        <v>2.9976758746850064E-2</v>
      </c>
      <c r="H140">
        <f t="shared" si="111"/>
        <v>-3.11161589125315</v>
      </c>
      <c r="J140">
        <f t="shared" si="112"/>
        <v>15</v>
      </c>
      <c r="M140">
        <f t="shared" si="113"/>
        <v>1.7981577592786846E-2</v>
      </c>
      <c r="N140">
        <f t="shared" si="114"/>
        <v>-1.5707963250000001</v>
      </c>
      <c r="O140">
        <f t="shared" si="115"/>
        <v>22.550230367872224</v>
      </c>
      <c r="P140">
        <f t="shared" si="116"/>
        <v>1.5264363345845078</v>
      </c>
      <c r="Q140">
        <f t="shared" si="117"/>
        <v>10.244985245920562</v>
      </c>
      <c r="R140">
        <f t="shared" si="118"/>
        <v>1.4730319344155132</v>
      </c>
      <c r="S140">
        <f t="shared" si="119"/>
        <v>0.97947307798347172</v>
      </c>
      <c r="T140">
        <f t="shared" si="120"/>
        <v>-0.20296568542983004</v>
      </c>
      <c r="U140">
        <f t="shared" si="121"/>
        <v>0.92696823559557728</v>
      </c>
      <c r="V140">
        <f t="shared" si="122"/>
        <v>-0.38454761381704888</v>
      </c>
      <c r="X140">
        <f t="shared" si="139"/>
        <v>-6.3535739079173057</v>
      </c>
      <c r="Y140">
        <f t="shared" si="123"/>
        <v>-117.69190490830265</v>
      </c>
      <c r="Z140">
        <f t="shared" si="140"/>
        <v>62.308095091697353</v>
      </c>
      <c r="AC140">
        <v>1</v>
      </c>
      <c r="AD140">
        <f t="shared" si="124"/>
        <v>22.528046733885002</v>
      </c>
      <c r="AE140">
        <f t="shared" si="125"/>
        <v>-1.1253057420046713E-3</v>
      </c>
      <c r="AF140">
        <f t="shared" si="126"/>
        <v>2.7806236545150002E-3</v>
      </c>
      <c r="AG140">
        <f t="shared" si="141"/>
        <v>6836.5722401106796</v>
      </c>
      <c r="AH140">
        <f t="shared" si="142"/>
        <v>-3126.3612331394665</v>
      </c>
      <c r="AJ140">
        <f t="shared" si="127"/>
        <v>20000</v>
      </c>
      <c r="AK140">
        <f t="shared" si="128"/>
        <v>4115.9890263239995</v>
      </c>
      <c r="AL140">
        <v>1</v>
      </c>
      <c r="AM140">
        <f t="shared" si="129"/>
        <v>10.1960640783162</v>
      </c>
      <c r="AN140">
        <f t="shared" si="143"/>
        <v>590.38730543886368</v>
      </c>
      <c r="AO140">
        <f t="shared" si="144"/>
        <v>-1903.637770955092</v>
      </c>
      <c r="AQ140">
        <f t="shared" si="130"/>
        <v>0.88991723769689424</v>
      </c>
      <c r="AR140">
        <f t="shared" si="131"/>
        <v>-94.331227195870781</v>
      </c>
      <c r="AT140">
        <f t="shared" si="104"/>
        <v>-288829.50829640724</v>
      </c>
      <c r="AU140">
        <f t="shared" si="105"/>
        <v>-647684.45197550196</v>
      </c>
      <c r="AV140">
        <f t="shared" si="145"/>
        <v>-1.9902702504163334</v>
      </c>
      <c r="AW140">
        <f t="shared" si="146"/>
        <v>-172122.88057479524</v>
      </c>
      <c r="AX140">
        <f t="shared" si="147"/>
        <v>-66316.819908864651</v>
      </c>
      <c r="AY140">
        <f t="shared" si="155"/>
        <v>-2.7738333197818519</v>
      </c>
      <c r="BA140">
        <f t="shared" si="132"/>
        <v>3.844628919553887</v>
      </c>
      <c r="BB140">
        <f t="shared" si="148"/>
        <v>11.697088568224849</v>
      </c>
      <c r="BC140">
        <f t="shared" si="149"/>
        <v>0.78356306936551845</v>
      </c>
      <c r="BD140">
        <f t="shared" si="133"/>
        <v>-135.10514309173936</v>
      </c>
      <c r="BF140">
        <f t="shared" si="134"/>
        <v>-6.1874346875514625</v>
      </c>
      <c r="BG140">
        <f t="shared" si="135"/>
        <v>-120.99188830041184</v>
      </c>
      <c r="BH140">
        <f t="shared" si="150"/>
        <v>59.008111699588156</v>
      </c>
      <c r="BI140">
        <f t="shared" si="151"/>
        <v>59.008111699588156</v>
      </c>
      <c r="BJ140">
        <f t="shared" si="136"/>
        <v>0</v>
      </c>
      <c r="BK140">
        <f t="shared" si="152"/>
        <v>0</v>
      </c>
      <c r="BM140">
        <f t="shared" si="153"/>
        <v>-17.884523255776308</v>
      </c>
      <c r="BN140">
        <f t="shared" si="137"/>
        <v>-165.88674520867247</v>
      </c>
      <c r="BQ140" s="66">
        <f t="shared" si="154"/>
        <v>28.599049368509988</v>
      </c>
      <c r="BR140" s="71"/>
      <c r="BS140" s="71"/>
      <c r="BT140" s="71">
        <v>1995.2619999999999</v>
      </c>
      <c r="BU140" s="71">
        <v>9.3349399999999996</v>
      </c>
      <c r="BV140" s="71">
        <v>-254.804</v>
      </c>
      <c r="BW140" s="75"/>
      <c r="BY140" s="71"/>
      <c r="BZ140" s="71"/>
      <c r="CA140" s="71"/>
      <c r="CC140" s="71"/>
    </row>
    <row r="141" spans="1:81" x14ac:dyDescent="0.15">
      <c r="A141">
        <f t="shared" si="106"/>
        <v>53500</v>
      </c>
      <c r="B141">
        <f t="shared" si="138"/>
        <v>53.5</v>
      </c>
      <c r="C141">
        <f t="shared" si="107"/>
        <v>1.0243151551113538</v>
      </c>
      <c r="D141">
        <f t="shared" si="108"/>
        <v>0.21832304998908963</v>
      </c>
      <c r="F141">
        <f t="shared" si="109"/>
        <v>8.1511373031358265E-3</v>
      </c>
      <c r="G141">
        <f t="shared" si="110"/>
        <v>2.9692104619573386E-2</v>
      </c>
      <c r="H141">
        <f t="shared" si="111"/>
        <v>-3.1119005453804269</v>
      </c>
      <c r="J141">
        <f t="shared" si="112"/>
        <v>15</v>
      </c>
      <c r="M141">
        <f t="shared" si="113"/>
        <v>1.7813525465751451E-2</v>
      </c>
      <c r="N141">
        <f t="shared" si="114"/>
        <v>-1.5707963250000001</v>
      </c>
      <c r="O141">
        <f t="shared" si="115"/>
        <v>22.762551988069276</v>
      </c>
      <c r="P141">
        <f t="shared" si="116"/>
        <v>1.5268503778755631</v>
      </c>
      <c r="Q141">
        <f t="shared" si="117"/>
        <v>10.340719475409896</v>
      </c>
      <c r="R141">
        <f t="shared" si="118"/>
        <v>1.4739398901096528</v>
      </c>
      <c r="S141">
        <f t="shared" si="119"/>
        <v>0.97909606786265102</v>
      </c>
      <c r="T141">
        <f t="shared" si="120"/>
        <v>-0.20482758567018991</v>
      </c>
      <c r="U141">
        <f t="shared" si="121"/>
        <v>0.92573421849173321</v>
      </c>
      <c r="V141">
        <f t="shared" si="122"/>
        <v>-0.38782384397107372</v>
      </c>
      <c r="X141">
        <f t="shared" si="139"/>
        <v>-6.4484744802404395</v>
      </c>
      <c r="Y141">
        <f t="shared" si="123"/>
        <v>-117.81358629309538</v>
      </c>
      <c r="Z141">
        <f t="shared" si="140"/>
        <v>62.186413706904617</v>
      </c>
      <c r="AC141">
        <v>1</v>
      </c>
      <c r="AD141">
        <f t="shared" si="124"/>
        <v>22.740575476657501</v>
      </c>
      <c r="AE141">
        <f t="shared" si="125"/>
        <v>-1.1466380776265111E-3</v>
      </c>
      <c r="AF141">
        <f t="shared" si="126"/>
        <v>2.8068559531425003E-3</v>
      </c>
      <c r="AG141">
        <f t="shared" si="141"/>
        <v>6818.3821203531161</v>
      </c>
      <c r="AH141">
        <f t="shared" si="142"/>
        <v>-3141.6705075769814</v>
      </c>
      <c r="AJ141">
        <f t="shared" si="127"/>
        <v>20000</v>
      </c>
      <c r="AK141">
        <f t="shared" si="128"/>
        <v>4154.8191114780002</v>
      </c>
      <c r="AL141">
        <v>1</v>
      </c>
      <c r="AM141">
        <f t="shared" si="129"/>
        <v>10.2922533620739</v>
      </c>
      <c r="AN141">
        <f t="shared" si="143"/>
        <v>586.94631687714093</v>
      </c>
      <c r="AO141">
        <f t="shared" si="144"/>
        <v>-1886.1810917576468</v>
      </c>
      <c r="AQ141">
        <f t="shared" si="130"/>
        <v>0.8733624454148472</v>
      </c>
      <c r="AR141">
        <f t="shared" si="131"/>
        <v>-93.449781659388648</v>
      </c>
      <c r="AT141">
        <f t="shared" si="104"/>
        <v>-287633.50409640517</v>
      </c>
      <c r="AU141">
        <f t="shared" si="105"/>
        <v>-639920.13745446329</v>
      </c>
      <c r="AV141">
        <f t="shared" si="145"/>
        <v>-1.9932205973778137</v>
      </c>
      <c r="AW141">
        <f t="shared" si="146"/>
        <v>-168850.24638622615</v>
      </c>
      <c r="AX141">
        <f t="shared" si="147"/>
        <v>-65385.159021404725</v>
      </c>
      <c r="AY141">
        <f t="shared" si="155"/>
        <v>-2.772136554392735</v>
      </c>
      <c r="BA141">
        <f t="shared" si="132"/>
        <v>3.8747409035074014</v>
      </c>
      <c r="BB141">
        <f t="shared" si="148"/>
        <v>11.764853347483639</v>
      </c>
      <c r="BC141">
        <f t="shared" si="149"/>
        <v>0.77891595701492133</v>
      </c>
      <c r="BD141">
        <f t="shared" si="133"/>
        <v>-135.37140301665596</v>
      </c>
      <c r="BF141">
        <f t="shared" si="134"/>
        <v>-6.2802853304075512</v>
      </c>
      <c r="BG141">
        <f t="shared" si="135"/>
        <v>-121.16118138605745</v>
      </c>
      <c r="BH141">
        <f t="shared" si="150"/>
        <v>58.83881861394255</v>
      </c>
      <c r="BI141">
        <f t="shared" si="151"/>
        <v>58.83881861394255</v>
      </c>
      <c r="BJ141">
        <f t="shared" si="136"/>
        <v>0</v>
      </c>
      <c r="BK141">
        <f t="shared" si="152"/>
        <v>0</v>
      </c>
      <c r="BM141">
        <f t="shared" si="153"/>
        <v>-18.045138677891192</v>
      </c>
      <c r="BN141">
        <f t="shared" si="137"/>
        <v>-165.78977836940149</v>
      </c>
      <c r="BQ141" s="66">
        <f t="shared" si="154"/>
        <v>28.666814147768775</v>
      </c>
      <c r="BR141" s="71"/>
      <c r="BS141" s="71"/>
      <c r="BT141" s="71">
        <v>2041.7380000000001</v>
      </c>
      <c r="BU141" s="71">
        <v>9.0884699999999992</v>
      </c>
      <c r="BV141" s="71">
        <v>-254.411</v>
      </c>
      <c r="BW141" s="75"/>
      <c r="BY141" s="71"/>
      <c r="BZ141" s="71"/>
      <c r="CA141" s="71"/>
      <c r="CC141" s="71"/>
    </row>
    <row r="142" spans="1:81" x14ac:dyDescent="0.15">
      <c r="A142">
        <f t="shared" si="106"/>
        <v>54000</v>
      </c>
      <c r="B142">
        <f t="shared" si="138"/>
        <v>54</v>
      </c>
      <c r="C142">
        <f t="shared" si="107"/>
        <v>1.0247662489169245</v>
      </c>
      <c r="D142">
        <f t="shared" si="108"/>
        <v>0.2202983618820655</v>
      </c>
      <c r="F142">
        <f t="shared" si="109"/>
        <v>7.9997330937904357E-3</v>
      </c>
      <c r="G142">
        <f t="shared" si="110"/>
        <v>2.9412846310683791E-2</v>
      </c>
      <c r="H142">
        <f t="shared" si="111"/>
        <v>-3.1121798036893162</v>
      </c>
      <c r="J142">
        <f t="shared" si="112"/>
        <v>15</v>
      </c>
      <c r="M142">
        <f t="shared" si="113"/>
        <v>1.7648585415142644E-2</v>
      </c>
      <c r="N142">
        <f t="shared" si="114"/>
        <v>-1.5707963250000001</v>
      </c>
      <c r="O142">
        <f t="shared" si="115"/>
        <v>22.974877438367663</v>
      </c>
      <c r="P142">
        <f t="shared" si="116"/>
        <v>1.5272567683605982</v>
      </c>
      <c r="Q142">
        <f t="shared" si="117"/>
        <v>10.436462073218715</v>
      </c>
      <c r="R142">
        <f t="shared" si="118"/>
        <v>1.4748311876182034</v>
      </c>
      <c r="S142">
        <f t="shared" si="119"/>
        <v>0.97871595889547813</v>
      </c>
      <c r="T142">
        <f t="shared" si="120"/>
        <v>-0.2066880466858578</v>
      </c>
      <c r="U142">
        <f t="shared" si="121"/>
        <v>0.92449359894777616</v>
      </c>
      <c r="V142">
        <f t="shared" si="122"/>
        <v>-0.39109132786197304</v>
      </c>
      <c r="X142">
        <f t="shared" si="139"/>
        <v>-6.5426289649823861</v>
      </c>
      <c r="Y142">
        <f t="shared" si="123"/>
        <v>-117.93586713660358</v>
      </c>
      <c r="Z142">
        <f t="shared" si="140"/>
        <v>62.064132863396424</v>
      </c>
      <c r="AC142">
        <v>1</v>
      </c>
      <c r="AD142">
        <f t="shared" si="124"/>
        <v>22.953104219430003</v>
      </c>
      <c r="AE142">
        <f t="shared" si="125"/>
        <v>-1.1681707168692136E-3</v>
      </c>
      <c r="AF142">
        <f t="shared" si="126"/>
        <v>2.8330882517700003E-3</v>
      </c>
      <c r="AG142">
        <f t="shared" si="141"/>
        <v>6800.1191032025499</v>
      </c>
      <c r="AH142">
        <f t="shared" si="142"/>
        <v>-3156.8730702252178</v>
      </c>
      <c r="AJ142">
        <f t="shared" si="127"/>
        <v>20000</v>
      </c>
      <c r="AK142">
        <f t="shared" si="128"/>
        <v>4193.649196632</v>
      </c>
      <c r="AL142">
        <v>1</v>
      </c>
      <c r="AM142">
        <f t="shared" si="129"/>
        <v>10.388442645831599</v>
      </c>
      <c r="AN142">
        <f t="shared" si="143"/>
        <v>583.599298000933</v>
      </c>
      <c r="AO142">
        <f t="shared" si="144"/>
        <v>-1869.0386387982774</v>
      </c>
      <c r="AQ142">
        <f t="shared" si="130"/>
        <v>0.85726532361765961</v>
      </c>
      <c r="AR142">
        <f t="shared" si="131"/>
        <v>-92.584654950707247</v>
      </c>
      <c r="AT142">
        <f t="shared" si="104"/>
        <v>-286448.49762633606</v>
      </c>
      <c r="AU142">
        <f t="shared" si="105"/>
        <v>-632292.95860788738</v>
      </c>
      <c r="AV142">
        <f t="shared" si="145"/>
        <v>-1.996168218429045</v>
      </c>
      <c r="AW142">
        <f t="shared" si="146"/>
        <v>-165667.37003581953</v>
      </c>
      <c r="AX142">
        <f t="shared" si="147"/>
        <v>-64480.422350702218</v>
      </c>
      <c r="AY142">
        <f t="shared" si="155"/>
        <v>-2.7704170929279477</v>
      </c>
      <c r="BA142">
        <f t="shared" si="132"/>
        <v>3.9047003992457587</v>
      </c>
      <c r="BB142">
        <f t="shared" si="148"/>
        <v>11.831754336886313</v>
      </c>
      <c r="BC142">
        <f t="shared" si="149"/>
        <v>0.77424887449890267</v>
      </c>
      <c r="BD142">
        <f t="shared" si="133"/>
        <v>-135.63880714776866</v>
      </c>
      <c r="BF142">
        <f t="shared" si="134"/>
        <v>-6.3724142705091333</v>
      </c>
      <c r="BG142">
        <f t="shared" si="135"/>
        <v>-121.33140880486292</v>
      </c>
      <c r="BH142">
        <f t="shared" si="150"/>
        <v>58.668591195137083</v>
      </c>
      <c r="BI142">
        <f t="shared" si="151"/>
        <v>58.668591195137083</v>
      </c>
      <c r="BJ142">
        <f t="shared" si="136"/>
        <v>0</v>
      </c>
      <c r="BK142">
        <f t="shared" si="152"/>
        <v>0</v>
      </c>
      <c r="BM142">
        <f t="shared" si="153"/>
        <v>-18.204168607395445</v>
      </c>
      <c r="BN142">
        <f t="shared" si="137"/>
        <v>-165.69260165709426</v>
      </c>
      <c r="BQ142" s="66">
        <f t="shared" si="154"/>
        <v>28.733715137171451</v>
      </c>
      <c r="BR142" s="71"/>
      <c r="BS142" s="71"/>
      <c r="BT142" s="71">
        <v>2089.2959999999998</v>
      </c>
      <c r="BU142" s="71">
        <v>8.9698600000000006</v>
      </c>
      <c r="BV142" s="71">
        <v>-254.113</v>
      </c>
      <c r="BW142" s="75"/>
      <c r="BY142" s="71"/>
      <c r="BZ142" s="71"/>
      <c r="CA142" s="71"/>
      <c r="CC142" s="71"/>
    </row>
    <row r="143" spans="1:81" x14ac:dyDescent="0.15">
      <c r="A143">
        <f t="shared" si="106"/>
        <v>54500</v>
      </c>
      <c r="B143">
        <f t="shared" si="138"/>
        <v>54.5</v>
      </c>
      <c r="C143">
        <f t="shared" si="107"/>
        <v>1.0252213376861923</v>
      </c>
      <c r="D143">
        <f t="shared" si="108"/>
        <v>0.22227192781494817</v>
      </c>
      <c r="F143">
        <f t="shared" si="109"/>
        <v>7.8525187751217994E-3</v>
      </c>
      <c r="G143">
        <f t="shared" si="110"/>
        <v>2.9138830751262137E-2</v>
      </c>
      <c r="H143">
        <f t="shared" si="111"/>
        <v>-3.1124538192487381</v>
      </c>
      <c r="J143">
        <f t="shared" si="112"/>
        <v>15</v>
      </c>
      <c r="M143">
        <f t="shared" si="113"/>
        <v>1.7486671787480784E-2</v>
      </c>
      <c r="N143">
        <f t="shared" si="114"/>
        <v>-1.5707963250000001</v>
      </c>
      <c r="O143">
        <f t="shared" si="115"/>
        <v>23.187206613550565</v>
      </c>
      <c r="P143">
        <f t="shared" si="116"/>
        <v>1.5276557161376201</v>
      </c>
      <c r="Q143">
        <f t="shared" si="117"/>
        <v>10.532212811131547</v>
      </c>
      <c r="R143">
        <f t="shared" si="118"/>
        <v>1.4757062798354192</v>
      </c>
      <c r="S143">
        <f t="shared" si="119"/>
        <v>0.97833276257908286</v>
      </c>
      <c r="T143">
        <f t="shared" si="120"/>
        <v>-0.20854705728066678</v>
      </c>
      <c r="U143">
        <f t="shared" si="121"/>
        <v>0.92324648278379184</v>
      </c>
      <c r="V143">
        <f t="shared" si="122"/>
        <v>-0.39435003097648952</v>
      </c>
      <c r="X143">
        <f t="shared" si="139"/>
        <v>-6.6360529063820124</v>
      </c>
      <c r="Y143">
        <f t="shared" si="123"/>
        <v>-118.05871635497465</v>
      </c>
      <c r="Z143">
        <f t="shared" si="140"/>
        <v>61.941283645025351</v>
      </c>
      <c r="AC143">
        <v>1</v>
      </c>
      <c r="AD143">
        <f t="shared" si="124"/>
        <v>23.165632962202505</v>
      </c>
      <c r="AE143">
        <f t="shared" si="125"/>
        <v>-1.1899036597327784E-3</v>
      </c>
      <c r="AF143">
        <f t="shared" si="126"/>
        <v>2.8593205503975004E-3</v>
      </c>
      <c r="AG143">
        <f t="shared" si="141"/>
        <v>6781.7851343033299</v>
      </c>
      <c r="AH143">
        <f t="shared" si="142"/>
        <v>-3171.9671827518696</v>
      </c>
      <c r="AJ143">
        <f t="shared" si="127"/>
        <v>20000</v>
      </c>
      <c r="AK143">
        <f t="shared" si="128"/>
        <v>4232.4792817860007</v>
      </c>
      <c r="AL143">
        <v>1</v>
      </c>
      <c r="AM143">
        <f t="shared" si="129"/>
        <v>10.4846319295893</v>
      </c>
      <c r="AN143">
        <f t="shared" si="143"/>
        <v>580.34286837297361</v>
      </c>
      <c r="AO143">
        <f t="shared" si="144"/>
        <v>-1852.2020860667185</v>
      </c>
      <c r="AQ143">
        <f t="shared" si="130"/>
        <v>0.84160915670762493</v>
      </c>
      <c r="AR143">
        <f t="shared" si="131"/>
        <v>-91.735398081131123</v>
      </c>
      <c r="AT143">
        <f t="shared" si="104"/>
        <v>-285274.05974217341</v>
      </c>
      <c r="AU143">
        <f t="shared" si="105"/>
        <v>-624799.31562179339</v>
      </c>
      <c r="AV143">
        <f t="shared" si="145"/>
        <v>-1.9991129138835524</v>
      </c>
      <c r="AW143">
        <f t="shared" si="146"/>
        <v>-162571.02876106853</v>
      </c>
      <c r="AX143">
        <f t="shared" si="147"/>
        <v>-63601.525648652474</v>
      </c>
      <c r="AY143">
        <f t="shared" si="155"/>
        <v>-2.7686754792991124</v>
      </c>
      <c r="BA143">
        <f t="shared" si="132"/>
        <v>3.9345061301027102</v>
      </c>
      <c r="BB143">
        <f t="shared" si="148"/>
        <v>11.89780452586113</v>
      </c>
      <c r="BC143">
        <f t="shared" si="149"/>
        <v>0.76956256541556001</v>
      </c>
      <c r="BD143">
        <f t="shared" si="133"/>
        <v>-135.90731288004486</v>
      </c>
      <c r="BF143">
        <f t="shared" si="134"/>
        <v>-6.4638378944382078</v>
      </c>
      <c r="BG143">
        <f t="shared" si="135"/>
        <v>-121.50253747355862</v>
      </c>
      <c r="BH143">
        <f t="shared" si="150"/>
        <v>58.497462526441382</v>
      </c>
      <c r="BI143">
        <f t="shared" si="151"/>
        <v>58.497462526441382</v>
      </c>
      <c r="BJ143">
        <f t="shared" si="136"/>
        <v>0</v>
      </c>
      <c r="BK143">
        <f t="shared" si="152"/>
        <v>0</v>
      </c>
      <c r="BM143">
        <f t="shared" si="153"/>
        <v>-18.361642420299336</v>
      </c>
      <c r="BN143">
        <f t="shared" si="137"/>
        <v>-165.59522459351379</v>
      </c>
      <c r="BQ143" s="66">
        <f t="shared" si="154"/>
        <v>28.799765326146264</v>
      </c>
      <c r="BR143" s="71"/>
      <c r="BS143" s="71"/>
      <c r="BT143" s="71">
        <v>2137.962</v>
      </c>
      <c r="BU143" s="71">
        <v>8.68736</v>
      </c>
      <c r="BV143" s="71">
        <v>-254.34</v>
      </c>
      <c r="BW143" s="75"/>
      <c r="BY143" s="71"/>
      <c r="BZ143" s="71"/>
      <c r="CA143" s="71"/>
      <c r="CC143" s="71"/>
    </row>
    <row r="144" spans="1:81" x14ac:dyDescent="0.15">
      <c r="A144">
        <f t="shared" si="106"/>
        <v>55000</v>
      </c>
      <c r="B144">
        <f t="shared" si="138"/>
        <v>55</v>
      </c>
      <c r="C144">
        <f t="shared" si="107"/>
        <v>1.0256804161015272</v>
      </c>
      <c r="D144">
        <f t="shared" si="108"/>
        <v>0.22424373474812351</v>
      </c>
      <c r="F144">
        <f t="shared" si="109"/>
        <v>7.7093407941689054E-3</v>
      </c>
      <c r="G144">
        <f t="shared" si="110"/>
        <v>2.886991064599392E-2</v>
      </c>
      <c r="H144">
        <f t="shared" si="111"/>
        <v>-3.1127227393540062</v>
      </c>
      <c r="J144">
        <f t="shared" si="112"/>
        <v>15</v>
      </c>
      <c r="M144">
        <f t="shared" si="113"/>
        <v>1.732770204395823E-2</v>
      </c>
      <c r="N144">
        <f t="shared" si="114"/>
        <v>-1.5707963250000001</v>
      </c>
      <c r="O144">
        <f t="shared" si="115"/>
        <v>23.399539412218346</v>
      </c>
      <c r="P144">
        <f t="shared" si="116"/>
        <v>1.5280474236884045</v>
      </c>
      <c r="Q144">
        <f t="shared" si="117"/>
        <v>10.627971469138123</v>
      </c>
      <c r="R144">
        <f t="shared" si="118"/>
        <v>1.4765656034345118</v>
      </c>
      <c r="S144">
        <f t="shared" si="119"/>
        <v>0.97794649047944326</v>
      </c>
      <c r="T144">
        <f t="shared" si="120"/>
        <v>-0.21040460631600014</v>
      </c>
      <c r="U144">
        <f t="shared" si="121"/>
        <v>0.92199297555290693</v>
      </c>
      <c r="V144">
        <f t="shared" si="122"/>
        <v>-0.39759991973254866</v>
      </c>
      <c r="X144">
        <f t="shared" si="139"/>
        <v>-6.7287613639399719</v>
      </c>
      <c r="Y144">
        <f t="shared" si="123"/>
        <v>-118.18210395153322</v>
      </c>
      <c r="Z144">
        <f t="shared" si="140"/>
        <v>61.817896048466778</v>
      </c>
      <c r="AC144">
        <v>1</v>
      </c>
      <c r="AD144">
        <f t="shared" si="124"/>
        <v>23.378161704975003</v>
      </c>
      <c r="AE144">
        <f t="shared" si="125"/>
        <v>-1.2118369062172054E-3</v>
      </c>
      <c r="AF144">
        <f t="shared" si="126"/>
        <v>2.8855528490250005E-3</v>
      </c>
      <c r="AG144">
        <f t="shared" si="141"/>
        <v>6763.3821490201817</v>
      </c>
      <c r="AH144">
        <f t="shared" si="142"/>
        <v>-3186.9511945139275</v>
      </c>
      <c r="AJ144">
        <f t="shared" si="127"/>
        <v>20000</v>
      </c>
      <c r="AK144">
        <f t="shared" si="128"/>
        <v>4271.3093669399996</v>
      </c>
      <c r="AL144">
        <v>1</v>
      </c>
      <c r="AM144">
        <f t="shared" si="129"/>
        <v>10.580821213347001</v>
      </c>
      <c r="AN144">
        <f t="shared" si="143"/>
        <v>577.17379775379698</v>
      </c>
      <c r="AO144">
        <f t="shared" si="144"/>
        <v>-1835.6633961214279</v>
      </c>
      <c r="AQ144">
        <f t="shared" si="130"/>
        <v>0.82637798529047191</v>
      </c>
      <c r="AR144">
        <f t="shared" si="131"/>
        <v>-90.901578381951907</v>
      </c>
      <c r="AT144">
        <f t="shared" si="104"/>
        <v>-284109.78369350621</v>
      </c>
      <c r="AU144">
        <f t="shared" si="105"/>
        <v>-617435.73885359394</v>
      </c>
      <c r="AV144">
        <f t="shared" si="145"/>
        <v>-2.0020544909688773</v>
      </c>
      <c r="AW144">
        <f t="shared" si="146"/>
        <v>-159558.14262523872</v>
      </c>
      <c r="AX144">
        <f t="shared" si="147"/>
        <v>-62747.439040516176</v>
      </c>
      <c r="AY144">
        <f t="shared" si="155"/>
        <v>-2.7669122410979146</v>
      </c>
      <c r="BA144">
        <f t="shared" si="132"/>
        <v>3.9641568370301457</v>
      </c>
      <c r="BB144">
        <f t="shared" si="148"/>
        <v>11.963016569692201</v>
      </c>
      <c r="BC144">
        <f t="shared" si="149"/>
        <v>0.76485775012903723</v>
      </c>
      <c r="BD144">
        <f t="shared" si="133"/>
        <v>-136.17687893965925</v>
      </c>
      <c r="BF144">
        <f t="shared" si="134"/>
        <v>-6.5545720971387977</v>
      </c>
      <c r="BG144">
        <f t="shared" si="135"/>
        <v>-121.67453530483404</v>
      </c>
      <c r="BH144">
        <f t="shared" si="150"/>
        <v>58.325464695165962</v>
      </c>
      <c r="BI144">
        <f t="shared" si="151"/>
        <v>58.325464695165962</v>
      </c>
      <c r="BJ144">
        <f t="shared" si="136"/>
        <v>0</v>
      </c>
      <c r="BK144">
        <f t="shared" si="152"/>
        <v>0</v>
      </c>
      <c r="BM144">
        <f t="shared" si="153"/>
        <v>-18.517588666830996</v>
      </c>
      <c r="BN144">
        <f t="shared" si="137"/>
        <v>-165.49765636517478</v>
      </c>
      <c r="BQ144" s="66">
        <f t="shared" si="154"/>
        <v>28.864977369977339</v>
      </c>
      <c r="BR144" s="71"/>
      <c r="BS144" s="71"/>
      <c r="BT144" s="71">
        <v>2187.7620000000002</v>
      </c>
      <c r="BU144" s="71">
        <v>8.5308799999999998</v>
      </c>
      <c r="BV144" s="71">
        <v>-253.785</v>
      </c>
      <c r="BW144" s="75"/>
      <c r="BY144" s="71"/>
      <c r="BZ144" s="71"/>
      <c r="CA144" s="71"/>
      <c r="CC144" s="71"/>
    </row>
    <row r="145" spans="1:81" x14ac:dyDescent="0.15">
      <c r="A145">
        <f t="shared" si="106"/>
        <v>55500</v>
      </c>
      <c r="B145">
        <f t="shared" si="138"/>
        <v>55.5</v>
      </c>
      <c r="C145">
        <f t="shared" si="107"/>
        <v>1.026143478808238</v>
      </c>
      <c r="D145">
        <f t="shared" si="108"/>
        <v>0.22621376971992235</v>
      </c>
      <c r="F145">
        <f t="shared" si="109"/>
        <v>7.5700525846639603E-3</v>
      </c>
      <c r="G145">
        <f t="shared" si="110"/>
        <v>2.8605944201847745E-2</v>
      </c>
      <c r="H145">
        <f t="shared" si="111"/>
        <v>-3.1129867057981526</v>
      </c>
      <c r="J145">
        <f t="shared" si="112"/>
        <v>15</v>
      </c>
      <c r="M145">
        <f t="shared" si="113"/>
        <v>1.7171596620138788E-2</v>
      </c>
      <c r="N145">
        <f t="shared" si="114"/>
        <v>-1.5707963250000001</v>
      </c>
      <c r="O145">
        <f t="shared" si="115"/>
        <v>23.611875736617055</v>
      </c>
      <c r="P145">
        <f t="shared" si="116"/>
        <v>1.5284320862203085</v>
      </c>
      <c r="Q145">
        <f t="shared" si="117"/>
        <v>10.723737835068702</v>
      </c>
      <c r="R145">
        <f t="shared" si="118"/>
        <v>1.4774095795852753</v>
      </c>
      <c r="S145">
        <f t="shared" si="119"/>
        <v>0.97755715423047784</v>
      </c>
      <c r="T145">
        <f t="shared" si="120"/>
        <v>-0.21226068271109291</v>
      </c>
      <c r="U145">
        <f t="shared" si="121"/>
        <v>0.92073318252363079</v>
      </c>
      <c r="V145">
        <f t="shared" si="122"/>
        <v>-0.40084096147424358</v>
      </c>
      <c r="X145">
        <f t="shared" si="139"/>
        <v>-6.8207689318652056</v>
      </c>
      <c r="Y145">
        <f t="shared" si="123"/>
        <v>-118.30600097133436</v>
      </c>
      <c r="Z145">
        <f t="shared" si="140"/>
        <v>61.693999028665644</v>
      </c>
      <c r="AC145">
        <v>1</v>
      </c>
      <c r="AD145">
        <f t="shared" si="124"/>
        <v>23.590690447747505</v>
      </c>
      <c r="AE145">
        <f t="shared" si="125"/>
        <v>-1.233970456322495E-3</v>
      </c>
      <c r="AF145">
        <f t="shared" si="126"/>
        <v>2.9117851476525001E-3</v>
      </c>
      <c r="AG145">
        <f t="shared" si="141"/>
        <v>6744.9120720977317</v>
      </c>
      <c r="AH145">
        <f t="shared" si="142"/>
        <v>-3201.8235394111489</v>
      </c>
      <c r="AJ145">
        <f t="shared" si="127"/>
        <v>20000</v>
      </c>
      <c r="AK145">
        <f t="shared" si="128"/>
        <v>4310.1394520940003</v>
      </c>
      <c r="AL145">
        <v>1</v>
      </c>
      <c r="AM145">
        <f t="shared" si="129"/>
        <v>10.6770104971047</v>
      </c>
      <c r="AN145">
        <f t="shared" si="143"/>
        <v>574.08899818805492</v>
      </c>
      <c r="AO145">
        <f t="shared" si="144"/>
        <v>-1819.4148078321828</v>
      </c>
      <c r="AQ145">
        <f t="shared" si="130"/>
        <v>0.81155656549261479</v>
      </c>
      <c r="AR145">
        <f t="shared" si="131"/>
        <v>-90.082778769680246</v>
      </c>
      <c r="AT145">
        <f t="shared" si="104"/>
        <v>-282955.28388454777</v>
      </c>
      <c r="AU145">
        <f t="shared" si="105"/>
        <v>-610198.88292668341</v>
      </c>
      <c r="AV145">
        <f t="shared" si="145"/>
        <v>-2.0049927635533114</v>
      </c>
      <c r="AW145">
        <f t="shared" si="146"/>
        <v>-156625.76701143436</v>
      </c>
      <c r="AX145">
        <f t="shared" si="147"/>
        <v>-61917.183797300175</v>
      </c>
      <c r="AY145">
        <f t="shared" si="155"/>
        <v>-2.7651278903673759</v>
      </c>
      <c r="BA145">
        <f t="shared" si="132"/>
        <v>3.9936512786812908</v>
      </c>
      <c r="BB145">
        <f t="shared" si="148"/>
        <v>12.027402801297722</v>
      </c>
      <c r="BC145">
        <f t="shared" si="149"/>
        <v>0.76013512681406459</v>
      </c>
      <c r="BD145">
        <f t="shared" si="133"/>
        <v>-136.44746532414646</v>
      </c>
      <c r="BF145">
        <f t="shared" si="134"/>
        <v>-6.644632301127178</v>
      </c>
      <c r="BG145">
        <f t="shared" si="135"/>
        <v>-121.84737116301496</v>
      </c>
      <c r="BH145">
        <f t="shared" si="150"/>
        <v>58.152628836985045</v>
      </c>
      <c r="BI145">
        <f t="shared" si="151"/>
        <v>58.152628836985045</v>
      </c>
      <c r="BJ145">
        <f t="shared" si="136"/>
        <v>0</v>
      </c>
      <c r="BK145">
        <f t="shared" si="152"/>
        <v>0</v>
      </c>
      <c r="BM145">
        <f t="shared" si="153"/>
        <v>-18.6720351024249</v>
      </c>
      <c r="BN145">
        <f t="shared" si="137"/>
        <v>-165.39990583886851</v>
      </c>
      <c r="BQ145" s="66">
        <f t="shared" si="154"/>
        <v>28.92936360158286</v>
      </c>
      <c r="BR145" s="71"/>
      <c r="BS145" s="71"/>
      <c r="BT145" s="71">
        <v>2238.721</v>
      </c>
      <c r="BU145" s="71">
        <v>8.3496900000000007</v>
      </c>
      <c r="BV145" s="71">
        <v>-253.78300000000002</v>
      </c>
      <c r="BW145" s="75"/>
      <c r="BY145" s="71"/>
      <c r="BZ145" s="71"/>
      <c r="CA145" s="71"/>
      <c r="CC145" s="71"/>
    </row>
    <row r="146" spans="1:81" x14ac:dyDescent="0.15">
      <c r="A146">
        <f t="shared" si="106"/>
        <v>56000</v>
      </c>
      <c r="B146">
        <f t="shared" si="138"/>
        <v>56</v>
      </c>
      <c r="C146">
        <f t="shared" si="107"/>
        <v>1.0266105204148643</v>
      </c>
      <c r="D146">
        <f t="shared" si="108"/>
        <v>0.22818201984697678</v>
      </c>
      <c r="F146">
        <f t="shared" si="109"/>
        <v>7.4345141881465814E-3</v>
      </c>
      <c r="G146">
        <f t="shared" si="110"/>
        <v>2.834679487199572E-2</v>
      </c>
      <c r="H146">
        <f t="shared" si="111"/>
        <v>-3.1132458551280044</v>
      </c>
      <c r="J146">
        <f t="shared" si="112"/>
        <v>15</v>
      </c>
      <c r="M146">
        <f t="shared" si="113"/>
        <v>1.7018278793173264E-2</v>
      </c>
      <c r="N146">
        <f t="shared" si="114"/>
        <v>-1.5707963250000001</v>
      </c>
      <c r="O146">
        <f t="shared" si="115"/>
        <v>23.824215492476128</v>
      </c>
      <c r="P146">
        <f t="shared" si="116"/>
        <v>1.5288098919898494</v>
      </c>
      <c r="Q146">
        <f t="shared" si="117"/>
        <v>10.819511704248658</v>
      </c>
      <c r="R146">
        <f t="shared" si="118"/>
        <v>1.478238614634062</v>
      </c>
      <c r="S146">
        <f t="shared" si="119"/>
        <v>0.97716476553313347</v>
      </c>
      <c r="T146">
        <f t="shared" si="120"/>
        <v>-0.21411527544332823</v>
      </c>
      <c r="U146">
        <f t="shared" si="121"/>
        <v>0.91946720866254406</v>
      </c>
      <c r="V146">
        <f t="shared" si="122"/>
        <v>-0.40407312446665922</v>
      </c>
      <c r="X146">
        <f t="shared" si="139"/>
        <v>-6.9120897575571174</v>
      </c>
      <c r="Y146">
        <f t="shared" si="123"/>
        <v>-118.43037945803655</v>
      </c>
      <c r="Z146">
        <f t="shared" si="140"/>
        <v>61.569620541963445</v>
      </c>
      <c r="AC146">
        <v>1</v>
      </c>
      <c r="AD146">
        <f t="shared" si="124"/>
        <v>23.803219190520004</v>
      </c>
      <c r="AE146">
        <f t="shared" si="125"/>
        <v>-1.2563043100486467E-3</v>
      </c>
      <c r="AF146">
        <f t="shared" si="126"/>
        <v>2.9380174462800006E-3</v>
      </c>
      <c r="AG146">
        <f t="shared" si="141"/>
        <v>6726.3768173294238</v>
      </c>
      <c r="AH146">
        <f t="shared" si="142"/>
        <v>-3216.5827328860623</v>
      </c>
      <c r="AJ146">
        <f t="shared" si="127"/>
        <v>20000</v>
      </c>
      <c r="AK146">
        <f t="shared" si="128"/>
        <v>4348.9695372480001</v>
      </c>
      <c r="AL146">
        <v>1</v>
      </c>
      <c r="AM146">
        <f t="shared" si="129"/>
        <v>10.7731997808624</v>
      </c>
      <c r="AN146">
        <f t="shared" si="143"/>
        <v>571.0855165715858</v>
      </c>
      <c r="AO146">
        <f t="shared" si="144"/>
        <v>-1803.4488247346992</v>
      </c>
      <c r="AQ146">
        <f t="shared" si="130"/>
        <v>0.79713033080908724</v>
      </c>
      <c r="AR146">
        <f t="shared" si="131"/>
        <v>-89.278597050617776</v>
      </c>
      <c r="AT146">
        <f t="shared" si="104"/>
        <v>-281810.19471176533</v>
      </c>
      <c r="AU146">
        <f t="shared" si="105"/>
        <v>-603085.52114291082</v>
      </c>
      <c r="AV146">
        <f t="shared" si="145"/>
        <v>-2.0079275518867661</v>
      </c>
      <c r="AW146">
        <f t="shared" si="146"/>
        <v>-153771.08557135361</v>
      </c>
      <c r="AX146">
        <f t="shared" si="147"/>
        <v>-61109.829327921798</v>
      </c>
      <c r="AY146">
        <f t="shared" si="155"/>
        <v>-2.7633229243310526</v>
      </c>
      <c r="BA146">
        <f t="shared" si="132"/>
        <v>4.0229882315018672</v>
      </c>
      <c r="BB146">
        <f t="shared" si="148"/>
        <v>12.090975242520056</v>
      </c>
      <c r="BC146">
        <f t="shared" si="149"/>
        <v>0.75539537244428656</v>
      </c>
      <c r="BD146">
        <f t="shared" si="133"/>
        <v>-136.71903324577374</v>
      </c>
      <c r="BF146">
        <f t="shared" si="134"/>
        <v>-6.734033474741997</v>
      </c>
      <c r="BG146">
        <f t="shared" si="135"/>
        <v>-122.0210148220882</v>
      </c>
      <c r="BH146">
        <f t="shared" si="150"/>
        <v>57.978985177911795</v>
      </c>
      <c r="BI146">
        <f t="shared" si="151"/>
        <v>57.978985177911795</v>
      </c>
      <c r="BJ146">
        <f t="shared" si="136"/>
        <v>0</v>
      </c>
      <c r="BK146">
        <f t="shared" si="152"/>
        <v>0</v>
      </c>
      <c r="BM146">
        <f t="shared" si="153"/>
        <v>-18.825008717262051</v>
      </c>
      <c r="BN146">
        <f t="shared" si="137"/>
        <v>-165.30198157631449</v>
      </c>
      <c r="BQ146" s="66">
        <f t="shared" si="154"/>
        <v>28.992936042805194</v>
      </c>
      <c r="BR146" s="71"/>
      <c r="BS146" s="71"/>
      <c r="BT146" s="71">
        <v>2290.8679999999999</v>
      </c>
      <c r="BU146" s="71">
        <v>8.2818299999999994</v>
      </c>
      <c r="BV146" s="71">
        <v>-253.62</v>
      </c>
      <c r="BW146" s="75"/>
      <c r="BY146" s="71"/>
      <c r="BZ146" s="71"/>
      <c r="CA146" s="71"/>
      <c r="CC146" s="71"/>
    </row>
    <row r="147" spans="1:81" x14ac:dyDescent="0.15">
      <c r="A147">
        <f t="shared" si="106"/>
        <v>56500</v>
      </c>
      <c r="B147">
        <f t="shared" si="138"/>
        <v>56.5</v>
      </c>
      <c r="C147">
        <f t="shared" si="107"/>
        <v>1.0270815354934673</v>
      </c>
      <c r="D147">
        <f t="shared" si="108"/>
        <v>0.23014847232456809</v>
      </c>
      <c r="F147">
        <f t="shared" si="109"/>
        <v>7.3025918988861424E-3</v>
      </c>
      <c r="G147">
        <f t="shared" si="110"/>
        <v>2.80923311139811E-2</v>
      </c>
      <c r="H147">
        <f t="shared" si="111"/>
        <v>-3.1135003188860191</v>
      </c>
      <c r="J147">
        <f t="shared" si="112"/>
        <v>15</v>
      </c>
      <c r="M147">
        <f t="shared" si="113"/>
        <v>1.6867674556065537E-2</v>
      </c>
      <c r="N147">
        <f t="shared" si="114"/>
        <v>-1.5707963250000001</v>
      </c>
      <c r="O147">
        <f t="shared" si="115"/>
        <v>24.036558588854668</v>
      </c>
      <c r="P147">
        <f t="shared" si="116"/>
        <v>1.5291810226091753</v>
      </c>
      <c r="Q147">
        <f t="shared" si="117"/>
        <v>10.915292879171087</v>
      </c>
      <c r="R147">
        <f t="shared" si="118"/>
        <v>1.4790531007483838</v>
      </c>
      <c r="S147">
        <f t="shared" si="119"/>
        <v>0.97676933615447248</v>
      </c>
      <c r="T147">
        <f t="shared" si="120"/>
        <v>-0.21596837354852833</v>
      </c>
      <c r="U147">
        <f t="shared" si="121"/>
        <v>0.91819515861733769</v>
      </c>
      <c r="V147">
        <f t="shared" si="122"/>
        <v>-0.40729637789053974</v>
      </c>
      <c r="X147">
        <f t="shared" si="139"/>
        <v>-7.0027375591806909</v>
      </c>
      <c r="Y147">
        <f t="shared" si="123"/>
        <v>-118.55521241295646</v>
      </c>
      <c r="Z147">
        <f t="shared" si="140"/>
        <v>61.444787587043535</v>
      </c>
      <c r="AC147">
        <v>1</v>
      </c>
      <c r="AD147">
        <f t="shared" si="124"/>
        <v>24.015747933292506</v>
      </c>
      <c r="AE147">
        <f t="shared" si="125"/>
        <v>-1.278838467395661E-3</v>
      </c>
      <c r="AF147">
        <f t="shared" si="126"/>
        <v>2.9642497449075002E-3</v>
      </c>
      <c r="AG147">
        <f t="shared" si="141"/>
        <v>6707.7782872358748</v>
      </c>
      <c r="AH147">
        <f t="shared" si="142"/>
        <v>-3231.2273690614775</v>
      </c>
      <c r="AJ147">
        <f t="shared" si="127"/>
        <v>20000</v>
      </c>
      <c r="AK147">
        <f t="shared" si="128"/>
        <v>4387.7996224019998</v>
      </c>
      <c r="AL147">
        <v>1</v>
      </c>
      <c r="AM147">
        <f t="shared" si="129"/>
        <v>10.869389064620099</v>
      </c>
      <c r="AN147">
        <f t="shared" si="143"/>
        <v>568.16052766625671</v>
      </c>
      <c r="AO147">
        <f t="shared" si="144"/>
        <v>-1787.7582039623967</v>
      </c>
      <c r="AQ147">
        <f t="shared" si="130"/>
        <v>0.78308535630383713</v>
      </c>
      <c r="AR147">
        <f t="shared" si="131"/>
        <v>-88.488645262333591</v>
      </c>
      <c r="AT147">
        <f t="shared" si="104"/>
        <v>-280674.16947275732</v>
      </c>
      <c r="AU147">
        <f t="shared" si="105"/>
        <v>-596092.54019319906</v>
      </c>
      <c r="AV147">
        <f t="shared" si="145"/>
        <v>-2.0108586823548995</v>
      </c>
      <c r="AW147">
        <f t="shared" si="146"/>
        <v>-150991.40359763306</v>
      </c>
      <c r="AX147">
        <f t="shared" si="147"/>
        <v>-60324.490374353911</v>
      </c>
      <c r="AY147">
        <f t="shared" si="155"/>
        <v>-2.7614978260826977</v>
      </c>
      <c r="BA147">
        <f t="shared" si="132"/>
        <v>4.0521664898284406</v>
      </c>
      <c r="BB147">
        <f t="shared" si="148"/>
        <v>12.153745614951273</v>
      </c>
      <c r="BC147">
        <f t="shared" si="149"/>
        <v>0.75063914372779816</v>
      </c>
      <c r="BD147">
        <f t="shared" si="133"/>
        <v>-136.99154507793884</v>
      </c>
      <c r="BF147">
        <f t="shared" si="134"/>
        <v>-6.8227901494916345</v>
      </c>
      <c r="BG147">
        <f t="shared" si="135"/>
        <v>-122.19543692593547</v>
      </c>
      <c r="BH147">
        <f t="shared" si="150"/>
        <v>57.804563074064532</v>
      </c>
      <c r="BI147">
        <f t="shared" si="151"/>
        <v>57.804563074064532</v>
      </c>
      <c r="BJ147">
        <f t="shared" si="136"/>
        <v>0</v>
      </c>
      <c r="BK147">
        <f t="shared" si="152"/>
        <v>0</v>
      </c>
      <c r="BM147">
        <f t="shared" si="153"/>
        <v>-18.976535764442907</v>
      </c>
      <c r="BN147">
        <f t="shared" si="137"/>
        <v>-165.2038918479966</v>
      </c>
      <c r="BQ147" s="66">
        <f t="shared" si="154"/>
        <v>29.055706415236408</v>
      </c>
      <c r="BR147" s="71"/>
      <c r="BS147" s="71"/>
      <c r="BT147" s="71">
        <v>2344.2289999999998</v>
      </c>
      <c r="BU147" s="71">
        <v>8.0662299999999991</v>
      </c>
      <c r="BV147" s="71">
        <v>-253.17099999999999</v>
      </c>
      <c r="BW147" s="75"/>
      <c r="BY147" s="71"/>
      <c r="BZ147" s="71"/>
      <c r="CA147" s="71"/>
      <c r="CC147" s="71"/>
    </row>
    <row r="148" spans="1:81" x14ac:dyDescent="0.15">
      <c r="A148">
        <f t="shared" si="106"/>
        <v>57000</v>
      </c>
      <c r="B148">
        <f t="shared" si="138"/>
        <v>57</v>
      </c>
      <c r="C148">
        <f t="shared" si="107"/>
        <v>1.0275565185799238</v>
      </c>
      <c r="D148">
        <f t="shared" si="108"/>
        <v>0.23211311442696703</v>
      </c>
      <c r="F148">
        <f t="shared" si="109"/>
        <v>7.1741579309142463E-3</v>
      </c>
      <c r="G148">
        <f t="shared" si="110"/>
        <v>2.7842426161212391E-2</v>
      </c>
      <c r="H148">
        <f t="shared" si="111"/>
        <v>-3.113750223838788</v>
      </c>
      <c r="J148">
        <f t="shared" si="112"/>
        <v>15</v>
      </c>
      <c r="M148">
        <f t="shared" si="113"/>
        <v>1.6719712498556191E-2</v>
      </c>
      <c r="N148">
        <f t="shared" si="114"/>
        <v>-1.5707963250000001</v>
      </c>
      <c r="O148">
        <f t="shared" si="115"/>
        <v>24.248904937995764</v>
      </c>
      <c r="P148">
        <f t="shared" si="116"/>
        <v>1.5295456533364697</v>
      </c>
      <c r="Q148">
        <f t="shared" si="117"/>
        <v>11.011081169186433</v>
      </c>
      <c r="R148">
        <f t="shared" si="118"/>
        <v>1.4798534165282642</v>
      </c>
      <c r="S148">
        <f t="shared" si="119"/>
        <v>0.97637087792675836</v>
      </c>
      <c r="T148">
        <f t="shared" si="120"/>
        <v>-0.21781996612124002</v>
      </c>
      <c r="U148">
        <f t="shared" si="121"/>
        <v>0.91691713670020425</v>
      </c>
      <c r="V148">
        <f t="shared" si="122"/>
        <v>-0.410510691836804</v>
      </c>
      <c r="X148">
        <f t="shared" si="139"/>
        <v>-7.0927256423877392</v>
      </c>
      <c r="Y148">
        <f t="shared" si="123"/>
        <v>-118.68047375617701</v>
      </c>
      <c r="Z148">
        <f t="shared" si="140"/>
        <v>61.319526243822992</v>
      </c>
      <c r="AC148">
        <v>1</v>
      </c>
      <c r="AD148">
        <f t="shared" si="124"/>
        <v>24.228276676065004</v>
      </c>
      <c r="AE148">
        <f t="shared" si="125"/>
        <v>-1.3015729283635375E-3</v>
      </c>
      <c r="AF148">
        <f t="shared" si="126"/>
        <v>2.9904820435350003E-3</v>
      </c>
      <c r="AG148">
        <f t="shared" si="141"/>
        <v>6689.1183727525995</v>
      </c>
      <c r="AH148">
        <f t="shared" si="142"/>
        <v>-3245.7561180070466</v>
      </c>
      <c r="AJ148">
        <f t="shared" si="127"/>
        <v>20000</v>
      </c>
      <c r="AK148">
        <f t="shared" si="128"/>
        <v>4426.6297075560005</v>
      </c>
      <c r="AL148">
        <v>1</v>
      </c>
      <c r="AM148">
        <f t="shared" si="129"/>
        <v>10.9655783483778</v>
      </c>
      <c r="AN148">
        <f t="shared" si="143"/>
        <v>565.31132753209431</v>
      </c>
      <c r="AO148">
        <f t="shared" si="144"/>
        <v>-1772.3359457226431</v>
      </c>
      <c r="AQ148">
        <f t="shared" si="130"/>
        <v>0.76940832499807643</v>
      </c>
      <c r="AR148">
        <f t="shared" si="131"/>
        <v>-87.712549049780719</v>
      </c>
      <c r="AT148">
        <f t="shared" si="104"/>
        <v>-279546.87934142549</v>
      </c>
      <c r="AU148">
        <f t="shared" si="105"/>
        <v>-589216.93514795974</v>
      </c>
      <c r="AV148">
        <f t="shared" si="145"/>
        <v>-2.0137859872456847</v>
      </c>
      <c r="AW148">
        <f t="shared" si="146"/>
        <v>-148284.14179104738</v>
      </c>
      <c r="AX148">
        <f t="shared" si="147"/>
        <v>-59560.324394366537</v>
      </c>
      <c r="AY148">
        <f t="shared" si="155"/>
        <v>-2.7596530652387417</v>
      </c>
      <c r="BA148">
        <f t="shared" si="132"/>
        <v>4.0811848659932171</v>
      </c>
      <c r="BB148">
        <f t="shared" si="148"/>
        <v>12.215725350316431</v>
      </c>
      <c r="BC148">
        <f t="shared" si="149"/>
        <v>0.74586707799305696</v>
      </c>
      <c r="BD148">
        <f t="shared" si="133"/>
        <v>-137.26496430441094</v>
      </c>
      <c r="BF148">
        <f t="shared" si="134"/>
        <v>-6.9109164365520375</v>
      </c>
      <c r="BG148">
        <f t="shared" si="135"/>
        <v>-122.37060895064721</v>
      </c>
      <c r="BH148">
        <f t="shared" si="150"/>
        <v>57.62939104935279</v>
      </c>
      <c r="BI148">
        <f t="shared" si="151"/>
        <v>57.62939104935279</v>
      </c>
      <c r="BJ148">
        <f t="shared" si="136"/>
        <v>0</v>
      </c>
      <c r="BK148">
        <f t="shared" si="152"/>
        <v>0</v>
      </c>
      <c r="BM148">
        <f t="shared" si="153"/>
        <v>-19.126641786868468</v>
      </c>
      <c r="BN148">
        <f t="shared" si="137"/>
        <v>-165.10564464623627</v>
      </c>
      <c r="BQ148" s="66">
        <f t="shared" si="154"/>
        <v>29.117686150601564</v>
      </c>
      <c r="BR148" s="71"/>
      <c r="BS148" s="71"/>
      <c r="BT148" s="71">
        <v>2398.8330000000001</v>
      </c>
      <c r="BU148" s="71">
        <v>7.8140200000000002</v>
      </c>
      <c r="BV148" s="71">
        <v>-252.65800000000002</v>
      </c>
      <c r="BW148" s="75"/>
      <c r="BY148" s="71"/>
      <c r="BZ148" s="71"/>
      <c r="CA148" s="71"/>
      <c r="CC148" s="71"/>
    </row>
    <row r="149" spans="1:81" x14ac:dyDescent="0.15">
      <c r="A149">
        <f t="shared" si="106"/>
        <v>57500</v>
      </c>
      <c r="B149">
        <f t="shared" si="138"/>
        <v>57.5</v>
      </c>
      <c r="C149">
        <f t="shared" si="107"/>
        <v>1.0280354641742193</v>
      </c>
      <c r="D149">
        <f t="shared" si="108"/>
        <v>0.23407593350776593</v>
      </c>
      <c r="F149">
        <f t="shared" si="109"/>
        <v>7.0490901056044731E-3</v>
      </c>
      <c r="G149">
        <f t="shared" si="110"/>
        <v>2.759695780693093E-2</v>
      </c>
      <c r="H149">
        <f t="shared" si="111"/>
        <v>-3.1139956921930692</v>
      </c>
      <c r="J149">
        <f t="shared" si="112"/>
        <v>15</v>
      </c>
      <c r="M149">
        <f t="shared" si="113"/>
        <v>1.6574323694220919E-2</v>
      </c>
      <c r="N149">
        <f t="shared" si="114"/>
        <v>-1.5707963250000001</v>
      </c>
      <c r="O149">
        <f t="shared" si="115"/>
        <v>24.461254455188449</v>
      </c>
      <c r="P149">
        <f t="shared" si="116"/>
        <v>1.5299039533512655</v>
      </c>
      <c r="Q149">
        <f t="shared" si="117"/>
        <v>11.106876390208035</v>
      </c>
      <c r="R149">
        <f t="shared" si="118"/>
        <v>1.4806399275863171</v>
      </c>
      <c r="S149">
        <f t="shared" si="119"/>
        <v>0.97596940274653676</v>
      </c>
      <c r="T149">
        <f t="shared" si="120"/>
        <v>-0.219670042315015</v>
      </c>
      <c r="U149">
        <f t="shared" si="121"/>
        <v>0.9156332468715821</v>
      </c>
      <c r="V149">
        <f t="shared" si="122"/>
        <v>-0.41371603730091294</v>
      </c>
      <c r="X149">
        <f t="shared" si="139"/>
        <v>-7.1820669162340298</v>
      </c>
      <c r="Y149">
        <f t="shared" si="123"/>
        <v>-118.80613828958909</v>
      </c>
      <c r="Z149">
        <f t="shared" si="140"/>
        <v>61.193861710410914</v>
      </c>
      <c r="AC149">
        <v>1</v>
      </c>
      <c r="AD149">
        <f t="shared" si="124"/>
        <v>24.440805418837503</v>
      </c>
      <c r="AE149">
        <f t="shared" si="125"/>
        <v>-1.3245076929522764E-3</v>
      </c>
      <c r="AF149">
        <f t="shared" si="126"/>
        <v>3.0167143421625004E-3</v>
      </c>
      <c r="AG149">
        <f t="shared" si="141"/>
        <v>6670.3989529271157</v>
      </c>
      <c r="AH149">
        <f t="shared" si="142"/>
        <v>-3260.167723127096</v>
      </c>
      <c r="AJ149">
        <f t="shared" si="127"/>
        <v>20000</v>
      </c>
      <c r="AK149">
        <f t="shared" si="128"/>
        <v>4465.4597927099994</v>
      </c>
      <c r="AL149">
        <v>1</v>
      </c>
      <c r="AM149">
        <f t="shared" si="129"/>
        <v>11.061767632135499</v>
      </c>
      <c r="AN149">
        <f t="shared" si="143"/>
        <v>562.53532734854571</v>
      </c>
      <c r="AO149">
        <f t="shared" si="144"/>
        <v>-1757.1752832868906</v>
      </c>
      <c r="AQ149">
        <f t="shared" si="130"/>
        <v>0.75608649629517621</v>
      </c>
      <c r="AR149">
        <f t="shared" si="131"/>
        <v>-86.949947073945253</v>
      </c>
      <c r="AT149">
        <f t="shared" si="104"/>
        <v>-278428.01240487595</v>
      </c>
      <c r="AU149">
        <f t="shared" si="105"/>
        <v>-582455.80471022637</v>
      </c>
      <c r="AV149">
        <f t="shared" si="145"/>
        <v>-2.0167093045276618</v>
      </c>
      <c r="AW149">
        <f t="shared" si="146"/>
        <v>-145646.83039599555</v>
      </c>
      <c r="AX149">
        <f t="shared" si="147"/>
        <v>-58816.529117771643</v>
      </c>
      <c r="AY149">
        <f t="shared" si="155"/>
        <v>-2.7577890985557985</v>
      </c>
      <c r="BA149">
        <f t="shared" si="132"/>
        <v>4.1100421904345712</v>
      </c>
      <c r="BB149">
        <f t="shared" si="148"/>
        <v>12.276925600435632</v>
      </c>
      <c r="BC149">
        <f t="shared" si="149"/>
        <v>0.74107979402813662</v>
      </c>
      <c r="BD149">
        <f t="shared" si="133"/>
        <v>-137.53925547124496</v>
      </c>
      <c r="BF149">
        <f t="shared" si="134"/>
        <v>-6.9984260424649145</v>
      </c>
      <c r="BG149">
        <f t="shared" si="135"/>
        <v>-122.54650316879558</v>
      </c>
      <c r="BH149">
        <f t="shared" si="150"/>
        <v>57.453496831204419</v>
      </c>
      <c r="BI149">
        <f t="shared" si="151"/>
        <v>57.453496831204419</v>
      </c>
      <c r="BJ149">
        <f t="shared" si="136"/>
        <v>0</v>
      </c>
      <c r="BK149">
        <f t="shared" si="152"/>
        <v>0</v>
      </c>
      <c r="BM149">
        <f t="shared" si="153"/>
        <v>-19.275351642900546</v>
      </c>
      <c r="BN149">
        <f t="shared" si="137"/>
        <v>-165.00724769755067</v>
      </c>
      <c r="BQ149" s="66">
        <f t="shared" si="154"/>
        <v>29.178886400720771</v>
      </c>
      <c r="BR149" s="71"/>
      <c r="BS149" s="71"/>
      <c r="BT149" s="71">
        <v>2454.7089999999998</v>
      </c>
      <c r="BU149" s="71">
        <v>7.6423899999999998</v>
      </c>
      <c r="BV149" s="71">
        <v>-251.97399999999999</v>
      </c>
      <c r="BW149" s="75"/>
      <c r="BY149" s="71"/>
      <c r="BZ149" s="71"/>
      <c r="CA149" s="71"/>
      <c r="CC149" s="71"/>
    </row>
    <row r="150" spans="1:81" x14ac:dyDescent="0.15">
      <c r="A150">
        <f t="shared" si="106"/>
        <v>58000</v>
      </c>
      <c r="B150">
        <f t="shared" si="138"/>
        <v>58</v>
      </c>
      <c r="C150">
        <f t="shared" si="107"/>
        <v>1.0285183667407434</v>
      </c>
      <c r="D150">
        <f t="shared" si="108"/>
        <v>0.23603691700020288</v>
      </c>
      <c r="F150">
        <f t="shared" si="109"/>
        <v>6.9272715583601147E-3</v>
      </c>
      <c r="G150">
        <f t="shared" si="110"/>
        <v>2.7355808199860828E-2</v>
      </c>
      <c r="H150">
        <f t="shared" si="111"/>
        <v>-3.1142368418001394</v>
      </c>
      <c r="J150">
        <f t="shared" si="112"/>
        <v>15</v>
      </c>
      <c r="M150">
        <f t="shared" si="113"/>
        <v>1.6431441593408667E-2</v>
      </c>
      <c r="N150">
        <f t="shared" si="114"/>
        <v>-1.5707963250000001</v>
      </c>
      <c r="O150">
        <f t="shared" si="115"/>
        <v>24.673607058636698</v>
      </c>
      <c r="P150">
        <f t="shared" si="116"/>
        <v>1.5302560860155767</v>
      </c>
      <c r="Q150">
        <f t="shared" si="117"/>
        <v>11.202678364432719</v>
      </c>
      <c r="R150">
        <f t="shared" si="118"/>
        <v>1.4814129870983974</v>
      </c>
      <c r="S150">
        <f t="shared" si="119"/>
        <v>0.97556492257371896</v>
      </c>
      <c r="T150">
        <f t="shared" si="120"/>
        <v>-0.22151859134268465</v>
      </c>
      <c r="U150">
        <f t="shared" si="121"/>
        <v>0.91434359272425247</v>
      </c>
      <c r="V150">
        <f t="shared" si="122"/>
        <v>-0.41691238617709458</v>
      </c>
      <c r="X150">
        <f t="shared" si="139"/>
        <v>-7.2707739083385006</v>
      </c>
      <c r="Y150">
        <f t="shared" si="123"/>
        <v>-118.93218166175475</v>
      </c>
      <c r="Z150">
        <f t="shared" si="140"/>
        <v>61.067818338245246</v>
      </c>
      <c r="AC150">
        <v>1</v>
      </c>
      <c r="AD150">
        <f t="shared" si="124"/>
        <v>24.653334161610005</v>
      </c>
      <c r="AE150">
        <f t="shared" si="125"/>
        <v>-1.3476427611618777E-3</v>
      </c>
      <c r="AF150">
        <f t="shared" si="126"/>
        <v>3.0429466407900004E-3</v>
      </c>
      <c r="AG150">
        <f t="shared" si="141"/>
        <v>6651.6218946254221</v>
      </c>
      <c r="AH150">
        <f t="shared" si="142"/>
        <v>-3274.4609986624605</v>
      </c>
      <c r="AJ150">
        <f t="shared" si="127"/>
        <v>20000</v>
      </c>
      <c r="AK150">
        <f t="shared" si="128"/>
        <v>4504.2898778640001</v>
      </c>
      <c r="AL150">
        <v>1</v>
      </c>
      <c r="AM150">
        <f t="shared" si="129"/>
        <v>11.1579569158932</v>
      </c>
      <c r="AN150">
        <f t="shared" si="143"/>
        <v>559.83004759881544</v>
      </c>
      <c r="AO150">
        <f t="shared" si="144"/>
        <v>-1742.2696734660217</v>
      </c>
      <c r="AQ150">
        <f t="shared" si="130"/>
        <v>0.74310767630229624</v>
      </c>
      <c r="AR150">
        <f t="shared" si="131"/>
        <v>-86.200490451066358</v>
      </c>
      <c r="AT150">
        <f t="shared" ref="AT150:AT213" si="156">-AR150*AH150+AG150*AQ150</f>
        <v>-277317.27275783609</v>
      </c>
      <c r="AU150">
        <f t="shared" ref="AU150:AU213" si="157">AQ150*AH150+AG150*AR150</f>
        <v>-575806.34671562118</v>
      </c>
      <c r="AV150">
        <f t="shared" si="145"/>
        <v>-2.0196284776391749</v>
      </c>
      <c r="AW150">
        <f t="shared" si="146"/>
        <v>-143077.10367969357</v>
      </c>
      <c r="AX150">
        <f t="shared" si="147"/>
        <v>-58092.340263247905</v>
      </c>
      <c r="AY150">
        <f t="shared" si="155"/>
        <v>-2.7559063705152491</v>
      </c>
      <c r="BA150">
        <f t="shared" si="132"/>
        <v>4.1387373118126645</v>
      </c>
      <c r="BB150">
        <f t="shared" si="148"/>
        <v>12.337357246784777</v>
      </c>
      <c r="BC150">
        <f t="shared" si="149"/>
        <v>0.73627789287607426</v>
      </c>
      <c r="BD150">
        <f t="shared" si="133"/>
        <v>-137.81438414121152</v>
      </c>
      <c r="BF150">
        <f t="shared" si="134"/>
        <v>-7.0853322840825026</v>
      </c>
      <c r="BG150">
        <f t="shared" si="135"/>
        <v>-122.72309261555446</v>
      </c>
      <c r="BH150">
        <f t="shared" si="150"/>
        <v>57.276907384445536</v>
      </c>
      <c r="BI150">
        <f t="shared" si="151"/>
        <v>57.276907384445536</v>
      </c>
      <c r="BJ150">
        <f t="shared" si="136"/>
        <v>0</v>
      </c>
      <c r="BK150">
        <f t="shared" si="152"/>
        <v>0</v>
      </c>
      <c r="BM150">
        <f t="shared" si="153"/>
        <v>-19.422689530867281</v>
      </c>
      <c r="BN150">
        <f t="shared" si="137"/>
        <v>-164.90870847434294</v>
      </c>
      <c r="BQ150" s="66">
        <f t="shared" si="154"/>
        <v>29.239318047069915</v>
      </c>
      <c r="BR150" s="71"/>
      <c r="BS150" s="71"/>
      <c r="BT150" s="71">
        <v>2511.886</v>
      </c>
      <c r="BU150" s="71">
        <v>7.45716</v>
      </c>
      <c r="BV150" s="71">
        <v>-252.25200000000001</v>
      </c>
      <c r="BW150" s="75"/>
      <c r="BY150" s="71"/>
      <c r="BZ150" s="71"/>
      <c r="CA150" s="71"/>
      <c r="CC150" s="71"/>
    </row>
    <row r="151" spans="1:81" x14ac:dyDescent="0.15">
      <c r="A151">
        <f t="shared" si="106"/>
        <v>58500</v>
      </c>
      <c r="B151">
        <f t="shared" si="138"/>
        <v>58.5</v>
      </c>
      <c r="C151">
        <f t="shared" si="107"/>
        <v>1.0290052207085856</v>
      </c>
      <c r="D151">
        <f t="shared" si="108"/>
        <v>0.23799605241747807</v>
      </c>
      <c r="F151">
        <f t="shared" si="109"/>
        <v>6.8085904630831679E-3</v>
      </c>
      <c r="G151">
        <f t="shared" si="110"/>
        <v>2.7118863650807418E-2</v>
      </c>
      <c r="H151">
        <f t="shared" si="111"/>
        <v>-3.1144737863491927</v>
      </c>
      <c r="J151">
        <f t="shared" si="112"/>
        <v>15</v>
      </c>
      <c r="M151">
        <f t="shared" si="113"/>
        <v>1.6291001921670132E-2</v>
      </c>
      <c r="N151">
        <f t="shared" si="114"/>
        <v>-1.5707963250000001</v>
      </c>
      <c r="O151">
        <f t="shared" si="115"/>
        <v>24.885962669335214</v>
      </c>
      <c r="P151">
        <f t="shared" si="116"/>
        <v>1.5306022091216878</v>
      </c>
      <c r="Q151">
        <f t="shared" si="117"/>
        <v>11.298486920075486</v>
      </c>
      <c r="R151">
        <f t="shared" si="118"/>
        <v>1.4821729363265488</v>
      </c>
      <c r="S151">
        <f t="shared" si="119"/>
        <v>0.97515744943066118</v>
      </c>
      <c r="T151">
        <f t="shared" si="120"/>
        <v>-0.22336560247662948</v>
      </c>
      <c r="U151">
        <f t="shared" si="121"/>
        <v>0.91304827746779216</v>
      </c>
      <c r="V151">
        <f t="shared" si="122"/>
        <v>-0.42009971125242995</v>
      </c>
      <c r="X151">
        <f t="shared" si="139"/>
        <v>-7.3588587793278144</v>
      </c>
      <c r="Y151">
        <f t="shared" si="123"/>
        <v>-119.05858033448629</v>
      </c>
      <c r="Z151">
        <f t="shared" si="140"/>
        <v>60.941419665513706</v>
      </c>
      <c r="AC151">
        <v>1</v>
      </c>
      <c r="AD151">
        <f t="shared" si="124"/>
        <v>24.865862904382503</v>
      </c>
      <c r="AE151">
        <f t="shared" si="125"/>
        <v>-1.3709781329923408E-3</v>
      </c>
      <c r="AF151">
        <f t="shared" si="126"/>
        <v>3.0691789394175005E-3</v>
      </c>
      <c r="AG151">
        <f t="shared" si="141"/>
        <v>6632.7890522477592</v>
      </c>
      <c r="AH151">
        <f t="shared" si="142"/>
        <v>-3288.6348272995442</v>
      </c>
      <c r="AJ151">
        <f t="shared" si="127"/>
        <v>20000</v>
      </c>
      <c r="AK151">
        <f t="shared" si="128"/>
        <v>4543.1199630179999</v>
      </c>
      <c r="AL151">
        <v>1</v>
      </c>
      <c r="AM151">
        <f t="shared" si="129"/>
        <v>11.254146199650899</v>
      </c>
      <c r="AN151">
        <f t="shared" si="143"/>
        <v>557.19311259316487</v>
      </c>
      <c r="AO151">
        <f t="shared" si="144"/>
        <v>-1727.6127875440206</v>
      </c>
      <c r="AQ151">
        <f t="shared" si="130"/>
        <v>0.73046018991964934</v>
      </c>
      <c r="AR151">
        <f t="shared" si="131"/>
        <v>-85.463842220598977</v>
      </c>
      <c r="AT151">
        <f t="shared" si="156"/>
        <v>-276214.37965069315</v>
      </c>
      <c r="AU151">
        <f t="shared" si="157"/>
        <v>-569265.8538643443</v>
      </c>
      <c r="AV151">
        <f t="shared" si="145"/>
        <v>-2.0225433552879237</v>
      </c>
      <c r="AW151">
        <f t="shared" si="146"/>
        <v>-140572.69473231619</v>
      </c>
      <c r="AX151">
        <f t="shared" si="147"/>
        <v>-57387.029403886787</v>
      </c>
      <c r="AY151">
        <f t="shared" si="155"/>
        <v>-2.7540053138768195</v>
      </c>
      <c r="BA151">
        <f t="shared" si="132"/>
        <v>4.1672690971295046</v>
      </c>
      <c r="BB151">
        <f t="shared" si="148"/>
        <v>12.397030909673818</v>
      </c>
      <c r="BC151">
        <f t="shared" si="149"/>
        <v>0.73146195858889573</v>
      </c>
      <c r="BD151">
        <f t="shared" si="133"/>
        <v>-138.09031685059449</v>
      </c>
      <c r="BF151">
        <f t="shared" si="134"/>
        <v>-7.1716481028022914</v>
      </c>
      <c r="BG151">
        <f t="shared" si="135"/>
        <v>-122.90035105655959</v>
      </c>
      <c r="BH151">
        <f t="shared" si="150"/>
        <v>57.099648943440414</v>
      </c>
      <c r="BI151">
        <f t="shared" si="151"/>
        <v>57.099648943440414</v>
      </c>
      <c r="BJ151">
        <f t="shared" si="136"/>
        <v>0</v>
      </c>
      <c r="BK151">
        <f t="shared" si="152"/>
        <v>0</v>
      </c>
      <c r="BM151">
        <f t="shared" si="153"/>
        <v>-19.56867901247611</v>
      </c>
      <c r="BN151">
        <f t="shared" si="137"/>
        <v>-164.81003420596511</v>
      </c>
      <c r="BQ151" s="66">
        <f t="shared" si="154"/>
        <v>29.298991709958955</v>
      </c>
      <c r="BR151" s="71"/>
      <c r="BS151" s="71"/>
      <c r="BT151" s="71">
        <v>2570.3960000000002</v>
      </c>
      <c r="BU151" s="71">
        <v>7.31271</v>
      </c>
      <c r="BV151" s="71">
        <v>-251.702</v>
      </c>
      <c r="BW151" s="75"/>
      <c r="BY151" s="71"/>
      <c r="BZ151" s="71"/>
      <c r="CA151" s="71"/>
      <c r="CC151" s="71"/>
    </row>
    <row r="152" spans="1:81" x14ac:dyDescent="0.15">
      <c r="A152">
        <f t="shared" si="106"/>
        <v>59000</v>
      </c>
      <c r="B152">
        <f t="shared" si="138"/>
        <v>59</v>
      </c>
      <c r="C152">
        <f t="shared" si="107"/>
        <v>1.0294960204718315</v>
      </c>
      <c r="D152">
        <f t="shared" si="108"/>
        <v>0.23995332735306185</v>
      </c>
      <c r="F152">
        <f t="shared" si="109"/>
        <v>6.6929397732008742E-3</v>
      </c>
      <c r="G152">
        <f t="shared" si="110"/>
        <v>2.6886014449522704E-2</v>
      </c>
      <c r="H152">
        <f t="shared" si="111"/>
        <v>-3.1147066355504776</v>
      </c>
      <c r="J152">
        <f t="shared" si="112"/>
        <v>15</v>
      </c>
      <c r="M152">
        <f t="shared" si="113"/>
        <v>1.6152942583350895E-2</v>
      </c>
      <c r="N152">
        <f t="shared" si="114"/>
        <v>-1.5707963250000001</v>
      </c>
      <c r="O152">
        <f t="shared" si="115"/>
        <v>25.098321210951415</v>
      </c>
      <c r="P152">
        <f t="shared" si="116"/>
        <v>1.5309424751273937</v>
      </c>
      <c r="Q152">
        <f t="shared" si="117"/>
        <v>11.394301891117523</v>
      </c>
      <c r="R152">
        <f t="shared" si="118"/>
        <v>1.4829201051158527</v>
      </c>
      <c r="S152">
        <f t="shared" si="119"/>
        <v>0.97474699540124199</v>
      </c>
      <c r="T152">
        <f t="shared" si="120"/>
        <v>-0.22521106504904334</v>
      </c>
      <c r="U152">
        <f t="shared" si="121"/>
        <v>0.91174740391337872</v>
      </c>
      <c r="V152">
        <f t="shared" si="122"/>
        <v>-0.4232779862008047</v>
      </c>
      <c r="X152">
        <f t="shared" si="139"/>
        <v>-7.4463333366065845</v>
      </c>
      <c r="Y152">
        <f t="shared" si="123"/>
        <v>-119.18531155104502</v>
      </c>
      <c r="Z152">
        <f t="shared" si="140"/>
        <v>60.814688448954982</v>
      </c>
      <c r="AC152">
        <v>1</v>
      </c>
      <c r="AD152">
        <f t="shared" si="124"/>
        <v>25.078391647155001</v>
      </c>
      <c r="AE152">
        <f t="shared" si="125"/>
        <v>-1.3945138084436668E-3</v>
      </c>
      <c r="AF152">
        <f t="shared" si="126"/>
        <v>3.0954112380450001E-3</v>
      </c>
      <c r="AG152">
        <f t="shared" si="141"/>
        <v>6613.9022674536864</v>
      </c>
      <c r="AH152">
        <f t="shared" si="142"/>
        <v>-3302.6881578803723</v>
      </c>
      <c r="AJ152">
        <f t="shared" si="127"/>
        <v>20000</v>
      </c>
      <c r="AK152">
        <f t="shared" si="128"/>
        <v>4581.9500481720006</v>
      </c>
      <c r="AL152">
        <v>1</v>
      </c>
      <c r="AM152">
        <f t="shared" si="129"/>
        <v>11.3503354834086</v>
      </c>
      <c r="AN152">
        <f t="shared" si="143"/>
        <v>554.62224530884646</v>
      </c>
      <c r="AO152">
        <f t="shared" si="144"/>
        <v>-1713.1985026447471</v>
      </c>
      <c r="AQ152">
        <f t="shared" si="130"/>
        <v>0.71813285457809695</v>
      </c>
      <c r="AR152">
        <f t="shared" si="131"/>
        <v>-84.739676840215438</v>
      </c>
      <c r="AT152">
        <f t="shared" si="156"/>
        <v>-275119.0666875621</v>
      </c>
      <c r="AU152">
        <f t="shared" si="157"/>
        <v>-562831.7096713935</v>
      </c>
      <c r="AV152">
        <f t="shared" si="145"/>
        <v>-2.0254537912602335</v>
      </c>
      <c r="AW152">
        <f t="shared" si="146"/>
        <v>-138131.43056700879</v>
      </c>
      <c r="AX152">
        <f t="shared" si="147"/>
        <v>-56699.901970570863</v>
      </c>
      <c r="AY152">
        <f t="shared" si="155"/>
        <v>-2.7520863502029496</v>
      </c>
      <c r="BA152">
        <f t="shared" si="132"/>
        <v>4.1956364318528392</v>
      </c>
      <c r="BB152">
        <f t="shared" si="148"/>
        <v>12.455956957060316</v>
      </c>
      <c r="BC152">
        <f t="shared" si="149"/>
        <v>0.72663255894271606</v>
      </c>
      <c r="BD152">
        <f t="shared" si="133"/>
        <v>-138.36702106821872</v>
      </c>
      <c r="BF152">
        <f t="shared" si="134"/>
        <v>-7.2573860781320496</v>
      </c>
      <c r="BG152">
        <f t="shared" si="135"/>
        <v>-123.07825295741186</v>
      </c>
      <c r="BH152">
        <f t="shared" si="150"/>
        <v>56.921747042588137</v>
      </c>
      <c r="BI152">
        <f t="shared" si="151"/>
        <v>56.921747042588137</v>
      </c>
      <c r="BJ152">
        <f t="shared" si="136"/>
        <v>0</v>
      </c>
      <c r="BK152">
        <f t="shared" si="152"/>
        <v>0</v>
      </c>
      <c r="BM152">
        <f t="shared" si="153"/>
        <v>-19.713343035192366</v>
      </c>
      <c r="BN152">
        <f t="shared" si="137"/>
        <v>-164.71123188919313</v>
      </c>
      <c r="BQ152" s="66">
        <f t="shared" si="154"/>
        <v>29.357917757345454</v>
      </c>
      <c r="BR152" s="71"/>
      <c r="BS152" s="71"/>
      <c r="BT152" s="71">
        <v>2630.268</v>
      </c>
      <c r="BU152" s="71">
        <v>7.13504</v>
      </c>
      <c r="BV152" s="71">
        <v>-251.40100000000001</v>
      </c>
      <c r="BW152" s="75"/>
      <c r="BY152" s="71"/>
      <c r="BZ152" s="71"/>
      <c r="CA152" s="71"/>
      <c r="CC152" s="71"/>
    </row>
    <row r="153" spans="1:81" x14ac:dyDescent="0.15">
      <c r="A153">
        <f t="shared" si="106"/>
        <v>59500</v>
      </c>
      <c r="B153">
        <f t="shared" si="138"/>
        <v>59.5</v>
      </c>
      <c r="C153">
        <f t="shared" si="107"/>
        <v>1.0299907603898617</v>
      </c>
      <c r="D153">
        <f t="shared" si="108"/>
        <v>0.24190872948099526</v>
      </c>
      <c r="F153">
        <f t="shared" si="109"/>
        <v>6.5802169781201195E-3</v>
      </c>
      <c r="G153">
        <f t="shared" si="110"/>
        <v>2.6657154691204613E-2</v>
      </c>
      <c r="H153">
        <f t="shared" si="111"/>
        <v>-3.1149354953087958</v>
      </c>
      <c r="J153">
        <f t="shared" si="112"/>
        <v>15</v>
      </c>
      <c r="M153">
        <f t="shared" si="113"/>
        <v>1.6017203570045425E-2</v>
      </c>
      <c r="N153">
        <f t="shared" si="114"/>
        <v>-1.5707963250000001</v>
      </c>
      <c r="O153">
        <f t="shared" si="115"/>
        <v>25.310682609713446</v>
      </c>
      <c r="P153">
        <f t="shared" si="116"/>
        <v>1.5312770313794228</v>
      </c>
      <c r="Q153">
        <f t="shared" si="117"/>
        <v>11.490123117066743</v>
      </c>
      <c r="R153">
        <f t="shared" si="118"/>
        <v>1.4836548123666842</v>
      </c>
      <c r="S153">
        <f t="shared" si="119"/>
        <v>0.97433357262994069</v>
      </c>
      <c r="T153">
        <f t="shared" si="120"/>
        <v>-0.22705496845219197</v>
      </c>
      <c r="U153">
        <f t="shared" si="121"/>
        <v>0.91044107445895295</v>
      </c>
      <c r="V153">
        <f t="shared" si="122"/>
        <v>-0.42644718557673156</v>
      </c>
      <c r="X153">
        <f t="shared" si="139"/>
        <v>-7.5332090474909341</v>
      </c>
      <c r="Y153">
        <f t="shared" si="123"/>
        <v>-119.31235330586576</v>
      </c>
      <c r="Z153">
        <f t="shared" si="140"/>
        <v>60.687646694134244</v>
      </c>
      <c r="AC153">
        <v>1</v>
      </c>
      <c r="AD153">
        <f t="shared" si="124"/>
        <v>25.2909203899275</v>
      </c>
      <c r="AE153">
        <f t="shared" si="125"/>
        <v>-1.4182497875158549E-3</v>
      </c>
      <c r="AF153">
        <f t="shared" si="126"/>
        <v>3.1216435366725002E-3</v>
      </c>
      <c r="AG153">
        <f t="shared" si="141"/>
        <v>6594.9633688963859</v>
      </c>
      <c r="AH153">
        <f t="shared" si="142"/>
        <v>-3316.6200032077331</v>
      </c>
      <c r="AJ153">
        <f t="shared" si="127"/>
        <v>20000</v>
      </c>
      <c r="AK153">
        <f t="shared" si="128"/>
        <v>4620.7801333260004</v>
      </c>
      <c r="AL153">
        <v>1</v>
      </c>
      <c r="AM153">
        <f t="shared" si="129"/>
        <v>11.4465247671663</v>
      </c>
      <c r="AN153">
        <f t="shared" si="143"/>
        <v>552.11526252597946</v>
      </c>
      <c r="AO153">
        <f t="shared" si="144"/>
        <v>-1699.0208935081469</v>
      </c>
      <c r="AQ153">
        <f t="shared" si="130"/>
        <v>0.70611495551475778</v>
      </c>
      <c r="AR153">
        <f t="shared" si="131"/>
        <v>-84.02767970625618</v>
      </c>
      <c r="AT153">
        <f t="shared" si="156"/>
        <v>-274031.081071052</v>
      </c>
      <c r="AU153">
        <f t="shared" si="157"/>
        <v>-556501.38462214207</v>
      </c>
      <c r="AV153">
        <f t="shared" si="145"/>
        <v>-2.0283596442394547</v>
      </c>
      <c r="AW153">
        <f t="shared" si="146"/>
        <v>-135751.22750022609</v>
      </c>
      <c r="AX153">
        <f t="shared" si="147"/>
        <v>-56030.295383177094</v>
      </c>
      <c r="AY153">
        <f t="shared" si="155"/>
        <v>-2.7501498903556216</v>
      </c>
      <c r="BA153">
        <f t="shared" si="132"/>
        <v>4.2238382200433362</v>
      </c>
      <c r="BB153">
        <f t="shared" si="148"/>
        <v>12.514145513015194</v>
      </c>
      <c r="BC153">
        <f t="shared" si="149"/>
        <v>0.72179024611616693</v>
      </c>
      <c r="BD153">
        <f t="shared" si="133"/>
        <v>-138.64446515657909</v>
      </c>
      <c r="BF153">
        <f t="shared" si="134"/>
        <v>-7.3425584406229314</v>
      </c>
      <c r="BG153">
        <f t="shared" si="135"/>
        <v>-123.25677345472972</v>
      </c>
      <c r="BH153">
        <f t="shared" si="150"/>
        <v>56.743226545270275</v>
      </c>
      <c r="BI153">
        <f t="shared" si="151"/>
        <v>56.743226545270275</v>
      </c>
      <c r="BJ153">
        <f t="shared" si="136"/>
        <v>0</v>
      </c>
      <c r="BK153">
        <f t="shared" si="152"/>
        <v>0</v>
      </c>
      <c r="BM153">
        <f t="shared" si="153"/>
        <v>-19.856703953638124</v>
      </c>
      <c r="BN153">
        <f t="shared" si="137"/>
        <v>-164.61230829815062</v>
      </c>
      <c r="BQ153" s="66">
        <f t="shared" si="154"/>
        <v>29.416106313300329</v>
      </c>
      <c r="BR153" s="71"/>
      <c r="BS153" s="71"/>
      <c r="BT153" s="71">
        <v>2691.5349999999999</v>
      </c>
      <c r="BU153" s="71">
        <v>6.8809300000000002</v>
      </c>
      <c r="BV153" s="71">
        <v>-251.244</v>
      </c>
      <c r="BW153" s="75"/>
      <c r="BY153" s="71"/>
      <c r="BZ153" s="71"/>
      <c r="CA153" s="71"/>
      <c r="CC153" s="71"/>
    </row>
    <row r="154" spans="1:81" x14ac:dyDescent="0.15">
      <c r="A154">
        <f t="shared" si="106"/>
        <v>60000</v>
      </c>
      <c r="B154">
        <f t="shared" si="138"/>
        <v>60</v>
      </c>
      <c r="C154">
        <f t="shared" si="107"/>
        <v>1.0304894347876488</v>
      </c>
      <c r="D154">
        <f t="shared" si="108"/>
        <v>0.24386224655618216</v>
      </c>
      <c r="F154">
        <f t="shared" si="109"/>
        <v>6.4703238740662439E-3</v>
      </c>
      <c r="G154">
        <f t="shared" si="110"/>
        <v>2.6432182112041219E-2</v>
      </c>
      <c r="H154">
        <f t="shared" si="111"/>
        <v>-3.115160467887959</v>
      </c>
      <c r="J154">
        <f t="shared" si="112"/>
        <v>15</v>
      </c>
      <c r="M154">
        <f t="shared" si="113"/>
        <v>1.5883726873628379E-2</v>
      </c>
      <c r="N154">
        <f t="shared" si="114"/>
        <v>-1.5707963250000001</v>
      </c>
      <c r="O154">
        <f t="shared" si="115"/>
        <v>25.523046794303703</v>
      </c>
      <c r="P154">
        <f t="shared" si="116"/>
        <v>1.5316060203257293</v>
      </c>
      <c r="Q154">
        <f t="shared" si="117"/>
        <v>11.585950442730125</v>
      </c>
      <c r="R154">
        <f t="shared" si="118"/>
        <v>1.4843773664837796</v>
      </c>
      <c r="S154">
        <f t="shared" si="119"/>
        <v>0.9739171933209122</v>
      </c>
      <c r="T154">
        <f t="shared" si="120"/>
        <v>-0.22889730213866652</v>
      </c>
      <c r="U154">
        <f t="shared" si="121"/>
        <v>0.90912939107473467</v>
      </c>
      <c r="V154">
        <f t="shared" si="122"/>
        <v>-0.42960728480904714</v>
      </c>
      <c r="X154">
        <f t="shared" si="139"/>
        <v>-7.6194970517406766</v>
      </c>
      <c r="Y154">
        <f t="shared" si="123"/>
        <v>-119.43968431572333</v>
      </c>
      <c r="Z154">
        <f t="shared" si="140"/>
        <v>60.560315684276674</v>
      </c>
      <c r="AC154">
        <v>1</v>
      </c>
      <c r="AD154">
        <f t="shared" si="124"/>
        <v>25.503449132700002</v>
      </c>
      <c r="AE154">
        <f t="shared" si="125"/>
        <v>-1.4421860702089056E-3</v>
      </c>
      <c r="AF154">
        <f t="shared" si="126"/>
        <v>3.1478758353000002E-3</v>
      </c>
      <c r="AG154">
        <f t="shared" si="141"/>
        <v>6575.9741719661679</v>
      </c>
      <c r="AH154">
        <f t="shared" si="142"/>
        <v>-3330.4294379400194</v>
      </c>
      <c r="AJ154">
        <f t="shared" si="127"/>
        <v>20000</v>
      </c>
      <c r="AK154">
        <f t="shared" si="128"/>
        <v>4659.6102184800002</v>
      </c>
      <c r="AL154">
        <v>1</v>
      </c>
      <c r="AM154">
        <f t="shared" si="129"/>
        <v>11.542714050923999</v>
      </c>
      <c r="AN154">
        <f t="shared" si="143"/>
        <v>549.6700702401771</v>
      </c>
      <c r="AO154">
        <f t="shared" si="144"/>
        <v>-1685.0742246536738</v>
      </c>
      <c r="AQ154">
        <f t="shared" si="130"/>
        <v>0.69439622248454969</v>
      </c>
      <c r="AR154">
        <f t="shared" si="131"/>
        <v>-83.327546698145966</v>
      </c>
      <c r="AT154">
        <f t="shared" si="156"/>
        <v>-272950.18289065774</v>
      </c>
      <c r="AU154">
        <f t="shared" si="157"/>
        <v>-550272.43252126942</v>
      </c>
      <c r="AV154">
        <f t="shared" si="145"/>
        <v>-2.031260777632975</v>
      </c>
      <c r="AW154">
        <f t="shared" si="146"/>
        <v>-133430.0867942755</v>
      </c>
      <c r="AX154">
        <f t="shared" si="147"/>
        <v>-55377.577300401681</v>
      </c>
      <c r="AY154">
        <f t="shared" si="155"/>
        <v>-2.7481963349672198</v>
      </c>
      <c r="BA154">
        <f t="shared" si="132"/>
        <v>4.2518733844844689</v>
      </c>
      <c r="BB154">
        <f t="shared" si="148"/>
        <v>12.571606465856537</v>
      </c>
      <c r="BC154">
        <f t="shared" si="149"/>
        <v>0.71693555733424486</v>
      </c>
      <c r="BD154">
        <f t="shared" si="133"/>
        <v>-138.92261833495058</v>
      </c>
      <c r="BF154">
        <f t="shared" si="134"/>
        <v>-7.4271770842060105</v>
      </c>
      <c r="BG154">
        <f t="shared" si="135"/>
        <v>-123.4358883286653</v>
      </c>
      <c r="BH154">
        <f t="shared" si="150"/>
        <v>56.5641116713347</v>
      </c>
      <c r="BI154">
        <f t="shared" si="151"/>
        <v>56.5641116713347</v>
      </c>
      <c r="BJ154">
        <f t="shared" si="136"/>
        <v>0</v>
      </c>
      <c r="BK154">
        <f t="shared" si="152"/>
        <v>0</v>
      </c>
      <c r="BM154">
        <f t="shared" si="153"/>
        <v>-19.998783550062548</v>
      </c>
      <c r="BN154">
        <f t="shared" si="137"/>
        <v>-164.51326999371474</v>
      </c>
      <c r="BQ154" s="66">
        <f t="shared" si="154"/>
        <v>29.473567266141675</v>
      </c>
      <c r="BR154" s="71"/>
      <c r="BS154" s="71"/>
      <c r="BT154" s="71">
        <v>2754.2289999999998</v>
      </c>
      <c r="BU154" s="71">
        <v>6.7009400000000001</v>
      </c>
      <c r="BV154" s="71">
        <v>-251.05099999999999</v>
      </c>
      <c r="BW154" s="75"/>
      <c r="BY154" s="71"/>
      <c r="BZ154" s="71"/>
      <c r="CA154" s="71"/>
      <c r="CC154" s="71"/>
    </row>
    <row r="155" spans="1:81" x14ac:dyDescent="0.15">
      <c r="A155">
        <f t="shared" si="106"/>
        <v>60500</v>
      </c>
      <c r="B155">
        <f t="shared" si="138"/>
        <v>60.5</v>
      </c>
      <c r="C155">
        <f t="shared" si="107"/>
        <v>1.0309920379560573</v>
      </c>
      <c r="D155">
        <f t="shared" si="108"/>
        <v>0.24581386641467373</v>
      </c>
      <c r="F155">
        <f t="shared" si="109"/>
        <v>6.3631663483415986E-3</v>
      </c>
      <c r="G155">
        <f t="shared" si="110"/>
        <v>2.6210997933252076E-2</v>
      </c>
      <c r="H155">
        <f t="shared" si="111"/>
        <v>-3.1153816520667483</v>
      </c>
      <c r="J155">
        <f t="shared" si="112"/>
        <v>15</v>
      </c>
      <c r="M155">
        <f t="shared" si="113"/>
        <v>1.5752456403598392E-2</v>
      </c>
      <c r="N155">
        <f t="shared" si="114"/>
        <v>-1.5707963250000001</v>
      </c>
      <c r="O155">
        <f t="shared" si="115"/>
        <v>25.735413695757664</v>
      </c>
      <c r="P155">
        <f t="shared" si="116"/>
        <v>1.5319295797172974</v>
      </c>
      <c r="Q155">
        <f t="shared" si="117"/>
        <v>11.681783717997215</v>
      </c>
      <c r="R155">
        <f t="shared" si="118"/>
        <v>1.4850880658034278</v>
      </c>
      <c r="S155">
        <f t="shared" si="119"/>
        <v>0.97349786973706265</v>
      </c>
      <c r="T155">
        <f t="shared" si="120"/>
        <v>-0.2307380556216313</v>
      </c>
      <c r="U155">
        <f t="shared" si="121"/>
        <v>0.90781245528909282</v>
      </c>
      <c r="V155">
        <f t="shared" si="122"/>
        <v>-0.43275826019448765</v>
      </c>
      <c r="X155">
        <f t="shared" si="139"/>
        <v>-7.7052081735230598</v>
      </c>
      <c r="Y155">
        <f t="shared" si="123"/>
        <v>-119.56728399225925</v>
      </c>
      <c r="Z155">
        <f t="shared" si="140"/>
        <v>60.432716007740751</v>
      </c>
      <c r="AC155">
        <v>1</v>
      </c>
      <c r="AD155">
        <f t="shared" si="124"/>
        <v>25.715977875472504</v>
      </c>
      <c r="AE155">
        <f t="shared" si="125"/>
        <v>-1.4663226565228187E-3</v>
      </c>
      <c r="AF155">
        <f t="shared" si="126"/>
        <v>3.1741081339275007E-3</v>
      </c>
      <c r="AG155">
        <f t="shared" si="141"/>
        <v>6556.9364785431135</v>
      </c>
      <c r="AH155">
        <f t="shared" si="142"/>
        <v>-3344.1155965706489</v>
      </c>
      <c r="AJ155">
        <f t="shared" si="127"/>
        <v>20000</v>
      </c>
      <c r="AK155">
        <f t="shared" si="128"/>
        <v>4698.440303634</v>
      </c>
      <c r="AL155">
        <v>1</v>
      </c>
      <c r="AM155">
        <f t="shared" si="129"/>
        <v>11.6389033346817</v>
      </c>
      <c r="AN155">
        <f t="shared" si="143"/>
        <v>547.28465933412213</v>
      </c>
      <c r="AO155">
        <f t="shared" si="144"/>
        <v>-1671.3529429100518</v>
      </c>
      <c r="AQ155">
        <f t="shared" si="130"/>
        <v>0.68296680781314023</v>
      </c>
      <c r="AR155">
        <f t="shared" si="131"/>
        <v>-82.638983745389979</v>
      </c>
      <c r="AT155">
        <f t="shared" si="156"/>
        <v>-271876.14445192285</v>
      </c>
      <c r="AU155">
        <f t="shared" si="157"/>
        <v>-544142.48702382692</v>
      </c>
      <c r="AV155">
        <f t="shared" si="145"/>
        <v>-2.0341570594073319</v>
      </c>
      <c r="AW155">
        <f t="shared" si="146"/>
        <v>-131166.09054524222</v>
      </c>
      <c r="AX155">
        <f t="shared" si="147"/>
        <v>-54741.143979737113</v>
      </c>
      <c r="AY155">
        <f t="shared" si="155"/>
        <v>-2.7462260748868874</v>
      </c>
      <c r="BA155">
        <f t="shared" si="132"/>
        <v>4.2797408668146391</v>
      </c>
      <c r="BB155">
        <f t="shared" si="148"/>
        <v>12.628349475966729</v>
      </c>
      <c r="BC155">
        <f t="shared" si="149"/>
        <v>0.71206901547955548</v>
      </c>
      <c r="BD155">
        <f t="shared" si="133"/>
        <v>-139.20145064436664</v>
      </c>
      <c r="BF155">
        <f t="shared" si="134"/>
        <v>-7.511253577965153</v>
      </c>
      <c r="BG155">
        <f t="shared" si="135"/>
        <v>-123.6155739768023</v>
      </c>
      <c r="BH155">
        <f t="shared" si="150"/>
        <v>56.384426023197705</v>
      </c>
      <c r="BI155">
        <f t="shared" si="151"/>
        <v>56.384426023197705</v>
      </c>
      <c r="BJ155">
        <f t="shared" si="136"/>
        <v>0</v>
      </c>
      <c r="BK155">
        <f t="shared" si="152"/>
        <v>0</v>
      </c>
      <c r="BM155">
        <f t="shared" si="153"/>
        <v>-20.139603053931886</v>
      </c>
      <c r="BN155">
        <f t="shared" si="137"/>
        <v>-164.41412333243565</v>
      </c>
      <c r="BQ155" s="66">
        <f t="shared" si="154"/>
        <v>29.530310276251868</v>
      </c>
      <c r="BR155" s="71"/>
      <c r="BS155" s="71"/>
      <c r="BT155" s="71">
        <v>2818.3829999999998</v>
      </c>
      <c r="BU155" s="71">
        <v>6.5356199999999998</v>
      </c>
      <c r="BV155" s="71">
        <v>-250.48</v>
      </c>
      <c r="BW155" s="75"/>
      <c r="BY155" s="71"/>
      <c r="BZ155" s="71"/>
      <c r="CA155" s="71"/>
      <c r="CC155" s="71"/>
    </row>
    <row r="156" spans="1:81" x14ac:dyDescent="0.15">
      <c r="A156">
        <f t="shared" si="106"/>
        <v>61000</v>
      </c>
      <c r="B156">
        <f t="shared" si="138"/>
        <v>61</v>
      </c>
      <c r="C156">
        <f t="shared" si="107"/>
        <v>1.0314985641521446</v>
      </c>
      <c r="D156">
        <f t="shared" si="108"/>
        <v>0.24776357697394499</v>
      </c>
      <c r="F156">
        <f t="shared" si="109"/>
        <v>6.2586541761115383E-3</v>
      </c>
      <c r="G156">
        <f t="shared" si="110"/>
        <v>2.5993506713116607E-2</v>
      </c>
      <c r="H156">
        <f t="shared" si="111"/>
        <v>-3.1155991432868837</v>
      </c>
      <c r="J156">
        <f t="shared" si="112"/>
        <v>15</v>
      </c>
      <c r="M156">
        <f t="shared" si="113"/>
        <v>1.5623337908486929E-2</v>
      </c>
      <c r="N156">
        <f t="shared" si="114"/>
        <v>-1.5707963250000001</v>
      </c>
      <c r="O156">
        <f t="shared" si="115"/>
        <v>25.947783247367681</v>
      </c>
      <c r="P156">
        <f t="shared" si="116"/>
        <v>1.5322478428000554</v>
      </c>
      <c r="Q156">
        <f t="shared" si="117"/>
        <v>11.77762279763412</v>
      </c>
      <c r="R156">
        <f t="shared" si="118"/>
        <v>1.4857871990000184</v>
      </c>
      <c r="S156">
        <f t="shared" si="119"/>
        <v>0.9730756141991237</v>
      </c>
      <c r="T156">
        <f t="shared" si="120"/>
        <v>-0.23257721847506652</v>
      </c>
      <c r="U156">
        <f t="shared" si="121"/>
        <v>0.90649036817477102</v>
      </c>
      <c r="V156">
        <f t="shared" si="122"/>
        <v>-0.4359000888911489</v>
      </c>
      <c r="X156">
        <f t="shared" si="139"/>
        <v>-7.7903529328389665</v>
      </c>
      <c r="Y156">
        <f t="shared" si="123"/>
        <v>-119.69513241579376</v>
      </c>
      <c r="Z156">
        <f t="shared" si="140"/>
        <v>60.304867584206235</v>
      </c>
      <c r="AC156">
        <v>1</v>
      </c>
      <c r="AD156">
        <f t="shared" si="124"/>
        <v>25.928506618245006</v>
      </c>
      <c r="AE156">
        <f t="shared" si="125"/>
        <v>-1.4906595464575939E-3</v>
      </c>
      <c r="AF156">
        <f t="shared" si="126"/>
        <v>3.2003404325550004E-3</v>
      </c>
      <c r="AG156">
        <f t="shared" si="141"/>
        <v>6537.8520767588034</v>
      </c>
      <c r="AH156">
        <f t="shared" si="142"/>
        <v>-3357.6776714873567</v>
      </c>
      <c r="AJ156">
        <f t="shared" si="127"/>
        <v>20000</v>
      </c>
      <c r="AK156">
        <f t="shared" si="128"/>
        <v>4737.2703887879998</v>
      </c>
      <c r="AL156">
        <v>1</v>
      </c>
      <c r="AM156">
        <f t="shared" si="129"/>
        <v>11.735092618439399</v>
      </c>
      <c r="AN156">
        <f t="shared" si="143"/>
        <v>544.95710149156321</v>
      </c>
      <c r="AO156">
        <f t="shared" si="144"/>
        <v>-1657.851670291775</v>
      </c>
      <c r="AQ156">
        <f t="shared" si="130"/>
        <v>0.67181726570372857</v>
      </c>
      <c r="AR156">
        <f t="shared" si="131"/>
        <v>-81.961706415854891</v>
      </c>
      <c r="AT156">
        <f t="shared" si="156"/>
        <v>-270808.74964373448</v>
      </c>
      <c r="AU156">
        <f t="shared" si="157"/>
        <v>-538109.25833796535</v>
      </c>
      <c r="AV156">
        <f t="shared" si="145"/>
        <v>-2.0370483619309736</v>
      </c>
      <c r="AW156">
        <f t="shared" si="146"/>
        <v>-128957.39780067834</v>
      </c>
      <c r="AX156">
        <f t="shared" si="147"/>
        <v>-54120.418739801258</v>
      </c>
      <c r="AY156">
        <f t="shared" si="155"/>
        <v>-2.7442394916037505</v>
      </c>
      <c r="BA156">
        <f t="shared" si="132"/>
        <v>4.3074396276609592</v>
      </c>
      <c r="BB156">
        <f t="shared" si="148"/>
        <v>12.684383983306963</v>
      </c>
      <c r="BC156">
        <f t="shared" si="149"/>
        <v>0.70719112967277686</v>
      </c>
      <c r="BD156">
        <f t="shared" si="133"/>
        <v>-139.48093291436118</v>
      </c>
      <c r="BF156">
        <f t="shared" si="134"/>
        <v>-7.5947991773774026</v>
      </c>
      <c r="BG156">
        <f t="shared" si="135"/>
        <v>-123.79580738936001</v>
      </c>
      <c r="BH156">
        <f t="shared" si="150"/>
        <v>56.204192610639993</v>
      </c>
      <c r="BI156">
        <f t="shared" si="151"/>
        <v>56.204192610639993</v>
      </c>
      <c r="BJ156">
        <f t="shared" si="136"/>
        <v>0</v>
      </c>
      <c r="BK156">
        <f t="shared" si="152"/>
        <v>0</v>
      </c>
      <c r="BM156">
        <f t="shared" si="153"/>
        <v>-20.279183160684369</v>
      </c>
      <c r="BN156">
        <f t="shared" si="137"/>
        <v>-164.31487447499882</v>
      </c>
      <c r="BQ156" s="66">
        <f t="shared" si="154"/>
        <v>29.5863447835921</v>
      </c>
      <c r="BR156" s="71"/>
      <c r="BS156" s="71"/>
      <c r="BT156" s="71">
        <v>2884.0320000000002</v>
      </c>
      <c r="BU156" s="71">
        <v>6.3265200000000004</v>
      </c>
      <c r="BV156" s="71">
        <v>-250.202</v>
      </c>
      <c r="BW156" s="75"/>
      <c r="BY156" s="71"/>
      <c r="BZ156" s="71"/>
      <c r="CA156" s="71"/>
      <c r="CC156" s="71"/>
    </row>
    <row r="157" spans="1:81" x14ac:dyDescent="0.15">
      <c r="A157">
        <f t="shared" si="106"/>
        <v>61500</v>
      </c>
      <c r="B157">
        <f t="shared" si="138"/>
        <v>61.5</v>
      </c>
      <c r="C157">
        <f t="shared" si="107"/>
        <v>1.0320090075994597</v>
      </c>
      <c r="D157">
        <f t="shared" si="108"/>
        <v>0.24971136623316328</v>
      </c>
      <c r="F157">
        <f t="shared" si="109"/>
        <v>6.1567008288918521E-3</v>
      </c>
      <c r="G157">
        <f t="shared" si="110"/>
        <v>2.57796162065142E-2</v>
      </c>
      <c r="H157">
        <f t="shared" si="111"/>
        <v>-3.115813033793486</v>
      </c>
      <c r="J157">
        <f t="shared" si="112"/>
        <v>15</v>
      </c>
      <c r="M157">
        <f t="shared" si="113"/>
        <v>1.5496318901100859E-2</v>
      </c>
      <c r="N157">
        <f t="shared" si="114"/>
        <v>-1.5707963250000001</v>
      </c>
      <c r="O157">
        <f t="shared" si="115"/>
        <v>26.16015538459142</v>
      </c>
      <c r="P157">
        <f t="shared" si="116"/>
        <v>1.5325609384974626</v>
      </c>
      <c r="Q157">
        <f t="shared" si="117"/>
        <v>11.873467541087425</v>
      </c>
      <c r="R157">
        <f t="shared" si="118"/>
        <v>1.4864750454730957</v>
      </c>
      <c r="S157">
        <f t="shared" si="119"/>
        <v>0.97265043908472426</v>
      </c>
      <c r="T157">
        <f t="shared" si="120"/>
        <v>-0.2344147803340054</v>
      </c>
      <c r="U157">
        <f t="shared" si="121"/>
        <v>0.9051632303354652</v>
      </c>
      <c r="V157">
        <f t="shared" si="122"/>
        <v>-0.43903274891183286</v>
      </c>
      <c r="X157">
        <f t="shared" si="139"/>
        <v>-7.8749415564405156</v>
      </c>
      <c r="Y157">
        <f t="shared" si="123"/>
        <v>-119.82321031035275</v>
      </c>
      <c r="Z157">
        <f t="shared" si="140"/>
        <v>60.176789689647251</v>
      </c>
      <c r="AC157">
        <v>1</v>
      </c>
      <c r="AD157">
        <f t="shared" si="124"/>
        <v>26.141035361017501</v>
      </c>
      <c r="AE157">
        <f t="shared" si="125"/>
        <v>-1.5151967400132316E-3</v>
      </c>
      <c r="AF157">
        <f t="shared" si="126"/>
        <v>3.2265727311825004E-3</v>
      </c>
      <c r="AG157">
        <f t="shared" si="141"/>
        <v>6518.7227407670671</v>
      </c>
      <c r="AH157">
        <f t="shared" si="142"/>
        <v>-3371.1149111069421</v>
      </c>
      <c r="AJ157">
        <f t="shared" si="127"/>
        <v>20000</v>
      </c>
      <c r="AK157">
        <f t="shared" si="128"/>
        <v>4776.1004739420005</v>
      </c>
      <c r="AL157">
        <v>1</v>
      </c>
      <c r="AM157">
        <f t="shared" si="129"/>
        <v>11.8312819021971</v>
      </c>
      <c r="AN157">
        <f t="shared" si="143"/>
        <v>542.68554533837619</v>
      </c>
      <c r="AO157">
        <f t="shared" si="144"/>
        <v>-1644.5651972038931</v>
      </c>
      <c r="AQ157">
        <f t="shared" si="130"/>
        <v>0.66093853271645742</v>
      </c>
      <c r="AR157">
        <f t="shared" si="131"/>
        <v>-81.295439524124262</v>
      </c>
      <c r="AT157">
        <f t="shared" si="156"/>
        <v>-269747.79334129993</v>
      </c>
      <c r="AU157">
        <f t="shared" si="157"/>
        <v>-532170.53008952818</v>
      </c>
      <c r="AV157">
        <f t="shared" si="145"/>
        <v>-2.0399345618242197</v>
      </c>
      <c r="AW157">
        <f t="shared" si="146"/>
        <v>-126802.24089253918</v>
      </c>
      <c r="AX157">
        <f t="shared" si="147"/>
        <v>-53514.8505178298</v>
      </c>
      <c r="AY157">
        <f t="shared" si="155"/>
        <v>-2.7422369576482994</v>
      </c>
      <c r="BA157">
        <f t="shared" si="132"/>
        <v>4.3349686467743318</v>
      </c>
      <c r="BB157">
        <f t="shared" si="148"/>
        <v>12.739719214643017</v>
      </c>
      <c r="BC157">
        <f t="shared" si="149"/>
        <v>0.70230239582407972</v>
      </c>
      <c r="BD157">
        <f t="shared" si="133"/>
        <v>-139.76103673137433</v>
      </c>
      <c r="BF157">
        <f t="shared" si="134"/>
        <v>-7.6778248350495462</v>
      </c>
      <c r="BG157">
        <f t="shared" si="135"/>
        <v>-123.97656612563175</v>
      </c>
      <c r="BH157">
        <f t="shared" si="150"/>
        <v>56.023433874368251</v>
      </c>
      <c r="BI157">
        <f t="shared" si="151"/>
        <v>56.023433874368251</v>
      </c>
      <c r="BJ157">
        <f t="shared" si="136"/>
        <v>0</v>
      </c>
      <c r="BK157">
        <f t="shared" si="152"/>
        <v>0</v>
      </c>
      <c r="BM157">
        <f t="shared" si="153"/>
        <v>-20.417544049692566</v>
      </c>
      <c r="BN157">
        <f t="shared" si="137"/>
        <v>-164.2155293942574</v>
      </c>
      <c r="BQ157" s="66">
        <f t="shared" si="154"/>
        <v>29.641680014928156</v>
      </c>
      <c r="BR157" s="71"/>
      <c r="BS157" s="71"/>
      <c r="BT157" s="71">
        <v>2951.2089999999998</v>
      </c>
      <c r="BU157" s="71">
        <v>6.1830800000000004</v>
      </c>
      <c r="BV157" s="71">
        <v>-249.92599999999999</v>
      </c>
      <c r="BW157" s="75"/>
      <c r="BY157" s="71"/>
      <c r="BZ157" s="71"/>
      <c r="CA157" s="71"/>
      <c r="CC157" s="71"/>
    </row>
    <row r="158" spans="1:81" x14ac:dyDescent="0.15">
      <c r="A158">
        <f t="shared" si="106"/>
        <v>62000</v>
      </c>
      <c r="B158">
        <f t="shared" si="138"/>
        <v>62</v>
      </c>
      <c r="C158">
        <f t="shared" si="107"/>
        <v>1.0325233624883468</v>
      </c>
      <c r="D158">
        <f t="shared" si="108"/>
        <v>0.25165722227344905</v>
      </c>
      <c r="F158">
        <f t="shared" si="109"/>
        <v>6.0572232939724805E-3</v>
      </c>
      <c r="G158">
        <f t="shared" si="110"/>
        <v>2.5569237231532992E-2</v>
      </c>
      <c r="H158">
        <f t="shared" si="111"/>
        <v>-3.1160234127684672</v>
      </c>
      <c r="J158">
        <f t="shared" si="112"/>
        <v>15</v>
      </c>
      <c r="M158">
        <f t="shared" si="113"/>
        <v>1.5371348587382302E-2</v>
      </c>
      <c r="N158">
        <f t="shared" si="114"/>
        <v>-1.5707963250000001</v>
      </c>
      <c r="O158">
        <f t="shared" si="115"/>
        <v>26.372530044964762</v>
      </c>
      <c r="P158">
        <f t="shared" si="116"/>
        <v>1.5328689915842886</v>
      </c>
      <c r="Q158">
        <f t="shared" si="117"/>
        <v>11.969317812297493</v>
      </c>
      <c r="R158">
        <f t="shared" si="118"/>
        <v>1.4871518757159994</v>
      </c>
      <c r="S158">
        <f t="shared" si="119"/>
        <v>0.97222235682746461</v>
      </c>
      <c r="T158">
        <f t="shared" si="120"/>
        <v>-0.236250730894766</v>
      </c>
      <c r="U158">
        <f t="shared" si="121"/>
        <v>0.9038311418927546</v>
      </c>
      <c r="V158">
        <f t="shared" si="122"/>
        <v>-0.44215621911728792</v>
      </c>
      <c r="X158">
        <f t="shared" si="139"/>
        <v>-7.9589839882671312</v>
      </c>
      <c r="Y158">
        <f t="shared" si="123"/>
        <v>-119.95149901984306</v>
      </c>
      <c r="Z158">
        <f t="shared" si="140"/>
        <v>60.048500980156945</v>
      </c>
      <c r="AC158">
        <v>1</v>
      </c>
      <c r="AD158">
        <f t="shared" si="124"/>
        <v>26.353564103790003</v>
      </c>
      <c r="AE158">
        <f t="shared" si="125"/>
        <v>-1.5399342371897318E-3</v>
      </c>
      <c r="AF158">
        <f t="shared" si="126"/>
        <v>3.2528050298100005E-3</v>
      </c>
      <c r="AG158">
        <f t="shared" si="141"/>
        <v>6499.5502305237087</v>
      </c>
      <c r="AH158">
        <f t="shared" si="142"/>
        <v>-3384.4266180813529</v>
      </c>
      <c r="AJ158">
        <f t="shared" si="127"/>
        <v>20000</v>
      </c>
      <c r="AK158">
        <f t="shared" si="128"/>
        <v>4814.9305590960003</v>
      </c>
      <c r="AL158">
        <v>1</v>
      </c>
      <c r="AM158">
        <f t="shared" si="129"/>
        <v>11.927471185954801</v>
      </c>
      <c r="AN158">
        <f t="shared" si="143"/>
        <v>540.46821279641836</v>
      </c>
      <c r="AO158">
        <f t="shared" si="144"/>
        <v>-1631.4884759577674</v>
      </c>
      <c r="AQ158">
        <f t="shared" si="130"/>
        <v>0.65032190934512579</v>
      </c>
      <c r="AR158">
        <f t="shared" si="131"/>
        <v>-80.639916758795607</v>
      </c>
      <c r="AT158">
        <f t="shared" si="156"/>
        <v>-268693.08084253373</v>
      </c>
      <c r="AU158">
        <f t="shared" si="157"/>
        <v>-526324.15633935179</v>
      </c>
      <c r="AV158">
        <f t="shared" si="145"/>
        <v>-2.0428155398160257</v>
      </c>
      <c r="AW158">
        <f t="shared" si="146"/>
        <v>-124698.92197187628</v>
      </c>
      <c r="AX158">
        <f t="shared" si="147"/>
        <v>-52923.912515702825</v>
      </c>
      <c r="AY158">
        <f t="shared" si="155"/>
        <v>-2.7402188369731322</v>
      </c>
      <c r="BA158">
        <f t="shared" si="132"/>
        <v>4.362326923165277</v>
      </c>
      <c r="BB158">
        <f t="shared" si="148"/>
        <v>12.794364190494889</v>
      </c>
      <c r="BC158">
        <f t="shared" si="149"/>
        <v>0.69740329715710647</v>
      </c>
      <c r="BD158">
        <f t="shared" si="133"/>
        <v>-140.04173440873083</v>
      </c>
      <c r="BF158">
        <f t="shared" si="134"/>
        <v>-7.7603412109782743</v>
      </c>
      <c r="BG158">
        <f t="shared" si="135"/>
        <v>-124.1578282915909</v>
      </c>
      <c r="BH158">
        <f t="shared" si="150"/>
        <v>55.842171708409097</v>
      </c>
      <c r="BI158">
        <f t="shared" si="151"/>
        <v>55.842171708409097</v>
      </c>
      <c r="BJ158">
        <f t="shared" si="136"/>
        <v>0</v>
      </c>
      <c r="BK158">
        <f t="shared" si="152"/>
        <v>0</v>
      </c>
      <c r="BM158">
        <f t="shared" si="153"/>
        <v>-20.554705401473164</v>
      </c>
      <c r="BN158">
        <f t="shared" si="137"/>
        <v>-164.1160938828601</v>
      </c>
      <c r="BQ158" s="66">
        <f t="shared" si="154"/>
        <v>29.696324990780028</v>
      </c>
      <c r="BR158" s="71"/>
      <c r="BS158" s="71"/>
      <c r="BT158" s="71">
        <v>3019.9520000000002</v>
      </c>
      <c r="BU158" s="71">
        <v>6.0130600000000003</v>
      </c>
      <c r="BV158" s="71">
        <v>-249.65100000000001</v>
      </c>
      <c r="BW158" s="75"/>
      <c r="BY158" s="71"/>
      <c r="BZ158" s="71"/>
      <c r="CA158" s="71"/>
      <c r="CC158" s="71"/>
    </row>
    <row r="159" spans="1:81" x14ac:dyDescent="0.15">
      <c r="A159">
        <f t="shared" si="106"/>
        <v>62500</v>
      </c>
      <c r="B159">
        <f t="shared" si="138"/>
        <v>62.5</v>
      </c>
      <c r="C159">
        <f t="shared" si="107"/>
        <v>1.0330416229762465</v>
      </c>
      <c r="D159">
        <f t="shared" si="108"/>
        <v>0.25360113325812839</v>
      </c>
      <c r="F159">
        <f t="shared" si="109"/>
        <v>5.9601419040683466E-3</v>
      </c>
      <c r="G159">
        <f t="shared" si="110"/>
        <v>2.5362283542733982E-2</v>
      </c>
      <c r="H159">
        <f t="shared" si="111"/>
        <v>-3.1162303664572661</v>
      </c>
      <c r="J159">
        <f t="shared" si="112"/>
        <v>15</v>
      </c>
      <c r="M159">
        <f t="shared" si="113"/>
        <v>1.5248377798683243E-2</v>
      </c>
      <c r="N159">
        <f t="shared" si="114"/>
        <v>-1.5707963250000001</v>
      </c>
      <c r="O159">
        <f t="shared" si="115"/>
        <v>26.584907168018837</v>
      </c>
      <c r="P159">
        <f t="shared" si="116"/>
        <v>1.5331721228520825</v>
      </c>
      <c r="Q159">
        <f t="shared" si="117"/>
        <v>12.065173479520592</v>
      </c>
      <c r="R159">
        <f t="shared" si="118"/>
        <v>1.4878179516671028</v>
      </c>
      <c r="S159">
        <f t="shared" si="119"/>
        <v>0.9717913799159873</v>
      </c>
      <c r="T159">
        <f t="shared" si="120"/>
        <v>-0.23808505991517778</v>
      </c>
      <c r="U159">
        <f t="shared" si="121"/>
        <v>0.9024942024733843</v>
      </c>
      <c r="V159">
        <f t="shared" si="122"/>
        <v>-0.44527047920934398</v>
      </c>
      <c r="X159">
        <f t="shared" si="139"/>
        <v>-8.0424898994255258</v>
      </c>
      <c r="Y159">
        <f t="shared" si="123"/>
        <v>-120.07998048531383</v>
      </c>
      <c r="Z159">
        <f t="shared" si="140"/>
        <v>59.920019514686174</v>
      </c>
      <c r="AC159">
        <v>1</v>
      </c>
      <c r="AD159">
        <f t="shared" si="124"/>
        <v>26.566092846562505</v>
      </c>
      <c r="AE159">
        <f t="shared" si="125"/>
        <v>-1.5648720379870941E-3</v>
      </c>
      <c r="AF159">
        <f t="shared" si="126"/>
        <v>3.2790373284375001E-3</v>
      </c>
      <c r="AG159">
        <f t="shared" si="141"/>
        <v>6480.3362915750922</v>
      </c>
      <c r="AH159">
        <f t="shared" si="142"/>
        <v>-3397.6121475712544</v>
      </c>
      <c r="AJ159">
        <f t="shared" si="127"/>
        <v>20000</v>
      </c>
      <c r="AK159">
        <f t="shared" si="128"/>
        <v>4853.76064425</v>
      </c>
      <c r="AL159">
        <v>1</v>
      </c>
      <c r="AM159">
        <f t="shared" si="129"/>
        <v>12.0236604697125</v>
      </c>
      <c r="AN159">
        <f t="shared" si="143"/>
        <v>538.30339563690563</v>
      </c>
      <c r="AO159">
        <f t="shared" si="144"/>
        <v>-1618.61661458147</v>
      </c>
      <c r="AQ159">
        <f t="shared" si="130"/>
        <v>0.63995904262127223</v>
      </c>
      <c r="AR159">
        <f t="shared" si="131"/>
        <v>-79.994880327659033</v>
      </c>
      <c r="AT159">
        <f t="shared" si="156"/>
        <v>-267644.4273357428</v>
      </c>
      <c r="AU159">
        <f t="shared" si="157"/>
        <v>-520568.05874469335</v>
      </c>
      <c r="AV159">
        <f t="shared" si="145"/>
        <v>-2.045691180607168</v>
      </c>
      <c r="AW159">
        <f t="shared" si="146"/>
        <v>-122645.80973273313</v>
      </c>
      <c r="AX159">
        <f t="shared" si="147"/>
        <v>-52347.100928387728</v>
      </c>
      <c r="AY159">
        <f t="shared" si="155"/>
        <v>-2.7381854853141934</v>
      </c>
      <c r="BA159">
        <f t="shared" si="132"/>
        <v>4.389513475240121</v>
      </c>
      <c r="BB159">
        <f t="shared" si="148"/>
        <v>12.848327731822621</v>
      </c>
      <c r="BC159">
        <f t="shared" si="149"/>
        <v>0.69249430470702533</v>
      </c>
      <c r="BD159">
        <f t="shared" si="133"/>
        <v>-140.32299895810345</v>
      </c>
      <c r="BF159">
        <f t="shared" si="134"/>
        <v>-7.8423586823593165</v>
      </c>
      <c r="BG159">
        <f t="shared" si="135"/>
        <v>-124.33957251860141</v>
      </c>
      <c r="BH159">
        <f t="shared" si="150"/>
        <v>55.660427481398585</v>
      </c>
      <c r="BI159">
        <f t="shared" si="151"/>
        <v>55.660427481398585</v>
      </c>
      <c r="BJ159">
        <f t="shared" si="136"/>
        <v>0</v>
      </c>
      <c r="BK159">
        <f t="shared" si="152"/>
        <v>0</v>
      </c>
      <c r="BM159">
        <f t="shared" si="153"/>
        <v>-20.69068641418194</v>
      </c>
      <c r="BN159">
        <f t="shared" si="137"/>
        <v>-164.01657356049796</v>
      </c>
      <c r="BQ159" s="66">
        <f t="shared" si="154"/>
        <v>29.75028853210776</v>
      </c>
      <c r="BR159" s="71"/>
      <c r="BS159" s="71"/>
      <c r="BT159" s="71">
        <v>3090.2950000000001</v>
      </c>
      <c r="BU159" s="71">
        <v>5.8544900000000002</v>
      </c>
      <c r="BV159" s="71">
        <v>-248.41800000000001</v>
      </c>
      <c r="BW159" s="75"/>
      <c r="BY159" s="71"/>
      <c r="BZ159" s="71"/>
      <c r="CA159" s="71"/>
      <c r="CC159" s="71"/>
    </row>
    <row r="160" spans="1:81" x14ac:dyDescent="0.15">
      <c r="A160">
        <f t="shared" si="106"/>
        <v>63000</v>
      </c>
      <c r="B160">
        <f t="shared" si="138"/>
        <v>63</v>
      </c>
      <c r="C160">
        <f t="shared" si="107"/>
        <v>1.033563783187998</v>
      </c>
      <c r="D160">
        <f t="shared" si="108"/>
        <v>0.25554308743297821</v>
      </c>
      <c r="F160">
        <f t="shared" si="109"/>
        <v>5.8653801765394618E-3</v>
      </c>
      <c r="G160">
        <f t="shared" si="110"/>
        <v>2.5158671710684557E-2</v>
      </c>
      <c r="H160">
        <f t="shared" si="111"/>
        <v>-3.1164339782893156</v>
      </c>
      <c r="J160">
        <f t="shared" si="112"/>
        <v>15</v>
      </c>
      <c r="M160">
        <f t="shared" si="113"/>
        <v>1.5127358927265125E-2</v>
      </c>
      <c r="N160">
        <f t="shared" si="114"/>
        <v>-1.5707963250000001</v>
      </c>
      <c r="O160">
        <f t="shared" si="115"/>
        <v>26.797286695201041</v>
      </c>
      <c r="P160">
        <f t="shared" si="116"/>
        <v>1.5334704492667881</v>
      </c>
      <c r="Q160">
        <f t="shared" si="117"/>
        <v>12.161034415159417</v>
      </c>
      <c r="R160">
        <f t="shared" si="118"/>
        <v>1.4884735270445977</v>
      </c>
      <c r="S160">
        <f t="shared" si="119"/>
        <v>0.97135752089304905</v>
      </c>
      <c r="T160">
        <f t="shared" si="120"/>
        <v>-0.23991775721480249</v>
      </c>
      <c r="U160">
        <f t="shared" si="121"/>
        <v>0.90115251119689754</v>
      </c>
      <c r="V160">
        <f t="shared" si="122"/>
        <v>-0.44837550972394957</v>
      </c>
      <c r="X160">
        <f t="shared" si="139"/>
        <v>-8.1254686977375314</v>
      </c>
      <c r="Y160">
        <f t="shared" si="123"/>
        <v>-120.2086372232462</v>
      </c>
      <c r="Z160">
        <f t="shared" si="140"/>
        <v>59.7913627767538</v>
      </c>
      <c r="AC160">
        <v>1</v>
      </c>
      <c r="AD160">
        <f t="shared" si="124"/>
        <v>26.778621589335007</v>
      </c>
      <c r="AE160">
        <f t="shared" si="125"/>
        <v>-1.5900101424053186E-3</v>
      </c>
      <c r="AF160">
        <f t="shared" si="126"/>
        <v>3.3052696270650002E-3</v>
      </c>
      <c r="AG160">
        <f t="shared" si="141"/>
        <v>6461.0826548555433</v>
      </c>
      <c r="AH160">
        <f t="shared" si="142"/>
        <v>-3410.6709055834926</v>
      </c>
      <c r="AJ160">
        <f t="shared" si="127"/>
        <v>20000</v>
      </c>
      <c r="AK160">
        <f t="shared" si="128"/>
        <v>4892.5907294039998</v>
      </c>
      <c r="AL160">
        <v>1</v>
      </c>
      <c r="AM160">
        <f t="shared" si="129"/>
        <v>12.1198497534702</v>
      </c>
      <c r="AN160">
        <f t="shared" si="143"/>
        <v>536.18945222095681</v>
      </c>
      <c r="AO160">
        <f t="shared" si="144"/>
        <v>-1605.9448709094841</v>
      </c>
      <c r="AQ160">
        <f t="shared" si="130"/>
        <v>0.62984190968067011</v>
      </c>
      <c r="AR160">
        <f t="shared" si="131"/>
        <v>-79.360080619764446</v>
      </c>
      <c r="AT160">
        <f t="shared" si="156"/>
        <v>-266601.6573966521</v>
      </c>
      <c r="AU160">
        <f t="shared" si="157"/>
        <v>-514900.22385676263</v>
      </c>
      <c r="AV160">
        <f t="shared" si="145"/>
        <v>-2.0485613727394885</v>
      </c>
      <c r="AW160">
        <f t="shared" si="146"/>
        <v>-120641.33631356157</v>
      </c>
      <c r="AX160">
        <f t="shared" si="147"/>
        <v>-51783.933749148746</v>
      </c>
      <c r="AY160">
        <f t="shared" si="155"/>
        <v>-2.736137250533567</v>
      </c>
      <c r="BA160">
        <f t="shared" si="132"/>
        <v>4.4165273409371375</v>
      </c>
      <c r="BB160">
        <f t="shared" si="148"/>
        <v>12.901618466459855</v>
      </c>
      <c r="BC160">
        <f t="shared" si="149"/>
        <v>0.68757587779407858</v>
      </c>
      <c r="BD160">
        <f t="shared" si="133"/>
        <v>-140.60480406238088</v>
      </c>
      <c r="BF160">
        <f t="shared" si="134"/>
        <v>-7.9238873529694782</v>
      </c>
      <c r="BG160">
        <f t="shared" si="135"/>
        <v>-124.52177794317369</v>
      </c>
      <c r="BH160">
        <f t="shared" si="150"/>
        <v>55.478222056826311</v>
      </c>
      <c r="BI160">
        <f t="shared" si="151"/>
        <v>55.478222056826311</v>
      </c>
      <c r="BJ160">
        <f t="shared" si="136"/>
        <v>0</v>
      </c>
      <c r="BK160">
        <f t="shared" si="152"/>
        <v>0</v>
      </c>
      <c r="BM160">
        <f t="shared" si="153"/>
        <v>-20.825505819429331</v>
      </c>
      <c r="BN160">
        <f t="shared" si="137"/>
        <v>-163.91697388079282</v>
      </c>
      <c r="BQ160" s="66">
        <f t="shared" si="154"/>
        <v>29.80357926674499</v>
      </c>
      <c r="BR160" s="71"/>
      <c r="BS160" s="71"/>
      <c r="BT160" s="71">
        <v>3162.2779999999998</v>
      </c>
      <c r="BU160" s="71">
        <v>5.6099300000000003</v>
      </c>
      <c r="BV160" s="71">
        <v>-248.626</v>
      </c>
      <c r="BW160" s="75"/>
      <c r="BY160" s="71"/>
      <c r="BZ160" s="71"/>
      <c r="CA160" s="71"/>
      <c r="CC160" s="71"/>
    </row>
    <row r="161" spans="1:81" x14ac:dyDescent="0.15">
      <c r="A161">
        <f t="shared" si="106"/>
        <v>63500</v>
      </c>
      <c r="B161">
        <f t="shared" si="138"/>
        <v>63.5</v>
      </c>
      <c r="C161">
        <f t="shared" si="107"/>
        <v>1.034089837216144</v>
      </c>
      <c r="D161">
        <f t="shared" si="108"/>
        <v>0.25748307312646307</v>
      </c>
      <c r="F161">
        <f t="shared" si="109"/>
        <v>5.7728646615698631E-3</v>
      </c>
      <c r="G161">
        <f t="shared" si="110"/>
        <v>2.495832100740112E-2</v>
      </c>
      <c r="H161">
        <f t="shared" si="111"/>
        <v>-3.1166343289925993</v>
      </c>
      <c r="J161">
        <f t="shared" si="112"/>
        <v>15</v>
      </c>
      <c r="M161">
        <f t="shared" si="113"/>
        <v>1.5008245864845712E-2</v>
      </c>
      <c r="N161">
        <f t="shared" si="114"/>
        <v>-1.5707963250000001</v>
      </c>
      <c r="O161">
        <f t="shared" si="115"/>
        <v>27.009668569799722</v>
      </c>
      <c r="P161">
        <f t="shared" si="116"/>
        <v>1.5337640841189355</v>
      </c>
      <c r="Q161">
        <f t="shared" si="117"/>
        <v>12.256900495601487</v>
      </c>
      <c r="R161">
        <f t="shared" si="118"/>
        <v>1.4891188476657147</v>
      </c>
      <c r="S161">
        <f t="shared" si="119"/>
        <v>0.97092079235459228</v>
      </c>
      <c r="T161">
        <f t="shared" si="120"/>
        <v>-0.24174881267514997</v>
      </c>
      <c r="U161">
        <f t="shared" si="121"/>
        <v>0.89980616666361779</v>
      </c>
      <c r="V161">
        <f t="shared" si="122"/>
        <v>-0.4514712920241129</v>
      </c>
      <c r="X161">
        <f t="shared" si="139"/>
        <v>-8.2079295368780727</v>
      </c>
      <c r="Y161">
        <f t="shared" si="123"/>
        <v>-120.33745230481576</v>
      </c>
      <c r="Z161">
        <f t="shared" si="140"/>
        <v>59.662547695184244</v>
      </c>
      <c r="AC161">
        <v>1</v>
      </c>
      <c r="AD161">
        <f t="shared" si="124"/>
        <v>26.991150332107502</v>
      </c>
      <c r="AE161">
        <f t="shared" si="125"/>
        <v>-1.6153485504444053E-3</v>
      </c>
      <c r="AF161">
        <f t="shared" si="126"/>
        <v>3.3315019256925007E-3</v>
      </c>
      <c r="AG161">
        <f t="shared" si="141"/>
        <v>6441.7910364934924</v>
      </c>
      <c r="AH161">
        <f t="shared" si="142"/>
        <v>-3423.6023473691012</v>
      </c>
      <c r="AJ161">
        <f t="shared" si="127"/>
        <v>20000</v>
      </c>
      <c r="AK161">
        <f t="shared" si="128"/>
        <v>4931.4208145580005</v>
      </c>
      <c r="AL161">
        <v>1</v>
      </c>
      <c r="AM161">
        <f t="shared" si="129"/>
        <v>12.216039037227899</v>
      </c>
      <c r="AN161">
        <f t="shared" si="143"/>
        <v>534.1248044158101</v>
      </c>
      <c r="AO161">
        <f t="shared" si="144"/>
        <v>-1593.4686469372521</v>
      </c>
      <c r="AQ161">
        <f t="shared" si="130"/>
        <v>0.61996280223186606</v>
      </c>
      <c r="AR161">
        <f t="shared" si="131"/>
        <v>-78.735275883446988</v>
      </c>
      <c r="AT161">
        <f t="shared" si="156"/>
        <v>-265564.60451294627</v>
      </c>
      <c r="AU161">
        <f t="shared" si="157"/>
        <v>-509318.70054683357</v>
      </c>
      <c r="AV161">
        <f t="shared" si="145"/>
        <v>-2.0514260084708695</v>
      </c>
      <c r="AW161">
        <f t="shared" si="146"/>
        <v>-118683.994365279</v>
      </c>
      <c r="AX161">
        <f t="shared" si="147"/>
        <v>-51233.949646303117</v>
      </c>
      <c r="AY161">
        <f t="shared" si="155"/>
        <v>-2.7340744729448256</v>
      </c>
      <c r="BA161">
        <f t="shared" si="132"/>
        <v>4.4433675778622215</v>
      </c>
      <c r="BB161">
        <f t="shared" si="148"/>
        <v>12.95424483530609</v>
      </c>
      <c r="BC161">
        <f t="shared" si="149"/>
        <v>0.68264846447395611</v>
      </c>
      <c r="BD161">
        <f t="shared" si="133"/>
        <v>-140.88712404986302</v>
      </c>
      <c r="BF161">
        <f t="shared" si="134"/>
        <v>-8.0049370621440108</v>
      </c>
      <c r="BG161">
        <f t="shared" si="135"/>
        <v>-124.70442418771012</v>
      </c>
      <c r="BH161">
        <f t="shared" si="150"/>
        <v>55.295575812289883</v>
      </c>
      <c r="BI161">
        <f t="shared" si="151"/>
        <v>55.295575812289883</v>
      </c>
      <c r="BJ161">
        <f t="shared" si="136"/>
        <v>0</v>
      </c>
      <c r="BK161">
        <f t="shared" si="152"/>
        <v>0</v>
      </c>
      <c r="BM161">
        <f t="shared" si="153"/>
        <v>-20.959181897450101</v>
      </c>
      <c r="BN161">
        <f t="shared" si="137"/>
        <v>-163.81730013784713</v>
      </c>
      <c r="BQ161" s="66">
        <f t="shared" si="154"/>
        <v>29.85620563559123</v>
      </c>
      <c r="BR161" s="71"/>
      <c r="BS161" s="71"/>
      <c r="BT161" s="71">
        <v>3235.9369999999999</v>
      </c>
      <c r="BU161" s="71">
        <v>5.4320899999999996</v>
      </c>
      <c r="BV161" s="71">
        <v>-248.57499999999999</v>
      </c>
      <c r="BW161" s="75"/>
      <c r="BY161" s="71"/>
      <c r="BZ161" s="71"/>
      <c r="CA161" s="71"/>
      <c r="CC161" s="71"/>
    </row>
    <row r="162" spans="1:81" x14ac:dyDescent="0.15">
      <c r="A162">
        <f t="shared" si="106"/>
        <v>64000</v>
      </c>
      <c r="B162">
        <f t="shared" si="138"/>
        <v>64</v>
      </c>
      <c r="C162">
        <f t="shared" si="107"/>
        <v>1.0346197791212335</v>
      </c>
      <c r="D162">
        <f t="shared" si="108"/>
        <v>0.2594210787499644</v>
      </c>
      <c r="F162">
        <f t="shared" si="109"/>
        <v>5.6825247987383745E-3</v>
      </c>
      <c r="G162">
        <f t="shared" si="110"/>
        <v>2.4761153297363971E-2</v>
      </c>
      <c r="H162">
        <f t="shared" si="111"/>
        <v>-3.1168314967026363</v>
      </c>
      <c r="J162">
        <f t="shared" si="112"/>
        <v>15</v>
      </c>
      <c r="M162">
        <f t="shared" si="113"/>
        <v>1.4890993944026605E-2</v>
      </c>
      <c r="N162">
        <f t="shared" si="114"/>
        <v>-1.5707963250000001</v>
      </c>
      <c r="O162">
        <f t="shared" si="115"/>
        <v>27.222052736872438</v>
      </c>
      <c r="P162">
        <f t="shared" si="116"/>
        <v>1.5340531371668176</v>
      </c>
      <c r="Q162">
        <f t="shared" si="117"/>
        <v>12.352771601065079</v>
      </c>
      <c r="R162">
        <f t="shared" si="118"/>
        <v>1.4897541517512174</v>
      </c>
      <c r="S162">
        <f t="shared" si="119"/>
        <v>0.97048120694881557</v>
      </c>
      <c r="T162">
        <f t="shared" si="120"/>
        <v>-0.2435782162398886</v>
      </c>
      <c r="U162">
        <f t="shared" si="121"/>
        <v>0.89845526694297817</v>
      </c>
      <c r="V162">
        <f t="shared" si="122"/>
        <v>-0.45455780829275272</v>
      </c>
      <c r="X162">
        <f t="shared" si="139"/>
        <v>-8.2898813251244441</v>
      </c>
      <c r="Y162">
        <f t="shared" si="123"/>
        <v>-120.46640933607674</v>
      </c>
      <c r="Z162">
        <f t="shared" si="140"/>
        <v>59.533590663923263</v>
      </c>
      <c r="AC162">
        <v>1</v>
      </c>
      <c r="AD162">
        <f t="shared" si="124"/>
        <v>27.203679074880004</v>
      </c>
      <c r="AE162">
        <f t="shared" si="125"/>
        <v>-1.6408872621043547E-3</v>
      </c>
      <c r="AF162">
        <f t="shared" si="126"/>
        <v>3.3577342243199999E-3</v>
      </c>
      <c r="AG162">
        <f t="shared" si="141"/>
        <v>6422.4631376262714</v>
      </c>
      <c r="AH162">
        <f t="shared" si="142"/>
        <v>-3436.4059758787107</v>
      </c>
      <c r="AJ162">
        <f t="shared" si="127"/>
        <v>20000</v>
      </c>
      <c r="AK162">
        <f t="shared" si="128"/>
        <v>4970.2508997120003</v>
      </c>
      <c r="AL162">
        <v>1</v>
      </c>
      <c r="AM162">
        <f t="shared" si="129"/>
        <v>12.3122283209856</v>
      </c>
      <c r="AN162">
        <f t="shared" si="143"/>
        <v>532.10793467599603</v>
      </c>
      <c r="AO162">
        <f t="shared" si="144"/>
        <v>-1581.1834834269539</v>
      </c>
      <c r="AQ162">
        <f t="shared" si="130"/>
        <v>0.61031431187061336</v>
      </c>
      <c r="AR162">
        <f t="shared" si="131"/>
        <v>-78.12023191943851</v>
      </c>
      <c r="AT162">
        <f t="shared" si="156"/>
        <v>-264533.11063463456</v>
      </c>
      <c r="AU162">
        <f t="shared" si="157"/>
        <v>-503821.59755388554</v>
      </c>
      <c r="AV162">
        <f t="shared" si="145"/>
        <v>-2.0542849836556272</v>
      </c>
      <c r="AW162">
        <f t="shared" si="146"/>
        <v>-116772.33427582929</v>
      </c>
      <c r="AX162">
        <f t="shared" si="147"/>
        <v>-50696.70690669668</v>
      </c>
      <c r="AY162">
        <f t="shared" si="155"/>
        <v>-2.731997485621867</v>
      </c>
      <c r="BA162">
        <f t="shared" si="132"/>
        <v>4.4700332634237627</v>
      </c>
      <c r="BB162">
        <f t="shared" si="148"/>
        <v>13.006215098288123</v>
      </c>
      <c r="BC162">
        <f t="shared" si="149"/>
        <v>0.67771250196623978</v>
      </c>
      <c r="BD162">
        <f t="shared" si="133"/>
        <v>-141.16993386971313</v>
      </c>
      <c r="BF162">
        <f t="shared" si="134"/>
        <v>-8.0855173933704343</v>
      </c>
      <c r="BG162">
        <f t="shared" si="135"/>
        <v>-124.8874913421884</v>
      </c>
      <c r="BH162">
        <f t="shared" si="150"/>
        <v>55.112508657811603</v>
      </c>
      <c r="BI162">
        <f t="shared" si="151"/>
        <v>55.112508657811603</v>
      </c>
      <c r="BJ162">
        <f t="shared" si="136"/>
        <v>0</v>
      </c>
      <c r="BK162">
        <f t="shared" si="152"/>
        <v>0</v>
      </c>
      <c r="BM162">
        <f t="shared" si="153"/>
        <v>-21.091732491658558</v>
      </c>
      <c r="BN162">
        <f t="shared" si="137"/>
        <v>-163.71755747247525</v>
      </c>
      <c r="BQ162" s="66">
        <f t="shared" si="154"/>
        <v>29.908175898573258</v>
      </c>
      <c r="BR162" s="71"/>
      <c r="BS162" s="71"/>
      <c r="BT162" s="71">
        <v>3311.3110000000001</v>
      </c>
      <c r="BU162" s="71">
        <v>5.2356100000000003</v>
      </c>
      <c r="BV162" s="71">
        <v>-247.75799999999998</v>
      </c>
      <c r="BW162" s="75"/>
      <c r="BY162" s="71"/>
      <c r="BZ162" s="71"/>
      <c r="CA162" s="71"/>
      <c r="CC162" s="71"/>
    </row>
    <row r="163" spans="1:81" x14ac:dyDescent="0.15">
      <c r="A163">
        <f t="shared" si="106"/>
        <v>64500</v>
      </c>
      <c r="B163">
        <f t="shared" si="138"/>
        <v>64.5</v>
      </c>
      <c r="C163">
        <f t="shared" si="107"/>
        <v>1.0351536029321269</v>
      </c>
      <c r="D163">
        <f t="shared" si="108"/>
        <v>0.26135709279800207</v>
      </c>
      <c r="F163">
        <f t="shared" si="109"/>
        <v>5.5942927814543863E-3</v>
      </c>
      <c r="G163">
        <f t="shared" si="110"/>
        <v>2.4567092933789447E-2</v>
      </c>
      <c r="H163">
        <f t="shared" si="111"/>
        <v>-3.1170255570662109</v>
      </c>
      <c r="J163">
        <f t="shared" si="112"/>
        <v>15</v>
      </c>
      <c r="M163">
        <f t="shared" si="113"/>
        <v>1.4775559882445005E-2</v>
      </c>
      <c r="N163">
        <f t="shared" si="114"/>
        <v>-1.5707963250000001</v>
      </c>
      <c r="O163">
        <f t="shared" si="115"/>
        <v>27.434439143177507</v>
      </c>
      <c r="P163">
        <f t="shared" si="116"/>
        <v>1.5343377147730262</v>
      </c>
      <c r="Q163">
        <f t="shared" si="117"/>
        <v>12.44864761545219</v>
      </c>
      <c r="R163">
        <f t="shared" si="118"/>
        <v>1.4903796702159524</v>
      </c>
      <c r="S163">
        <f t="shared" si="119"/>
        <v>0.97003877737524502</v>
      </c>
      <c r="T163">
        <f t="shared" si="120"/>
        <v>-0.24540595791505015</v>
      </c>
      <c r="U163">
        <f t="shared" si="121"/>
        <v>0.89709990956219587</v>
      </c>
      <c r="V163">
        <f t="shared" si="122"/>
        <v>-0.45763504152546142</v>
      </c>
      <c r="X163">
        <f t="shared" si="139"/>
        <v>-8.3713327337366579</v>
      </c>
      <c r="Y163">
        <f t="shared" si="123"/>
        <v>-120.59549243901928</v>
      </c>
      <c r="Z163">
        <f t="shared" si="140"/>
        <v>59.404507560980718</v>
      </c>
      <c r="AC163">
        <v>1</v>
      </c>
      <c r="AD163">
        <f t="shared" si="124"/>
        <v>27.416207817652502</v>
      </c>
      <c r="AE163">
        <f t="shared" si="125"/>
        <v>-1.6666262773851667E-3</v>
      </c>
      <c r="AF163">
        <f t="shared" si="126"/>
        <v>3.3839665229475004E-3</v>
      </c>
      <c r="AG163">
        <f t="shared" si="141"/>
        <v>6403.1006442234375</v>
      </c>
      <c r="AH163">
        <f t="shared" si="142"/>
        <v>-3449.081340272392</v>
      </c>
      <c r="AJ163">
        <f t="shared" si="127"/>
        <v>20000</v>
      </c>
      <c r="AK163">
        <f t="shared" si="128"/>
        <v>5009.0809848660001</v>
      </c>
      <c r="AL163">
        <v>1</v>
      </c>
      <c r="AM163">
        <f t="shared" si="129"/>
        <v>12.408417604743299</v>
      </c>
      <c r="AN163">
        <f t="shared" si="143"/>
        <v>530.13738327948386</v>
      </c>
      <c r="AO163">
        <f t="shared" si="144"/>
        <v>-1569.0850547516934</v>
      </c>
      <c r="AQ163">
        <f t="shared" si="130"/>
        <v>0.60088931618795816</v>
      </c>
      <c r="AR163">
        <f t="shared" si="131"/>
        <v>-77.514721788246604</v>
      </c>
      <c r="AT163">
        <f t="shared" si="156"/>
        <v>-263507.02574865712</v>
      </c>
      <c r="AU163">
        <f t="shared" si="157"/>
        <v>-498407.08114715532</v>
      </c>
      <c r="AV163">
        <f t="shared" si="145"/>
        <v>-2.0571381976300218</v>
      </c>
      <c r="AW163">
        <f t="shared" si="146"/>
        <v>-114904.96154179644</v>
      </c>
      <c r="AX163">
        <f t="shared" si="147"/>
        <v>-50171.782441432981</v>
      </c>
      <c r="AY163">
        <f t="shared" si="155"/>
        <v>-2.7299066146921267</v>
      </c>
      <c r="BA163">
        <f t="shared" si="132"/>
        <v>4.4965234949662936</v>
      </c>
      <c r="BB163">
        <f t="shared" si="148"/>
        <v>13.05753734010046</v>
      </c>
      <c r="BC163">
        <f t="shared" si="149"/>
        <v>0.67276841706210488</v>
      </c>
      <c r="BD163">
        <f t="shared" si="133"/>
        <v>-141.45320906859808</v>
      </c>
      <c r="BF163">
        <f t="shared" si="134"/>
        <v>-8.1656376825187031</v>
      </c>
      <c r="BG163">
        <f t="shared" si="135"/>
        <v>-125.07095994673233</v>
      </c>
      <c r="BH163">
        <f t="shared" si="150"/>
        <v>54.92904005326767</v>
      </c>
      <c r="BI163">
        <f t="shared" si="151"/>
        <v>54.92904005326767</v>
      </c>
      <c r="BJ163">
        <f t="shared" si="136"/>
        <v>0</v>
      </c>
      <c r="BK163">
        <f t="shared" si="152"/>
        <v>0</v>
      </c>
      <c r="BM163">
        <f t="shared" si="153"/>
        <v>-21.223175022619163</v>
      </c>
      <c r="BN163">
        <f t="shared" si="137"/>
        <v>-163.61775087813425</v>
      </c>
      <c r="BQ163" s="66">
        <f t="shared" si="154"/>
        <v>29.959498140385598</v>
      </c>
      <c r="BR163" s="71"/>
      <c r="BS163" s="71"/>
      <c r="BT163" s="71">
        <v>3388.442</v>
      </c>
      <c r="BU163" s="71">
        <v>5.0528199999999996</v>
      </c>
      <c r="BV163" s="71">
        <v>-247.756</v>
      </c>
      <c r="BW163" s="75"/>
      <c r="BY163" s="71"/>
      <c r="BZ163" s="71"/>
      <c r="CA163" s="71"/>
      <c r="CC163" s="71"/>
    </row>
    <row r="164" spans="1:81" x14ac:dyDescent="0.15">
      <c r="A164">
        <f t="shared" si="106"/>
        <v>65000</v>
      </c>
      <c r="B164">
        <f t="shared" si="138"/>
        <v>65</v>
      </c>
      <c r="C164">
        <f t="shared" si="107"/>
        <v>1.0356913026463006</v>
      </c>
      <c r="D164">
        <f t="shared" si="108"/>
        <v>0.26329110384844784</v>
      </c>
      <c r="F164">
        <f t="shared" si="109"/>
        <v>5.5081034287687691E-3</v>
      </c>
      <c r="G164">
        <f t="shared" si="110"/>
        <v>2.437606665986463E-2</v>
      </c>
      <c r="H164">
        <f t="shared" si="111"/>
        <v>-3.1172165833401357</v>
      </c>
      <c r="J164">
        <f t="shared" si="112"/>
        <v>15</v>
      </c>
      <c r="M164">
        <f t="shared" si="113"/>
        <v>1.4661901729503119E-2</v>
      </c>
      <c r="N164">
        <f t="shared" si="114"/>
        <v>-1.5707963250000001</v>
      </c>
      <c r="O164">
        <f t="shared" si="115"/>
        <v>27.646827737108737</v>
      </c>
      <c r="P164">
        <f t="shared" si="116"/>
        <v>1.5346179200347081</v>
      </c>
      <c r="Q164">
        <f t="shared" si="117"/>
        <v>12.544528426208245</v>
      </c>
      <c r="R164">
        <f t="shared" si="118"/>
        <v>1.4909956269461939</v>
      </c>
      <c r="S164">
        <f t="shared" si="119"/>
        <v>0.96959351638380487</v>
      </c>
      <c r="T164">
        <f t="shared" si="120"/>
        <v>-0.24723202776922959</v>
      </c>
      <c r="U164">
        <f t="shared" si="121"/>
        <v>0.89574019149529061</v>
      </c>
      <c r="V164">
        <f t="shared" si="122"/>
        <v>-0.46070297552318668</v>
      </c>
      <c r="X164">
        <f t="shared" si="139"/>
        <v>-8.45229220498749</v>
      </c>
      <c r="Y164">
        <f t="shared" si="123"/>
        <v>-120.72468623345436</v>
      </c>
      <c r="Z164">
        <f t="shared" si="140"/>
        <v>59.275313766545636</v>
      </c>
      <c r="AC164">
        <v>1</v>
      </c>
      <c r="AD164">
        <f t="shared" si="124"/>
        <v>27.628736560425004</v>
      </c>
      <c r="AE164">
        <f t="shared" si="125"/>
        <v>-1.6925655962868407E-3</v>
      </c>
      <c r="AF164">
        <f t="shared" si="126"/>
        <v>3.4101988215750004E-3</v>
      </c>
      <c r="AG164">
        <f t="shared" si="141"/>
        <v>6383.7052269186097</v>
      </c>
      <c r="AH164">
        <f t="shared" si="142"/>
        <v>-3461.6280344812426</v>
      </c>
      <c r="AJ164">
        <f t="shared" si="127"/>
        <v>20000</v>
      </c>
      <c r="AK164">
        <f t="shared" si="128"/>
        <v>5047.9110700199999</v>
      </c>
      <c r="AL164">
        <v>1</v>
      </c>
      <c r="AM164">
        <f t="shared" si="129"/>
        <v>12.504606888501</v>
      </c>
      <c r="AN164">
        <f t="shared" si="143"/>
        <v>528.21174570948733</v>
      </c>
      <c r="AO164">
        <f t="shared" si="144"/>
        <v>-1557.1691639659941</v>
      </c>
      <c r="AQ164">
        <f t="shared" si="130"/>
        <v>0.59168096562333594</v>
      </c>
      <c r="AR164">
        <f t="shared" si="131"/>
        <v>-76.918525531033666</v>
      </c>
      <c r="AT164">
        <f t="shared" si="156"/>
        <v>-262486.20747626945</v>
      </c>
      <c r="AU164">
        <f t="shared" si="157"/>
        <v>-493073.37289740279</v>
      </c>
      <c r="AV164">
        <f t="shared" si="145"/>
        <v>-2.0599855531026225</v>
      </c>
      <c r="AW164">
        <f t="shared" si="146"/>
        <v>-113080.53427825596</v>
      </c>
      <c r="AX164">
        <f t="shared" si="147"/>
        <v>-49658.770849721397</v>
      </c>
      <c r="AY164">
        <f t="shared" si="155"/>
        <v>-2.7278021796149892</v>
      </c>
      <c r="BA164">
        <f t="shared" si="132"/>
        <v>4.5228373899026284</v>
      </c>
      <c r="BB164">
        <f t="shared" si="148"/>
        <v>13.10821947573424</v>
      </c>
      <c r="BC164">
        <f t="shared" si="149"/>
        <v>0.66781662651236662</v>
      </c>
      <c r="BD164">
        <f t="shared" si="133"/>
        <v>-141.73692576845505</v>
      </c>
      <c r="BF164">
        <f t="shared" si="134"/>
        <v>-8.2453070257262731</v>
      </c>
      <c r="BG164">
        <f t="shared" si="135"/>
        <v>-125.25481097502498</v>
      </c>
      <c r="BH164">
        <f t="shared" si="150"/>
        <v>54.745189024975019</v>
      </c>
      <c r="BI164">
        <f t="shared" si="151"/>
        <v>54.745189024975019</v>
      </c>
      <c r="BJ164">
        <f t="shared" si="136"/>
        <v>0</v>
      </c>
      <c r="BK164">
        <f t="shared" si="152"/>
        <v>0</v>
      </c>
      <c r="BM164">
        <f t="shared" si="153"/>
        <v>-21.353526501460514</v>
      </c>
      <c r="BN164">
        <f t="shared" si="137"/>
        <v>-163.5178852065699</v>
      </c>
      <c r="BQ164" s="66">
        <f t="shared" si="154"/>
        <v>30.010180276019376</v>
      </c>
      <c r="BR164" s="71"/>
      <c r="BS164" s="71"/>
      <c r="BT164" s="71">
        <v>3467.3690000000001</v>
      </c>
      <c r="BU164" s="71">
        <v>4.9028999999999998</v>
      </c>
      <c r="BV164" s="71">
        <v>-247.51300000000001</v>
      </c>
      <c r="BW164" s="75"/>
      <c r="BY164" s="71"/>
      <c r="BZ164" s="71"/>
      <c r="CA164" s="71"/>
      <c r="CC164" s="71"/>
    </row>
    <row r="165" spans="1:81" x14ac:dyDescent="0.15">
      <c r="A165">
        <f t="shared" si="106"/>
        <v>65500</v>
      </c>
      <c r="B165">
        <f t="shared" si="138"/>
        <v>65.5</v>
      </c>
      <c r="C165">
        <f t="shared" si="107"/>
        <v>1.0362328722301535</v>
      </c>
      <c r="D165">
        <f t="shared" si="108"/>
        <v>0.2652231005627313</v>
      </c>
      <c r="F165">
        <f t="shared" si="109"/>
        <v>5.4238940641041875E-3</v>
      </c>
      <c r="G165">
        <f t="shared" si="110"/>
        <v>2.418800351466871E-2</v>
      </c>
      <c r="H165">
        <f t="shared" si="111"/>
        <v>-3.1174046464853316</v>
      </c>
      <c r="J165">
        <f t="shared" si="112"/>
        <v>15</v>
      </c>
      <c r="M165">
        <f t="shared" si="113"/>
        <v>1.4549978815537446E-2</v>
      </c>
      <c r="N165">
        <f t="shared" si="114"/>
        <v>-1.5707963250000001</v>
      </c>
      <c r="O165">
        <f t="shared" si="115"/>
        <v>27.859218468633127</v>
      </c>
      <c r="P165">
        <f t="shared" si="116"/>
        <v>1.5348938529078728</v>
      </c>
      <c r="Q165">
        <f t="shared" si="117"/>
        <v>12.640413924188145</v>
      </c>
      <c r="R165">
        <f t="shared" si="118"/>
        <v>1.4916022390644785</v>
      </c>
      <c r="S165">
        <f t="shared" si="119"/>
        <v>0.96914543677388931</v>
      </c>
      <c r="T165">
        <f t="shared" si="120"/>
        <v>-0.24905641593377925</v>
      </c>
      <c r="U165">
        <f t="shared" si="121"/>
        <v>0.89437620915244587</v>
      </c>
      <c r="V165">
        <f t="shared" si="122"/>
        <v>-0.46376159488483276</v>
      </c>
      <c r="X165">
        <f t="shared" si="139"/>
        <v>-8.5327679598597062</v>
      </c>
      <c r="Y165">
        <f t="shared" si="123"/>
        <v>-120.85397581968336</v>
      </c>
      <c r="Z165">
        <f t="shared" si="140"/>
        <v>59.146024180316644</v>
      </c>
      <c r="AC165">
        <v>1</v>
      </c>
      <c r="AD165">
        <f t="shared" si="124"/>
        <v>27.841265303197503</v>
      </c>
      <c r="AE165">
        <f t="shared" si="125"/>
        <v>-1.7187052188093769E-3</v>
      </c>
      <c r="AF165">
        <f t="shared" si="126"/>
        <v>3.4364311202025001E-3</v>
      </c>
      <c r="AG165">
        <f t="shared" si="141"/>
        <v>6364.2785408496511</v>
      </c>
      <c r="AH165">
        <f t="shared" si="142"/>
        <v>-3474.0456958180871</v>
      </c>
      <c r="AJ165">
        <f t="shared" si="127"/>
        <v>20000</v>
      </c>
      <c r="AK165">
        <f t="shared" si="128"/>
        <v>5086.7411551739997</v>
      </c>
      <c r="AL165">
        <v>1</v>
      </c>
      <c r="AM165">
        <f t="shared" si="129"/>
        <v>12.600796172258699</v>
      </c>
      <c r="AN165">
        <f t="shared" si="143"/>
        <v>526.32967017324461</v>
      </c>
      <c r="AO165">
        <f t="shared" si="144"/>
        <v>-1545.4317380912044</v>
      </c>
      <c r="AQ165">
        <f t="shared" si="130"/>
        <v>0.58268267101736393</v>
      </c>
      <c r="AR165">
        <f t="shared" si="131"/>
        <v>-76.331429903274682</v>
      </c>
      <c r="AT165">
        <f t="shared" si="156"/>
        <v>-261470.52069183069</v>
      </c>
      <c r="AU165">
        <f t="shared" si="157"/>
        <v>-487818.74755105603</v>
      </c>
      <c r="AV165">
        <f t="shared" si="145"/>
        <v>-2.06282695604926</v>
      </c>
      <c r="AW165">
        <f t="shared" si="146"/>
        <v>-111297.76085863719</v>
      </c>
      <c r="AX165">
        <f t="shared" si="147"/>
        <v>-49157.283537014227</v>
      </c>
      <c r="AY165">
        <f t="shared" si="155"/>
        <v>-2.7256844934461819</v>
      </c>
      <c r="BA165">
        <f t="shared" si="132"/>
        <v>4.5489740858441392</v>
      </c>
      <c r="BB165">
        <f t="shared" si="148"/>
        <v>13.158269255803546</v>
      </c>
      <c r="BC165">
        <f t="shared" si="149"/>
        <v>0.66285753739692188</v>
      </c>
      <c r="BD165">
        <f t="shared" si="133"/>
        <v>-142.02106064532398</v>
      </c>
      <c r="BF165">
        <f t="shared" si="134"/>
        <v>-8.3245342869556644</v>
      </c>
      <c r="BG165">
        <f t="shared" si="135"/>
        <v>-125.43902581851981</v>
      </c>
      <c r="BH165">
        <f t="shared" si="150"/>
        <v>54.560974181480191</v>
      </c>
      <c r="BI165">
        <f t="shared" si="151"/>
        <v>54.560974181480191</v>
      </c>
      <c r="BJ165">
        <f t="shared" si="136"/>
        <v>0</v>
      </c>
      <c r="BK165">
        <f t="shared" si="152"/>
        <v>0</v>
      </c>
      <c r="BM165">
        <f t="shared" si="153"/>
        <v>-21.482803542759207</v>
      </c>
      <c r="BN165">
        <f t="shared" si="137"/>
        <v>-163.41796517319585</v>
      </c>
      <c r="BQ165" s="66">
        <f t="shared" si="154"/>
        <v>30.060230056088677</v>
      </c>
      <c r="BR165" s="71"/>
      <c r="BS165" s="71"/>
      <c r="BT165" s="71">
        <v>3548.134</v>
      </c>
      <c r="BU165" s="71">
        <v>4.6522600000000001</v>
      </c>
      <c r="BV165" s="71">
        <v>-246.726</v>
      </c>
      <c r="BW165" s="75"/>
      <c r="BY165" s="71"/>
      <c r="BZ165" s="71"/>
      <c r="CA165" s="71"/>
      <c r="CC165" s="71"/>
    </row>
    <row r="166" spans="1:81" x14ac:dyDescent="0.15">
      <c r="A166">
        <f t="shared" ref="A166:A200" si="158">A165+500</f>
        <v>66000</v>
      </c>
      <c r="B166">
        <f t="shared" si="138"/>
        <v>66</v>
      </c>
      <c r="C166">
        <f t="shared" si="107"/>
        <v>1.0367783056193118</v>
      </c>
      <c r="D166">
        <f t="shared" si="108"/>
        <v>0.26715307168603764</v>
      </c>
      <c r="F166">
        <f t="shared" si="109"/>
        <v>5.3416044004805331E-3</v>
      </c>
      <c r="G166">
        <f t="shared" si="110"/>
        <v>2.4002834743522539E-2</v>
      </c>
      <c r="H166">
        <f t="shared" si="111"/>
        <v>-3.1175898152564776</v>
      </c>
      <c r="J166">
        <f t="shared" si="112"/>
        <v>15</v>
      </c>
      <c r="M166">
        <f t="shared" si="113"/>
        <v>1.4439751703298528E-2</v>
      </c>
      <c r="N166">
        <f t="shared" si="114"/>
        <v>-1.5707963250000001</v>
      </c>
      <c r="O166">
        <f t="shared" si="115"/>
        <v>28.071611289231367</v>
      </c>
      <c r="P166">
        <f t="shared" si="116"/>
        <v>1.5351656103260658</v>
      </c>
      <c r="Q166">
        <f t="shared" si="117"/>
        <v>12.736304003528339</v>
      </c>
      <c r="R166">
        <f t="shared" si="118"/>
        <v>1.4921997171825767</v>
      </c>
      <c r="S166">
        <f t="shared" si="119"/>
        <v>0.96869455139343308</v>
      </c>
      <c r="T166">
        <f t="shared" si="120"/>
        <v>-0.25087911260299806</v>
      </c>
      <c r="U166">
        <f t="shared" si="121"/>
        <v>0.89300805836970854</v>
      </c>
      <c r="V166">
        <f t="shared" si="122"/>
        <v>-0.46681088499978907</v>
      </c>
      <c r="X166">
        <f t="shared" si="139"/>
        <v>-8.6127680054271067</v>
      </c>
      <c r="Y166">
        <f t="shared" si="123"/>
        <v>-120.98334676191236</v>
      </c>
      <c r="Z166">
        <f t="shared" si="140"/>
        <v>59.016653238087642</v>
      </c>
      <c r="AC166">
        <v>1</v>
      </c>
      <c r="AD166">
        <f t="shared" si="124"/>
        <v>28.053794045970001</v>
      </c>
      <c r="AE166">
        <f t="shared" si="125"/>
        <v>-1.7450451449527761E-3</v>
      </c>
      <c r="AF166">
        <f t="shared" si="126"/>
        <v>3.4626634188300001E-3</v>
      </c>
      <c r="AG166">
        <f t="shared" si="141"/>
        <v>6344.822225507145</v>
      </c>
      <c r="AH166">
        <f t="shared" si="142"/>
        <v>-3486.3340036349027</v>
      </c>
      <c r="AJ166">
        <f t="shared" si="127"/>
        <v>20000</v>
      </c>
      <c r="AK166">
        <f t="shared" si="128"/>
        <v>5125.5712403280004</v>
      </c>
      <c r="AL166">
        <v>1</v>
      </c>
      <c r="AM166">
        <f t="shared" si="129"/>
        <v>12.696985456016401</v>
      </c>
      <c r="AN166">
        <f t="shared" si="143"/>
        <v>524.48985524965792</v>
      </c>
      <c r="AO166">
        <f t="shared" si="144"/>
        <v>-1533.8688236050527</v>
      </c>
      <c r="AQ166">
        <f t="shared" si="130"/>
        <v>0.57388809182209466</v>
      </c>
      <c r="AR166">
        <f t="shared" si="131"/>
        <v>-75.753228120516496</v>
      </c>
      <c r="AT166">
        <f t="shared" si="156"/>
        <v>-260459.83716172166</v>
      </c>
      <c r="AU166">
        <f t="shared" si="157"/>
        <v>-482641.53100176645</v>
      </c>
      <c r="AV166">
        <f t="shared" si="145"/>
        <v>-2.0656623156123208</v>
      </c>
      <c r="AW166">
        <f t="shared" si="146"/>
        <v>-109555.39767691556</v>
      </c>
      <c r="AX166">
        <f t="shared" si="147"/>
        <v>-48666.9478838824</v>
      </c>
      <c r="AY166">
        <f t="shared" si="155"/>
        <v>-2.7235538630888816</v>
      </c>
      <c r="BA166">
        <f t="shared" si="132"/>
        <v>4.5749327407288405</v>
      </c>
      <c r="BB166">
        <f t="shared" si="148"/>
        <v>13.207694271677576</v>
      </c>
      <c r="BC166">
        <f t="shared" si="149"/>
        <v>0.65789154747656076</v>
      </c>
      <c r="BD166">
        <f t="shared" si="133"/>
        <v>-142.3055909091903</v>
      </c>
      <c r="BF166">
        <f t="shared" si="134"/>
        <v>-8.403328105241135</v>
      </c>
      <c r="BG166">
        <f t="shared" si="135"/>
        <v>-125.62358627140863</v>
      </c>
      <c r="BH166">
        <f t="shared" si="150"/>
        <v>54.376413728591373</v>
      </c>
      <c r="BI166">
        <f t="shared" si="151"/>
        <v>54.376413728591373</v>
      </c>
      <c r="BJ166">
        <f t="shared" si="136"/>
        <v>0</v>
      </c>
      <c r="BK166">
        <f t="shared" si="152"/>
        <v>0</v>
      </c>
      <c r="BM166">
        <f t="shared" si="153"/>
        <v>-21.611022376918712</v>
      </c>
      <c r="BN166">
        <f t="shared" si="137"/>
        <v>-163.31799536221834</v>
      </c>
      <c r="BQ166" s="66">
        <f t="shared" si="154"/>
        <v>30.109655071962713</v>
      </c>
      <c r="BR166" s="71"/>
      <c r="BS166" s="71"/>
      <c r="BT166" s="71">
        <v>3630.7809999999999</v>
      </c>
      <c r="BU166" s="71">
        <v>4.4950999999999999</v>
      </c>
      <c r="BV166" s="71">
        <v>-246.21199999999999</v>
      </c>
      <c r="BW166" s="75"/>
      <c r="BY166" s="71"/>
      <c r="BZ166" s="71"/>
      <c r="CA166" s="71"/>
      <c r="CC166" s="71"/>
    </row>
    <row r="167" spans="1:81" x14ac:dyDescent="0.15">
      <c r="A167">
        <f t="shared" si="158"/>
        <v>66500</v>
      </c>
      <c r="B167">
        <f t="shared" si="138"/>
        <v>66.5</v>
      </c>
      <c r="C167">
        <f t="shared" si="107"/>
        <v>1.0373275967189355</v>
      </c>
      <c r="D167">
        <f t="shared" si="108"/>
        <v>0.26908100604749829</v>
      </c>
      <c r="F167">
        <f t="shared" si="109"/>
        <v>5.261176431840338E-3</v>
      </c>
      <c r="G167">
        <f t="shared" si="110"/>
        <v>2.3820493712524156E-2</v>
      </c>
      <c r="H167">
        <f t="shared" si="111"/>
        <v>-3.1177721562874758</v>
      </c>
      <c r="J167">
        <f t="shared" si="112"/>
        <v>15</v>
      </c>
      <c r="M167">
        <f t="shared" si="113"/>
        <v>1.4331182141619591E-2</v>
      </c>
      <c r="N167">
        <f t="shared" si="114"/>
        <v>-1.5707963250000001</v>
      </c>
      <c r="O167">
        <f t="shared" si="115"/>
        <v>28.284006151841073</v>
      </c>
      <c r="P167">
        <f t="shared" si="116"/>
        <v>1.5354332863137068</v>
      </c>
      <c r="Q167">
        <f t="shared" si="117"/>
        <v>12.832198561524606</v>
      </c>
      <c r="R167">
        <f t="shared" si="118"/>
        <v>1.4927882656432216</v>
      </c>
      <c r="S167">
        <f t="shared" si="119"/>
        <v>0.96824087313798457</v>
      </c>
      <c r="T167">
        <f t="shared" si="120"/>
        <v>-0.25270010803431486</v>
      </c>
      <c r="U167">
        <f t="shared" si="121"/>
        <v>0.89163583439902661</v>
      </c>
      <c r="V167">
        <f t="shared" si="122"/>
        <v>-0.4698508320403863</v>
      </c>
      <c r="X167">
        <f t="shared" si="139"/>
        <v>-8.6923001419347585</v>
      </c>
      <c r="Y167">
        <f t="shared" si="123"/>
        <v>-121.11278507237243</v>
      </c>
      <c r="Z167">
        <f t="shared" si="140"/>
        <v>58.887214927627568</v>
      </c>
      <c r="AC167">
        <v>1</v>
      </c>
      <c r="AD167">
        <f t="shared" si="124"/>
        <v>28.266322788742503</v>
      </c>
      <c r="AE167">
        <f t="shared" si="125"/>
        <v>-1.7715853747170371E-3</v>
      </c>
      <c r="AF167">
        <f t="shared" si="126"/>
        <v>3.4888957174575006E-3</v>
      </c>
      <c r="AG167">
        <f t="shared" si="141"/>
        <v>6325.337904591046</v>
      </c>
      <c r="AH167">
        <f t="shared" si="142"/>
        <v>-3498.4926780247015</v>
      </c>
      <c r="AJ167">
        <f t="shared" si="127"/>
        <v>20000</v>
      </c>
      <c r="AK167">
        <f t="shared" si="128"/>
        <v>5164.4013254820002</v>
      </c>
      <c r="AL167">
        <v>1</v>
      </c>
      <c r="AM167">
        <f t="shared" si="129"/>
        <v>12.7931747397741</v>
      </c>
      <c r="AN167">
        <f t="shared" si="143"/>
        <v>522.69104765822033</v>
      </c>
      <c r="AO167">
        <f t="shared" si="144"/>
        <v>-1522.4765821252049</v>
      </c>
      <c r="AQ167">
        <f t="shared" si="130"/>
        <v>0.56529112492933864</v>
      </c>
      <c r="AR167">
        <f t="shared" si="131"/>
        <v>-75.18371961560203</v>
      </c>
      <c r="AT167">
        <f t="shared" si="156"/>
        <v>-259454.03520220134</v>
      </c>
      <c r="AU167">
        <f t="shared" si="157"/>
        <v>-477540.09835423052</v>
      </c>
      <c r="AV167">
        <f t="shared" si="145"/>
        <v>-2.0684915440041687</v>
      </c>
      <c r="AW167">
        <f t="shared" si="146"/>
        <v>-107852.24702495863</v>
      </c>
      <c r="AX167">
        <f t="shared" si="147"/>
        <v>-48187.406462337356</v>
      </c>
      <c r="AY167">
        <f t="shared" si="155"/>
        <v>-2.7214105895322325</v>
      </c>
      <c r="BA167">
        <f t="shared" si="132"/>
        <v>4.6007125329469956</v>
      </c>
      <c r="BB167">
        <f t="shared" si="148"/>
        <v>13.256501960426837</v>
      </c>
      <c r="BC167">
        <f t="shared" si="149"/>
        <v>0.65291904552806379</v>
      </c>
      <c r="BD167">
        <f t="shared" si="133"/>
        <v>-142.59049428478531</v>
      </c>
      <c r="BF167">
        <f t="shared" si="134"/>
        <v>-8.4816969016399124</v>
      </c>
      <c r="BG167">
        <f t="shared" si="135"/>
        <v>-125.80847451630764</v>
      </c>
      <c r="BH167">
        <f t="shared" si="150"/>
        <v>54.191525483692359</v>
      </c>
      <c r="BI167">
        <f t="shared" si="151"/>
        <v>54.191525483692359</v>
      </c>
      <c r="BJ167">
        <f t="shared" si="136"/>
        <v>0</v>
      </c>
      <c r="BK167">
        <f t="shared" si="152"/>
        <v>0</v>
      </c>
      <c r="BM167">
        <f t="shared" si="153"/>
        <v>-21.738198862066746</v>
      </c>
      <c r="BN167">
        <f t="shared" si="137"/>
        <v>-163.21798023152232</v>
      </c>
      <c r="BQ167" s="66">
        <f t="shared" si="154"/>
        <v>30.158462760711974</v>
      </c>
      <c r="BR167" s="71"/>
      <c r="BS167" s="71"/>
      <c r="BT167" s="71">
        <v>3715.3519999999999</v>
      </c>
      <c r="BU167" s="71">
        <v>4.3437000000000001</v>
      </c>
      <c r="BV167" s="71">
        <v>-245.97</v>
      </c>
      <c r="BW167" s="75"/>
      <c r="BY167" s="71"/>
      <c r="BZ167" s="71"/>
      <c r="CA167" s="71"/>
      <c r="CC167" s="71"/>
    </row>
    <row r="168" spans="1:81" x14ac:dyDescent="0.15">
      <c r="A168">
        <f t="shared" si="158"/>
        <v>67000</v>
      </c>
      <c r="B168">
        <f t="shared" si="138"/>
        <v>67</v>
      </c>
      <c r="C168">
        <f t="shared" si="107"/>
        <v>1.0378807394040266</v>
      </c>
      <c r="D168">
        <f t="shared" si="108"/>
        <v>0.27100689256037369</v>
      </c>
      <c r="F168">
        <f t="shared" si="109"/>
        <v>5.1825543301058348E-3</v>
      </c>
      <c r="G168">
        <f t="shared" si="110"/>
        <v>2.3640915827043134E-2</v>
      </c>
      <c r="H168">
        <f t="shared" si="111"/>
        <v>-3.1179517341729572</v>
      </c>
      <c r="J168">
        <f t="shared" si="112"/>
        <v>15</v>
      </c>
      <c r="M168">
        <f t="shared" si="113"/>
        <v>1.4224233021159742E-2</v>
      </c>
      <c r="N168">
        <f t="shared" si="114"/>
        <v>-1.5707963250000001</v>
      </c>
      <c r="O168">
        <f t="shared" si="115"/>
        <v>28.49640301080251</v>
      </c>
      <c r="P168">
        <f t="shared" si="116"/>
        <v>1.535696972094365</v>
      </c>
      <c r="Q168">
        <f t="shared" si="117"/>
        <v>12.928097498515237</v>
      </c>
      <c r="R168">
        <f t="shared" si="118"/>
        <v>1.4933680827511679</v>
      </c>
      <c r="S168">
        <f t="shared" si="119"/>
        <v>0.96778441494977696</v>
      </c>
      <c r="T168">
        <f t="shared" si="120"/>
        <v>-0.25451939254846723</v>
      </c>
      <c r="U168">
        <f t="shared" si="121"/>
        <v>0.8902596318986209</v>
      </c>
      <c r="V168">
        <f t="shared" si="122"/>
        <v>-0.47288142295428631</v>
      </c>
      <c r="X168">
        <f t="shared" si="139"/>
        <v>-8.7713719695932397</v>
      </c>
      <c r="Y168">
        <f t="shared" si="123"/>
        <v>-121.24227719611095</v>
      </c>
      <c r="Z168">
        <f t="shared" si="140"/>
        <v>58.757722803889052</v>
      </c>
      <c r="AC168">
        <v>1</v>
      </c>
      <c r="AD168">
        <f t="shared" si="124"/>
        <v>28.478851531515005</v>
      </c>
      <c r="AE168">
        <f t="shared" si="125"/>
        <v>-1.7983259081021607E-3</v>
      </c>
      <c r="AF168">
        <f t="shared" si="126"/>
        <v>3.5151280160850007E-3</v>
      </c>
      <c r="AG168">
        <f t="shared" si="141"/>
        <v>6305.8271858754042</v>
      </c>
      <c r="AH168">
        <f t="shared" si="142"/>
        <v>-3510.5214785657699</v>
      </c>
      <c r="AJ168">
        <f t="shared" si="127"/>
        <v>20000</v>
      </c>
      <c r="AK168">
        <f t="shared" si="128"/>
        <v>5203.231410636</v>
      </c>
      <c r="AL168">
        <v>1</v>
      </c>
      <c r="AM168">
        <f t="shared" si="129"/>
        <v>12.889364023531799</v>
      </c>
      <c r="AN168">
        <f t="shared" si="143"/>
        <v>520.93204014214814</v>
      </c>
      <c r="AO168">
        <f t="shared" si="144"/>
        <v>-1511.2512862772276</v>
      </c>
      <c r="AQ168">
        <f t="shared" si="130"/>
        <v>0.55688589408030298</v>
      </c>
      <c r="AR168">
        <f t="shared" si="131"/>
        <v>-74.622709806760597</v>
      </c>
      <c r="AT168">
        <f t="shared" si="156"/>
        <v>-258452.99935509148</v>
      </c>
      <c r="AU168">
        <f t="shared" si="157"/>
        <v>-472512.87207544129</v>
      </c>
      <c r="AV168">
        <f t="shared" si="145"/>
        <v>-2.0713145564144653</v>
      </c>
      <c r="AW168">
        <f t="shared" si="146"/>
        <v>-106187.15507831896</v>
      </c>
      <c r="AX168">
        <f t="shared" si="147"/>
        <v>-47718.316296543439</v>
      </c>
      <c r="AY168">
        <f t="shared" si="155"/>
        <v>-2.7192549680779199</v>
      </c>
      <c r="BA168">
        <f t="shared" si="132"/>
        <v>4.626312661463972</v>
      </c>
      <c r="BB168">
        <f t="shared" si="148"/>
        <v>13.304699609590982</v>
      </c>
      <c r="BC168">
        <f t="shared" si="149"/>
        <v>0.64794041166345462</v>
      </c>
      <c r="BD168">
        <f t="shared" si="133"/>
        <v>-142.87574899329428</v>
      </c>
      <c r="BF168">
        <f t="shared" si="134"/>
        <v>-8.559648885902714</v>
      </c>
      <c r="BG168">
        <f t="shared" si="135"/>
        <v>-125.99367311062534</v>
      </c>
      <c r="BH168">
        <f t="shared" si="150"/>
        <v>54.006326889374662</v>
      </c>
      <c r="BI168">
        <f t="shared" si="151"/>
        <v>54.006326889374662</v>
      </c>
      <c r="BJ168">
        <f t="shared" si="136"/>
        <v>0</v>
      </c>
      <c r="BK168">
        <f t="shared" si="152"/>
        <v>0</v>
      </c>
      <c r="BM168">
        <f t="shared" si="153"/>
        <v>-21.864348495493697</v>
      </c>
      <c r="BN168">
        <f t="shared" si="137"/>
        <v>-163.11792411733106</v>
      </c>
      <c r="BQ168" s="66">
        <f t="shared" si="154"/>
        <v>30.206660409876118</v>
      </c>
      <c r="BR168" s="71"/>
      <c r="BS168" s="71"/>
      <c r="BT168" s="71">
        <v>3801.8939999999998</v>
      </c>
      <c r="BU168" s="71">
        <v>4.1437400000000002</v>
      </c>
      <c r="BV168" s="71">
        <v>-245.16899999999998</v>
      </c>
      <c r="BW168" s="75"/>
      <c r="BY168" s="71"/>
      <c r="BZ168" s="71"/>
      <c r="CA168" s="71"/>
      <c r="CC168" s="71"/>
    </row>
    <row r="169" spans="1:81" x14ac:dyDescent="0.15">
      <c r="A169">
        <f t="shared" si="158"/>
        <v>67500</v>
      </c>
      <c r="B169">
        <f t="shared" si="138"/>
        <v>67.5</v>
      </c>
      <c r="C169">
        <f t="shared" si="107"/>
        <v>1.0384377275197343</v>
      </c>
      <c r="D169">
        <f t="shared" si="108"/>
        <v>0.27293072022222775</v>
      </c>
      <c r="F169">
        <f t="shared" si="109"/>
        <v>5.1056843476242845E-3</v>
      </c>
      <c r="G169">
        <f t="shared" si="110"/>
        <v>2.3464038453960584E-2</v>
      </c>
      <c r="H169">
        <f t="shared" si="111"/>
        <v>-3.1181286115460396</v>
      </c>
      <c r="J169">
        <f t="shared" si="112"/>
        <v>15</v>
      </c>
      <c r="M169">
        <f t="shared" si="113"/>
        <v>1.4118868332114117E-2</v>
      </c>
      <c r="N169">
        <f t="shared" si="114"/>
        <v>-1.5707963250000001</v>
      </c>
      <c r="O169">
        <f t="shared" si="115"/>
        <v>28.708801821806741</v>
      </c>
      <c r="P169">
        <f t="shared" si="116"/>
        <v>1.5359567561942395</v>
      </c>
      <c r="Q169">
        <f t="shared" si="117"/>
        <v>13.024000717769379</v>
      </c>
      <c r="R169">
        <f t="shared" si="118"/>
        <v>1.4939393609941272</v>
      </c>
      <c r="S169">
        <f t="shared" si="119"/>
        <v>0.96732518981680204</v>
      </c>
      <c r="T169">
        <f t="shared" si="120"/>
        <v>-0.25633695652967409</v>
      </c>
      <c r="U169">
        <f t="shared" si="121"/>
        <v>0.88887954492368948</v>
      </c>
      <c r="V169">
        <f t="shared" si="122"/>
        <v>-0.4759026454568096</v>
      </c>
      <c r="X169">
        <f t="shared" si="139"/>
        <v>-8.8499908951006354</v>
      </c>
      <c r="Y169">
        <f t="shared" si="123"/>
        <v>-121.37180999641922</v>
      </c>
      <c r="Z169">
        <f t="shared" si="140"/>
        <v>58.628190003580784</v>
      </c>
      <c r="AC169">
        <v>1</v>
      </c>
      <c r="AD169">
        <f t="shared" si="124"/>
        <v>28.691380274287507</v>
      </c>
      <c r="AE169">
        <f t="shared" si="125"/>
        <v>-1.8252667451081463E-3</v>
      </c>
      <c r="AF169">
        <f t="shared" si="126"/>
        <v>3.5413603147125003E-3</v>
      </c>
      <c r="AG169">
        <f t="shared" si="141"/>
        <v>6286.2916610810726</v>
      </c>
      <c r="AH169">
        <f t="shared" si="142"/>
        <v>-3522.420203106225</v>
      </c>
      <c r="AJ169">
        <f t="shared" si="127"/>
        <v>20000</v>
      </c>
      <c r="AK169">
        <f t="shared" si="128"/>
        <v>5242.0614957899998</v>
      </c>
      <c r="AL169">
        <v>1</v>
      </c>
      <c r="AM169">
        <f t="shared" si="129"/>
        <v>12.9855533072895</v>
      </c>
      <c r="AN169">
        <f t="shared" si="143"/>
        <v>519.21166945909999</v>
      </c>
      <c r="AO169">
        <f t="shared" si="144"/>
        <v>-1500.1893157379186</v>
      </c>
      <c r="AQ169">
        <f t="shared" si="130"/>
        <v>0.54866673982223202</v>
      </c>
      <c r="AR169">
        <f t="shared" si="131"/>
        <v>-74.070009876001322</v>
      </c>
      <c r="AT169">
        <f t="shared" si="156"/>
        <v>-257456.62008024764</v>
      </c>
      <c r="AU169">
        <f t="shared" si="157"/>
        <v>-467558.32022882206</v>
      </c>
      <c r="AV169">
        <f t="shared" si="145"/>
        <v>-2.0741312709211979</v>
      </c>
      <c r="AW169">
        <f t="shared" si="146"/>
        <v>-104559.00998420228</v>
      </c>
      <c r="AX169">
        <f t="shared" si="147"/>
        <v>-47259.348165083211</v>
      </c>
      <c r="AY169">
        <f t="shared" si="155"/>
        <v>-2.7170872885554207</v>
      </c>
      <c r="BA169">
        <f t="shared" si="132"/>
        <v>4.651732345940033</v>
      </c>
      <c r="BB169">
        <f t="shared" si="148"/>
        <v>13.352294361775678</v>
      </c>
      <c r="BC169">
        <f t="shared" si="149"/>
        <v>0.64295601763422283</v>
      </c>
      <c r="BD169">
        <f t="shared" si="133"/>
        <v>-143.16133373492579</v>
      </c>
      <c r="BF169">
        <f t="shared" si="134"/>
        <v>-8.6371920628774781</v>
      </c>
      <c r="BG169">
        <f t="shared" si="135"/>
        <v>-126.17916497357669</v>
      </c>
      <c r="BH169">
        <f t="shared" si="150"/>
        <v>53.82083502642331</v>
      </c>
      <c r="BI169">
        <f t="shared" si="151"/>
        <v>53.82083502642331</v>
      </c>
      <c r="BJ169">
        <f t="shared" si="136"/>
        <v>0</v>
      </c>
      <c r="BK169">
        <f t="shared" si="152"/>
        <v>0</v>
      </c>
      <c r="BM169">
        <f t="shared" si="153"/>
        <v>-21.989486424653158</v>
      </c>
      <c r="BN169">
        <f t="shared" si="137"/>
        <v>-163.0178312386509</v>
      </c>
      <c r="BQ169" s="66">
        <f t="shared" si="154"/>
        <v>30.254255162060815</v>
      </c>
      <c r="BR169" s="71"/>
      <c r="BS169" s="71"/>
      <c r="BT169" s="71">
        <v>3890.451</v>
      </c>
      <c r="BU169" s="71">
        <v>3.9573</v>
      </c>
      <c r="BV169" s="71">
        <v>-244.768</v>
      </c>
      <c r="BW169" s="75"/>
      <c r="BY169" s="71"/>
      <c r="BZ169" s="71"/>
      <c r="CA169" s="71"/>
      <c r="CC169" s="71"/>
    </row>
    <row r="170" spans="1:81" x14ac:dyDescent="0.15">
      <c r="A170">
        <f t="shared" si="158"/>
        <v>68000</v>
      </c>
      <c r="B170">
        <f t="shared" si="138"/>
        <v>68</v>
      </c>
      <c r="C170">
        <f t="shared" si="107"/>
        <v>1.0389985548816636</v>
      </c>
      <c r="D170">
        <f t="shared" si="108"/>
        <v>0.27485247811509572</v>
      </c>
      <c r="F170">
        <f t="shared" si="109"/>
        <v>5.0305147246811344E-3</v>
      </c>
      <c r="G170">
        <f t="shared" si="110"/>
        <v>2.3289800847454824E-2</v>
      </c>
      <c r="H170">
        <f t="shared" si="111"/>
        <v>-3.1183028491525455</v>
      </c>
      <c r="J170">
        <f t="shared" si="112"/>
        <v>15</v>
      </c>
      <c r="M170">
        <f t="shared" si="113"/>
        <v>1.4015053123789747E-2</v>
      </c>
      <c r="N170">
        <f t="shared" si="114"/>
        <v>-1.5707963250000001</v>
      </c>
      <c r="O170">
        <f t="shared" si="115"/>
        <v>28.92120254184605</v>
      </c>
      <c r="P170">
        <f t="shared" si="116"/>
        <v>1.5362127245410844</v>
      </c>
      <c r="Q170">
        <f t="shared" si="117"/>
        <v>13.119908125380237</v>
      </c>
      <c r="R170">
        <f t="shared" si="118"/>
        <v>1.4945022872540916</v>
      </c>
      <c r="S170">
        <f t="shared" si="119"/>
        <v>0.96686321077188386</v>
      </c>
      <c r="T170">
        <f t="shared" si="120"/>
        <v>-0.25815279042580375</v>
      </c>
      <c r="U170">
        <f t="shared" si="121"/>
        <v>0.88749566691744164</v>
      </c>
      <c r="V170">
        <f t="shared" si="122"/>
        <v>-0.47891448802320263</v>
      </c>
      <c r="X170">
        <f t="shared" si="139"/>
        <v>-8.9281641379053696</v>
      </c>
      <c r="Y170">
        <f t="shared" si="123"/>
        <v>-121.50137074086625</v>
      </c>
      <c r="Z170">
        <f t="shared" si="140"/>
        <v>58.49862925913375</v>
      </c>
      <c r="AC170">
        <v>1</v>
      </c>
      <c r="AD170">
        <f t="shared" si="124"/>
        <v>28.903909017060002</v>
      </c>
      <c r="AE170">
        <f t="shared" si="125"/>
        <v>-1.8524078857349946E-3</v>
      </c>
      <c r="AF170">
        <f t="shared" si="126"/>
        <v>3.5675926133400004E-3</v>
      </c>
      <c r="AG170">
        <f t="shared" si="141"/>
        <v>6266.7329057562465</v>
      </c>
      <c r="AH170">
        <f t="shared" si="142"/>
        <v>-3534.1886865870752</v>
      </c>
      <c r="AJ170">
        <f t="shared" si="127"/>
        <v>20000</v>
      </c>
      <c r="AK170">
        <f t="shared" si="128"/>
        <v>5280.8915809440005</v>
      </c>
      <c r="AL170">
        <v>1</v>
      </c>
      <c r="AM170">
        <f t="shared" si="129"/>
        <v>13.081742591047199</v>
      </c>
      <c r="AN170">
        <f t="shared" si="143"/>
        <v>517.52881447329332</v>
      </c>
      <c r="AO170">
        <f t="shared" si="144"/>
        <v>-1489.2871534454434</v>
      </c>
      <c r="AQ170">
        <f t="shared" si="130"/>
        <v>0.54062820997999672</v>
      </c>
      <c r="AR170">
        <f t="shared" si="131"/>
        <v>-73.525436557279562</v>
      </c>
      <c r="AT170">
        <f t="shared" si="156"/>
        <v>-256464.79346385144</v>
      </c>
      <c r="AU170">
        <f t="shared" si="157"/>
        <v>-462674.95478695823</v>
      </c>
      <c r="AV170">
        <f t="shared" si="145"/>
        <v>-2.0769416084052206</v>
      </c>
      <c r="AW170">
        <f t="shared" si="146"/>
        <v>-102966.74004574363</v>
      </c>
      <c r="AX170">
        <f t="shared" si="147"/>
        <v>-46810.185942140291</v>
      </c>
      <c r="AY170">
        <f t="shared" si="155"/>
        <v>-2.7149078355265095</v>
      </c>
      <c r="BA170">
        <f t="shared" si="132"/>
        <v>4.676970826846822</v>
      </c>
      <c r="BB170">
        <f t="shared" si="148"/>
        <v>13.399293219085372</v>
      </c>
      <c r="BC170">
        <f t="shared" si="149"/>
        <v>0.63796622712128892</v>
      </c>
      <c r="BD170">
        <f t="shared" si="133"/>
        <v>-143.447227672298</v>
      </c>
      <c r="BF170">
        <f t="shared" si="134"/>
        <v>-8.7143342386592391</v>
      </c>
      <c r="BG170">
        <f t="shared" si="135"/>
        <v>-126.36493337381246</v>
      </c>
      <c r="BH170">
        <f t="shared" si="150"/>
        <v>53.635066626187538</v>
      </c>
      <c r="BI170">
        <f t="shared" si="151"/>
        <v>53.635066626187538</v>
      </c>
      <c r="BJ170">
        <f t="shared" si="136"/>
        <v>0</v>
      </c>
      <c r="BK170">
        <f t="shared" si="152"/>
        <v>0</v>
      </c>
      <c r="BM170">
        <f t="shared" si="153"/>
        <v>-22.113627457744613</v>
      </c>
      <c r="BN170">
        <f t="shared" si="137"/>
        <v>-162.91770570151448</v>
      </c>
      <c r="BQ170" s="66">
        <f t="shared" si="154"/>
        <v>30.301254019370511</v>
      </c>
      <c r="BR170" s="71"/>
      <c r="BS170" s="71"/>
      <c r="BT170" s="71">
        <v>3981.0720000000001</v>
      </c>
      <c r="BU170" s="71">
        <v>3.8980899999999998</v>
      </c>
      <c r="BV170" s="71">
        <v>-244.315</v>
      </c>
      <c r="BW170" s="75"/>
      <c r="BY170" s="71"/>
      <c r="BZ170" s="71"/>
      <c r="CA170" s="71"/>
      <c r="CC170" s="71"/>
    </row>
    <row r="171" spans="1:81" x14ac:dyDescent="0.15">
      <c r="A171">
        <f t="shared" si="158"/>
        <v>68500</v>
      </c>
      <c r="B171">
        <f t="shared" si="138"/>
        <v>68.5</v>
      </c>
      <c r="C171">
        <f t="shared" si="107"/>
        <v>1.0395632152761827</v>
      </c>
      <c r="D171">
        <f t="shared" si="108"/>
        <v>0.27677215540564359</v>
      </c>
      <c r="F171">
        <f t="shared" si="109"/>
        <v>4.9569956017819061E-3</v>
      </c>
      <c r="G171">
        <f t="shared" si="110"/>
        <v>2.3118144078144772E-2</v>
      </c>
      <c r="H171">
        <f t="shared" si="111"/>
        <v>-3.1184745059218555</v>
      </c>
      <c r="J171">
        <f t="shared" si="112"/>
        <v>15</v>
      </c>
      <c r="M171">
        <f t="shared" si="113"/>
        <v>1.3912753465951866E-2</v>
      </c>
      <c r="N171">
        <f t="shared" si="114"/>
        <v>-1.5707963250000001</v>
      </c>
      <c r="O171">
        <f t="shared" si="115"/>
        <v>29.133605129166558</v>
      </c>
      <c r="P171">
        <f t="shared" si="116"/>
        <v>1.5364649605588143</v>
      </c>
      <c r="Q171">
        <f t="shared" si="117"/>
        <v>13.215819630162899</v>
      </c>
      <c r="R171">
        <f t="shared" si="118"/>
        <v>1.4950570430095302</v>
      </c>
      <c r="S171">
        <f t="shared" si="119"/>
        <v>0.96639849089175278</v>
      </c>
      <c r="T171">
        <f t="shared" si="120"/>
        <v>-0.25996688474853646</v>
      </c>
      <c r="U171">
        <f t="shared" si="121"/>
        <v>0.88610809070245866</v>
      </c>
      <c r="V171">
        <f t="shared" si="122"/>
        <v>-0.48191693988085027</v>
      </c>
      <c r="X171">
        <f t="shared" si="139"/>
        <v>-9.0058987362221394</v>
      </c>
      <c r="Y171">
        <f t="shared" si="123"/>
        <v>-121.63094708790642</v>
      </c>
      <c r="Z171">
        <f t="shared" si="140"/>
        <v>58.369052912093579</v>
      </c>
      <c r="AC171">
        <v>1</v>
      </c>
      <c r="AD171">
        <f t="shared" si="124"/>
        <v>29.116437759832504</v>
      </c>
      <c r="AE171">
        <f t="shared" si="125"/>
        <v>-1.8797493299827048E-3</v>
      </c>
      <c r="AF171">
        <f t="shared" si="126"/>
        <v>3.5938249119675005E-3</v>
      </c>
      <c r="AG171">
        <f t="shared" si="141"/>
        <v>6247.1524791648008</v>
      </c>
      <c r="AH171">
        <f t="shared" si="142"/>
        <v>-3545.8267999020054</v>
      </c>
      <c r="AJ171">
        <f t="shared" si="127"/>
        <v>20000</v>
      </c>
      <c r="AK171">
        <f t="shared" si="128"/>
        <v>5319.7216660980002</v>
      </c>
      <c r="AL171">
        <v>1</v>
      </c>
      <c r="AM171">
        <f t="shared" si="129"/>
        <v>13.1779318748049</v>
      </c>
      <c r="AN171">
        <f t="shared" si="143"/>
        <v>515.88239434322054</v>
      </c>
      <c r="AO171">
        <f t="shared" si="144"/>
        <v>-1478.5413819681964</v>
      </c>
      <c r="AQ171">
        <f t="shared" si="130"/>
        <v>0.53276505061267976</v>
      </c>
      <c r="AR171">
        <f t="shared" si="131"/>
        <v>-72.988811933937129</v>
      </c>
      <c r="AT171">
        <f t="shared" si="156"/>
        <v>-255477.42094161423</v>
      </c>
      <c r="AU171">
        <f t="shared" si="157"/>
        <v>-457861.33001890231</v>
      </c>
      <c r="AV171">
        <f t="shared" si="145"/>
        <v>-2.079745492468132</v>
      </c>
      <c r="AW171">
        <f t="shared" si="146"/>
        <v>-101409.31199709889</v>
      </c>
      <c r="AX171">
        <f t="shared" si="147"/>
        <v>-46370.525975148616</v>
      </c>
      <c r="AY171">
        <f t="shared" si="155"/>
        <v>-2.7127168884795667</v>
      </c>
      <c r="BA171">
        <f t="shared" si="132"/>
        <v>4.7020273655803164</v>
      </c>
      <c r="BB171">
        <f t="shared" si="148"/>
        <v>13.445703047398748</v>
      </c>
      <c r="BC171">
        <f t="shared" si="149"/>
        <v>0.63297139601143471</v>
      </c>
      <c r="BD171">
        <f t="shared" si="133"/>
        <v>-143.73341041460031</v>
      </c>
      <c r="BF171">
        <f t="shared" si="134"/>
        <v>-8.7910830264985389</v>
      </c>
      <c r="BG171">
        <f t="shared" si="135"/>
        <v>-126.55096191763111</v>
      </c>
      <c r="BH171">
        <f t="shared" si="150"/>
        <v>53.449038082368887</v>
      </c>
      <c r="BI171">
        <f t="shared" si="151"/>
        <v>53.449038082368887</v>
      </c>
      <c r="BJ171">
        <f t="shared" si="136"/>
        <v>0</v>
      </c>
      <c r="BK171">
        <f t="shared" si="152"/>
        <v>0</v>
      </c>
      <c r="BM171">
        <f t="shared" si="153"/>
        <v>-22.236786073897285</v>
      </c>
      <c r="BN171">
        <f t="shared" si="137"/>
        <v>-162.81755150303081</v>
      </c>
      <c r="BQ171" s="66">
        <f t="shared" si="154"/>
        <v>30.347663847683886</v>
      </c>
      <c r="BR171" s="71"/>
      <c r="BS171" s="71"/>
      <c r="BT171" s="71">
        <v>4073.8029999999999</v>
      </c>
      <c r="BU171" s="71">
        <v>3.5600999999999998</v>
      </c>
      <c r="BV171" s="71">
        <v>-244.142</v>
      </c>
      <c r="BW171" s="75"/>
      <c r="BY171" s="71"/>
      <c r="BZ171" s="71"/>
      <c r="CA171" s="71"/>
      <c r="CC171" s="71"/>
    </row>
    <row r="172" spans="1:81" x14ac:dyDescent="0.15">
      <c r="A172">
        <f t="shared" si="158"/>
        <v>69000</v>
      </c>
      <c r="B172">
        <f t="shared" si="138"/>
        <v>69</v>
      </c>
      <c r="C172">
        <f t="shared" si="107"/>
        <v>1.0401317024607315</v>
      </c>
      <c r="D172">
        <f t="shared" si="108"/>
        <v>0.27868974134532021</v>
      </c>
      <c r="F172">
        <f t="shared" si="109"/>
        <v>4.885078936423458E-3</v>
      </c>
      <c r="G172">
        <f t="shared" si="110"/>
        <v>2.2949010965414442E-2</v>
      </c>
      <c r="H172">
        <f t="shared" si="111"/>
        <v>-3.1186436390345857</v>
      </c>
      <c r="J172">
        <f t="shared" si="112"/>
        <v>15</v>
      </c>
      <c r="M172">
        <f t="shared" si="113"/>
        <v>1.3811936411850766E-2</v>
      </c>
      <c r="N172">
        <f t="shared" si="114"/>
        <v>-1.5707963250000001</v>
      </c>
      <c r="O172">
        <f t="shared" si="115"/>
        <v>29.346009543222845</v>
      </c>
      <c r="P172">
        <f t="shared" si="116"/>
        <v>1.5367135452580098</v>
      </c>
      <c r="Q172">
        <f t="shared" si="117"/>
        <v>13.31173514355658</v>
      </c>
      <c r="R172">
        <f t="shared" si="118"/>
        <v>1.4956038045289117</v>
      </c>
      <c r="S172">
        <f t="shared" si="119"/>
        <v>0.96593104329612212</v>
      </c>
      <c r="T172">
        <f t="shared" si="120"/>
        <v>-0.2617792300735215</v>
      </c>
      <c r="U172">
        <f t="shared" si="121"/>
        <v>0.88471690847237772</v>
      </c>
      <c r="V172">
        <f t="shared" si="122"/>
        <v>-0.48490999100143628</v>
      </c>
      <c r="X172">
        <f t="shared" si="139"/>
        <v>-9.0832015528126622</v>
      </c>
      <c r="Y172">
        <f t="shared" si="123"/>
        <v>-121.76052707403497</v>
      </c>
      <c r="Z172">
        <f t="shared" si="140"/>
        <v>58.239472925965032</v>
      </c>
      <c r="AC172">
        <v>1</v>
      </c>
      <c r="AD172">
        <f t="shared" si="124"/>
        <v>29.328966502605006</v>
      </c>
      <c r="AE172">
        <f t="shared" si="125"/>
        <v>-1.9072910778512777E-3</v>
      </c>
      <c r="AF172">
        <f t="shared" si="126"/>
        <v>3.6200572105950001E-3</v>
      </c>
      <c r="AG172">
        <f t="shared" si="141"/>
        <v>6227.5519241822158</v>
      </c>
      <c r="AH172">
        <f t="shared" si="142"/>
        <v>-3557.3344487922282</v>
      </c>
      <c r="AJ172">
        <f t="shared" si="127"/>
        <v>20000</v>
      </c>
      <c r="AK172">
        <f t="shared" si="128"/>
        <v>5358.551751252</v>
      </c>
      <c r="AL172">
        <v>1</v>
      </c>
      <c r="AM172">
        <f t="shared" si="129"/>
        <v>13.274121158562599</v>
      </c>
      <c r="AN172">
        <f t="shared" si="143"/>
        <v>514.27136679954447</v>
      </c>
      <c r="AO172">
        <f t="shared" si="144"/>
        <v>-1467.9486800247412</v>
      </c>
      <c r="AQ172">
        <f t="shared" si="130"/>
        <v>0.52507219742714628</v>
      </c>
      <c r="AR172">
        <f t="shared" si="131"/>
        <v>-72.459963244946181</v>
      </c>
      <c r="AT172">
        <f t="shared" si="156"/>
        <v>-254494.40903604371</v>
      </c>
      <c r="AU172">
        <f t="shared" si="157"/>
        <v>-453116.04094824783</v>
      </c>
      <c r="AV172">
        <f t="shared" si="145"/>
        <v>-2.082542849353322</v>
      </c>
      <c r="AW172">
        <f t="shared" si="146"/>
        <v>-99885.729364208732</v>
      </c>
      <c r="AX172">
        <f t="shared" si="147"/>
        <v>-45940.076496629546</v>
      </c>
      <c r="AY172">
        <f t="shared" si="155"/>
        <v>-2.7105147220142052</v>
      </c>
      <c r="BA172">
        <f t="shared" si="132"/>
        <v>4.7269012445699587</v>
      </c>
      <c r="BB172">
        <f t="shared" si="148"/>
        <v>13.491530580493038</v>
      </c>
      <c r="BC172">
        <f t="shared" si="149"/>
        <v>0.62797187266088317</v>
      </c>
      <c r="BD172">
        <f t="shared" si="133"/>
        <v>-144.01986200249132</v>
      </c>
      <c r="BF172">
        <f t="shared" si="134"/>
        <v>-8.8674458524800244</v>
      </c>
      <c r="BG172">
        <f t="shared" si="135"/>
        <v>-126.73723453774593</v>
      </c>
      <c r="BH172">
        <f t="shared" si="150"/>
        <v>53.262765462254066</v>
      </c>
      <c r="BI172">
        <f t="shared" si="151"/>
        <v>53.262765462254066</v>
      </c>
      <c r="BJ172">
        <f t="shared" si="136"/>
        <v>0</v>
      </c>
      <c r="BK172">
        <f t="shared" si="152"/>
        <v>0</v>
      </c>
      <c r="BM172">
        <f t="shared" si="153"/>
        <v>-22.358976432973066</v>
      </c>
      <c r="BN172">
        <f t="shared" si="137"/>
        <v>-162.71737253525461</v>
      </c>
      <c r="BQ172" s="66">
        <f t="shared" si="154"/>
        <v>30.393491380778176</v>
      </c>
      <c r="BR172" s="71"/>
      <c r="BS172" s="71"/>
      <c r="BT172" s="71">
        <v>4168.6940000000004</v>
      </c>
      <c r="BU172" s="71">
        <v>3.4098799999999998</v>
      </c>
      <c r="BV172" s="71">
        <v>-243.709</v>
      </c>
      <c r="BW172" s="75"/>
      <c r="BY172" s="71"/>
      <c r="BZ172" s="71"/>
      <c r="CA172" s="71"/>
      <c r="CC172" s="71"/>
    </row>
    <row r="173" spans="1:81" x14ac:dyDescent="0.15">
      <c r="A173">
        <f t="shared" si="158"/>
        <v>69500</v>
      </c>
      <c r="B173">
        <f t="shared" si="138"/>
        <v>69.5</v>
      </c>
      <c r="C173">
        <f t="shared" si="107"/>
        <v>1.0407040101641287</v>
      </c>
      <c r="D173">
        <f t="shared" si="108"/>
        <v>0.28060522527050208</v>
      </c>
      <c r="F173">
        <f t="shared" si="109"/>
        <v>4.814718424093558E-3</v>
      </c>
      <c r="G173">
        <f t="shared" si="110"/>
        <v>2.2782346012752672E-2</v>
      </c>
      <c r="H173">
        <f t="shared" si="111"/>
        <v>-3.1188103039872477</v>
      </c>
      <c r="J173">
        <f t="shared" si="112"/>
        <v>15</v>
      </c>
      <c r="M173">
        <f t="shared" si="113"/>
        <v>1.3712569962844645E-2</v>
      </c>
      <c r="N173">
        <f t="shared" si="114"/>
        <v>-1.5707963250000001</v>
      </c>
      <c r="O173">
        <f t="shared" si="115"/>
        <v>29.55841574463458</v>
      </c>
      <c r="P173">
        <f t="shared" si="116"/>
        <v>1.5369585573225248</v>
      </c>
      <c r="Q173">
        <f t="shared" si="117"/>
        <v>13.407654579531027</v>
      </c>
      <c r="R173">
        <f t="shared" si="118"/>
        <v>1.4961427430559875</v>
      </c>
      <c r="S173">
        <f t="shared" si="119"/>
        <v>0.96546088114676432</v>
      </c>
      <c r="T173">
        <f t="shared" si="120"/>
        <v>-0.2635898170405292</v>
      </c>
      <c r="U173">
        <f t="shared" si="121"/>
        <v>0.88332221178389581</v>
      </c>
      <c r="V173">
        <f t="shared" si="122"/>
        <v>-0.48789363209305586</v>
      </c>
      <c r="X173">
        <f t="shared" si="139"/>
        <v>-9.1600792805421847</v>
      </c>
      <c r="Y173">
        <f t="shared" si="123"/>
        <v>-121.89009910146282</v>
      </c>
      <c r="Z173">
        <f t="shared" si="140"/>
        <v>58.109900898537177</v>
      </c>
      <c r="AC173">
        <v>1</v>
      </c>
      <c r="AD173">
        <f t="shared" si="124"/>
        <v>29.541495245377508</v>
      </c>
      <c r="AE173">
        <f t="shared" si="125"/>
        <v>-1.9350331293407129E-3</v>
      </c>
      <c r="AF173">
        <f t="shared" si="126"/>
        <v>3.6462895092225006E-3</v>
      </c>
      <c r="AG173">
        <f t="shared" si="141"/>
        <v>6207.9327671990577</v>
      </c>
      <c r="AH173">
        <f t="shared" si="142"/>
        <v>-3568.7115727748715</v>
      </c>
      <c r="AJ173">
        <f t="shared" si="127"/>
        <v>20000</v>
      </c>
      <c r="AK173">
        <f t="shared" si="128"/>
        <v>5397.3818364059998</v>
      </c>
      <c r="AL173">
        <v>1</v>
      </c>
      <c r="AM173">
        <f t="shared" si="129"/>
        <v>13.370310442320301</v>
      </c>
      <c r="AN173">
        <f t="shared" si="143"/>
        <v>512.69472650808575</v>
      </c>
      <c r="AO173">
        <f t="shared" si="144"/>
        <v>-1457.5058191476114</v>
      </c>
      <c r="AQ173">
        <f t="shared" si="130"/>
        <v>0.51754476762239932</v>
      </c>
      <c r="AR173">
        <f t="shared" si="131"/>
        <v>-71.938722699513505</v>
      </c>
      <c r="AT173">
        <f t="shared" si="156"/>
        <v>-253515.66910698067</v>
      </c>
      <c r="AU173">
        <f t="shared" si="157"/>
        <v>-448437.72187839967</v>
      </c>
      <c r="AV173">
        <f t="shared" si="145"/>
        <v>-2.085333607870032</v>
      </c>
      <c r="AW173">
        <f t="shared" si="146"/>
        <v>-98395.030906417058</v>
      </c>
      <c r="AX173">
        <f t="shared" si="147"/>
        <v>-45518.557068095324</v>
      </c>
      <c r="AY173">
        <f t="shared" si="155"/>
        <v>-2.7083016060167111</v>
      </c>
      <c r="BA173">
        <f t="shared" si="132"/>
        <v>4.7515917673837622</v>
      </c>
      <c r="BB173">
        <f t="shared" si="148"/>
        <v>13.536782424023301</v>
      </c>
      <c r="BC173">
        <f t="shared" si="149"/>
        <v>0.62296799814667914</v>
      </c>
      <c r="BD173">
        <f t="shared" si="133"/>
        <v>-144.30656289369591</v>
      </c>
      <c r="BF173">
        <f t="shared" si="134"/>
        <v>-8.9434299609822645</v>
      </c>
      <c r="BG173">
        <f t="shared" si="135"/>
        <v>-126.92373548257821</v>
      </c>
      <c r="BH173">
        <f t="shared" si="150"/>
        <v>53.076264517421791</v>
      </c>
      <c r="BI173">
        <f t="shared" si="151"/>
        <v>53.076264517421791</v>
      </c>
      <c r="BJ173">
        <f t="shared" si="136"/>
        <v>0</v>
      </c>
      <c r="BK173">
        <f t="shared" si="152"/>
        <v>0</v>
      </c>
      <c r="BM173">
        <f t="shared" si="153"/>
        <v>-22.480212385005565</v>
      </c>
      <c r="BN173">
        <f t="shared" si="137"/>
        <v>-162.61717258888231</v>
      </c>
      <c r="BQ173" s="66">
        <f t="shared" si="154"/>
        <v>30.438743224308439</v>
      </c>
      <c r="BR173" s="71"/>
      <c r="BS173" s="71"/>
      <c r="BT173" s="71">
        <v>4265.7950000000001</v>
      </c>
      <c r="BU173" s="71">
        <v>3.2244999999999999</v>
      </c>
      <c r="BV173" s="71">
        <v>-243.32400000000001</v>
      </c>
      <c r="BW173" s="75"/>
      <c r="BY173" s="71"/>
      <c r="BZ173" s="71"/>
      <c r="CA173" s="71"/>
      <c r="CC173" s="71"/>
    </row>
    <row r="174" spans="1:81" x14ac:dyDescent="0.15">
      <c r="A174">
        <f t="shared" si="158"/>
        <v>70000</v>
      </c>
      <c r="B174">
        <f t="shared" si="138"/>
        <v>70</v>
      </c>
      <c r="C174">
        <f t="shared" si="107"/>
        <v>1.0412801320868812</v>
      </c>
      <c r="D174">
        <f t="shared" si="108"/>
        <v>0.28251859660263023</v>
      </c>
      <c r="F174">
        <f t="shared" si="109"/>
        <v>4.7458694232546932E-3</v>
      </c>
      <c r="G174">
        <f t="shared" si="110"/>
        <v>2.2618095345951817E-2</v>
      </c>
      <c r="H174">
        <f t="shared" si="111"/>
        <v>-3.1189745546540486</v>
      </c>
      <c r="J174">
        <f t="shared" si="112"/>
        <v>15</v>
      </c>
      <c r="M174">
        <f t="shared" si="113"/>
        <v>1.3614623034538611E-2</v>
      </c>
      <c r="N174">
        <f t="shared" si="114"/>
        <v>-1.5707963250000001</v>
      </c>
      <c r="O174">
        <f t="shared" si="115"/>
        <v>29.77082369514498</v>
      </c>
      <c r="P174">
        <f t="shared" si="116"/>
        <v>1.5372000731923929</v>
      </c>
      <c r="Q174">
        <f t="shared" si="117"/>
        <v>13.503577854496893</v>
      </c>
      <c r="R174">
        <f t="shared" si="118"/>
        <v>1.4966740249872352</v>
      </c>
      <c r="S174">
        <f t="shared" si="119"/>
        <v>0.96498801764658848</v>
      </c>
      <c r="T174">
        <f t="shared" si="120"/>
        <v>-0.26539863635359773</v>
      </c>
      <c r="U174">
        <f t="shared" si="121"/>
        <v>0.88192409154909324</v>
      </c>
      <c r="V174">
        <f t="shared" si="122"/>
        <v>-0.49086785459228344</v>
      </c>
      <c r="X174">
        <f t="shared" si="139"/>
        <v>-9.2365384477221415</v>
      </c>
      <c r="Y174">
        <f t="shared" si="123"/>
        <v>-122.01965192628676</v>
      </c>
      <c r="Z174">
        <f t="shared" si="140"/>
        <v>57.980348073713245</v>
      </c>
      <c r="AC174">
        <v>1</v>
      </c>
      <c r="AD174">
        <f t="shared" si="124"/>
        <v>29.754023988150003</v>
      </c>
      <c r="AE174">
        <f t="shared" si="125"/>
        <v>-1.9629754844510102E-3</v>
      </c>
      <c r="AF174">
        <f t="shared" si="126"/>
        <v>3.6725218078500006E-3</v>
      </c>
      <c r="AG174">
        <f t="shared" si="141"/>
        <v>6188.2965180318579</v>
      </c>
      <c r="AH174">
        <f t="shared" si="142"/>
        <v>-3579.9581441034366</v>
      </c>
      <c r="AJ174">
        <f t="shared" si="127"/>
        <v>20000</v>
      </c>
      <c r="AK174">
        <f t="shared" si="128"/>
        <v>5436.2119215599996</v>
      </c>
      <c r="AL174">
        <v>1</v>
      </c>
      <c r="AM174">
        <f t="shared" si="129"/>
        <v>13.466499726077998</v>
      </c>
      <c r="AN174">
        <f t="shared" si="143"/>
        <v>511.1515035131448</v>
      </c>
      <c r="AO174">
        <f t="shared" si="144"/>
        <v>-1447.2096604841215</v>
      </c>
      <c r="AQ174">
        <f t="shared" si="130"/>
        <v>0.51017805214019696</v>
      </c>
      <c r="AR174">
        <f t="shared" si="131"/>
        <v>-71.424927299627569</v>
      </c>
      <c r="AT174">
        <f t="shared" si="156"/>
        <v>-252541.11711466213</v>
      </c>
      <c r="AU174">
        <f t="shared" si="157"/>
        <v>-443825.04498166603</v>
      </c>
      <c r="AV174">
        <f t="shared" si="145"/>
        <v>-2.0881176993202697</v>
      </c>
      <c r="AW174">
        <f t="shared" si="146"/>
        <v>-96936.289134426959</v>
      </c>
      <c r="AX174">
        <f t="shared" si="147"/>
        <v>-45105.698054044515</v>
      </c>
      <c r="AY174">
        <f t="shared" si="155"/>
        <v>-2.7060778058267507</v>
      </c>
      <c r="BA174">
        <f t="shared" si="132"/>
        <v>4.7760982588292</v>
      </c>
      <c r="BB174">
        <f t="shared" si="148"/>
        <v>13.581465059362422</v>
      </c>
      <c r="BC174">
        <f t="shared" si="149"/>
        <v>0.61796010650648103</v>
      </c>
      <c r="BD174">
        <f t="shared" si="133"/>
        <v>-144.59349394926596</v>
      </c>
      <c r="BF174">
        <f t="shared" si="134"/>
        <v>-9.0190424199290256</v>
      </c>
      <c r="BG174">
        <f t="shared" si="135"/>
        <v>-127.11044930605141</v>
      </c>
      <c r="BH174">
        <f t="shared" si="150"/>
        <v>52.889550693948593</v>
      </c>
      <c r="BI174">
        <f t="shared" si="151"/>
        <v>52.889550693948593</v>
      </c>
      <c r="BJ174">
        <f t="shared" si="136"/>
        <v>0</v>
      </c>
      <c r="BK174">
        <f t="shared" si="152"/>
        <v>0</v>
      </c>
      <c r="BM174">
        <f t="shared" si="153"/>
        <v>-22.600507479291455</v>
      </c>
      <c r="BN174">
        <f t="shared" si="137"/>
        <v>-162.51695535678547</v>
      </c>
      <c r="BQ174" s="66">
        <f t="shared" si="154"/>
        <v>30.483425859647561</v>
      </c>
      <c r="BR174" s="71"/>
      <c r="BS174" s="71"/>
      <c r="BT174" s="71">
        <v>4365.1580000000004</v>
      </c>
      <c r="BU174" s="71">
        <v>3.07782</v>
      </c>
      <c r="BV174" s="71">
        <v>-242.172</v>
      </c>
      <c r="BW174" s="75"/>
      <c r="BY174" s="71"/>
      <c r="BZ174" s="71"/>
      <c r="CA174" s="71"/>
      <c r="CC174" s="71"/>
    </row>
    <row r="175" spans="1:81" x14ac:dyDescent="0.15">
      <c r="A175">
        <f t="shared" si="158"/>
        <v>70500</v>
      </c>
      <c r="B175">
        <f t="shared" si="138"/>
        <v>70.5</v>
      </c>
      <c r="C175">
        <f t="shared" si="107"/>
        <v>1.0418600619014922</v>
      </c>
      <c r="D175">
        <f t="shared" si="108"/>
        <v>0.28442984484833972</v>
      </c>
      <c r="F175">
        <f t="shared" si="109"/>
        <v>4.6784888840837877E-3</v>
      </c>
      <c r="G175">
        <f t="shared" si="110"/>
        <v>2.2456206654018554E-2</v>
      </c>
      <c r="H175">
        <f t="shared" si="111"/>
        <v>-3.1191364433459818</v>
      </c>
      <c r="J175">
        <f t="shared" si="112"/>
        <v>15</v>
      </c>
      <c r="M175">
        <f t="shared" si="113"/>
        <v>1.3518065424364577E-2</v>
      </c>
      <c r="N175">
        <f t="shared" si="114"/>
        <v>-1.5707963250000001</v>
      </c>
      <c r="O175">
        <f t="shared" si="115"/>
        <v>29.983233357581014</v>
      </c>
      <c r="P175">
        <f t="shared" si="116"/>
        <v>1.5374381671432156</v>
      </c>
      <c r="Q175">
        <f t="shared" si="117"/>
        <v>13.599504887219908</v>
      </c>
      <c r="R175">
        <f t="shared" si="118"/>
        <v>1.4971978120418525</v>
      </c>
      <c r="S175">
        <f t="shared" si="119"/>
        <v>0.96451246603872021</v>
      </c>
      <c r="T175">
        <f t="shared" si="120"/>
        <v>-0.26720567878117457</v>
      </c>
      <c r="U175">
        <f t="shared" si="121"/>
        <v>0.88052263802806885</v>
      </c>
      <c r="V175">
        <f t="shared" si="122"/>
        <v>-0.49383265065619958</v>
      </c>
      <c r="X175">
        <f t="shared" si="139"/>
        <v>-9.3125854232488372</v>
      </c>
      <c r="Y175">
        <f t="shared" si="123"/>
        <v>-122.14917464713021</v>
      </c>
      <c r="Z175">
        <f t="shared" si="140"/>
        <v>57.850825352869791</v>
      </c>
      <c r="AC175">
        <v>1</v>
      </c>
      <c r="AD175">
        <f t="shared" si="124"/>
        <v>29.966552730922505</v>
      </c>
      <c r="AE175">
        <f t="shared" si="125"/>
        <v>-1.9911181431821702E-3</v>
      </c>
      <c r="AF175">
        <f t="shared" si="126"/>
        <v>3.6987541064775003E-3</v>
      </c>
      <c r="AG175">
        <f t="shared" si="141"/>
        <v>6168.6446698412747</v>
      </c>
      <c r="AH175">
        <f t="shared" si="142"/>
        <v>-3591.0741667589541</v>
      </c>
      <c r="AJ175">
        <f t="shared" si="127"/>
        <v>20000</v>
      </c>
      <c r="AK175">
        <f t="shared" si="128"/>
        <v>5475.0420067140003</v>
      </c>
      <c r="AL175">
        <v>1</v>
      </c>
      <c r="AM175">
        <f t="shared" si="129"/>
        <v>13.562689009835701</v>
      </c>
      <c r="AN175">
        <f t="shared" si="143"/>
        <v>509.64076175668737</v>
      </c>
      <c r="AO175">
        <f t="shared" si="144"/>
        <v>-1437.0571517277178</v>
      </c>
      <c r="AQ175">
        <f t="shared" si="130"/>
        <v>0.50296750829896386</v>
      </c>
      <c r="AR175">
        <f t="shared" si="131"/>
        <v>-70.918418670153912</v>
      </c>
      <c r="AT175">
        <f t="shared" si="156"/>
        <v>-251570.67339461384</v>
      </c>
      <c r="AU175">
        <f t="shared" si="157"/>
        <v>-439276.71894898842</v>
      </c>
      <c r="AV175">
        <f t="shared" si="145"/>
        <v>-2.0908950574284573</v>
      </c>
      <c r="AW175">
        <f t="shared" si="146"/>
        <v>-95508.608900358973</v>
      </c>
      <c r="AX175">
        <f t="shared" si="147"/>
        <v>-44701.240124209027</v>
      </c>
      <c r="AY175">
        <f t="shared" si="155"/>
        <v>-2.7038435823957871</v>
      </c>
      <c r="BA175">
        <f t="shared" si="132"/>
        <v>4.8004200650496314</v>
      </c>
      <c r="BB175">
        <f t="shared" si="148"/>
        <v>13.625584847307277</v>
      </c>
      <c r="BC175">
        <f t="shared" si="149"/>
        <v>0.61294852496732988</v>
      </c>
      <c r="BD175">
        <f t="shared" si="133"/>
        <v>-144.88063642047311</v>
      </c>
      <c r="BF175">
        <f t="shared" si="134"/>
        <v>-9.094290125842047</v>
      </c>
      <c r="BG175">
        <f t="shared" si="135"/>
        <v>-127.29736085786176</v>
      </c>
      <c r="BH175">
        <f t="shared" si="150"/>
        <v>52.702639142138239</v>
      </c>
      <c r="BI175">
        <f t="shared" si="151"/>
        <v>52.702639142138239</v>
      </c>
      <c r="BJ175">
        <f t="shared" si="136"/>
        <v>0</v>
      </c>
      <c r="BK175">
        <f t="shared" si="152"/>
        <v>0</v>
      </c>
      <c r="BM175">
        <f t="shared" si="153"/>
        <v>-22.71987497314932</v>
      </c>
      <c r="BN175">
        <f t="shared" si="137"/>
        <v>-162.41672443738867</v>
      </c>
      <c r="BQ175" s="66">
        <f t="shared" si="154"/>
        <v>30.527545647592412</v>
      </c>
      <c r="BR175" s="71"/>
      <c r="BS175" s="71"/>
      <c r="BT175" s="71">
        <v>4466.8360000000002</v>
      </c>
      <c r="BU175" s="71">
        <v>2.9233199999999999</v>
      </c>
      <c r="BV175" s="71">
        <v>-240.90300000000002</v>
      </c>
      <c r="BW175" s="75"/>
      <c r="BY175" s="71"/>
      <c r="BZ175" s="71"/>
      <c r="CA175" s="71"/>
      <c r="CC175" s="71"/>
    </row>
    <row r="176" spans="1:81" x14ac:dyDescent="0.15">
      <c r="A176">
        <f t="shared" si="158"/>
        <v>71000</v>
      </c>
      <c r="B176">
        <f t="shared" si="138"/>
        <v>71</v>
      </c>
      <c r="C176">
        <f t="shared" si="107"/>
        <v>1.0424437932527699</v>
      </c>
      <c r="D176">
        <f t="shared" si="108"/>
        <v>0.28633895959958183</v>
      </c>
      <c r="F176">
        <f t="shared" si="109"/>
        <v>4.6125352807541492E-3</v>
      </c>
      <c r="G176">
        <f t="shared" si="110"/>
        <v>2.2296629132658414E-2</v>
      </c>
      <c r="H176">
        <f t="shared" si="111"/>
        <v>-3.1192960208673419</v>
      </c>
      <c r="J176">
        <f t="shared" si="112"/>
        <v>15</v>
      </c>
      <c r="M176">
        <f t="shared" si="113"/>
        <v>1.3422867780531025E-2</v>
      </c>
      <c r="N176">
        <f t="shared" si="114"/>
        <v>-1.5707963250000001</v>
      </c>
      <c r="O176">
        <f t="shared" si="115"/>
        <v>30.195644695815339</v>
      </c>
      <c r="P176">
        <f t="shared" si="116"/>
        <v>1.537672911362203</v>
      </c>
      <c r="Q176">
        <f t="shared" si="117"/>
        <v>13.695435598738618</v>
      </c>
      <c r="R176">
        <f t="shared" si="118"/>
        <v>1.4977142614246568</v>
      </c>
      <c r="S176">
        <f t="shared" si="119"/>
        <v>0.96403423960558154</v>
      </c>
      <c r="T176">
        <f t="shared" si="120"/>
        <v>-0.26901093515625307</v>
      </c>
      <c r="U176">
        <f t="shared" si="121"/>
        <v>0.87911794082188643</v>
      </c>
      <c r="V176">
        <f t="shared" si="122"/>
        <v>-0.49678801315438026</v>
      </c>
      <c r="X176">
        <f t="shared" si="139"/>
        <v>-9.3882264215474045</v>
      </c>
      <c r="Y176">
        <f t="shared" si="123"/>
        <v>-122.27865669423309</v>
      </c>
      <c r="Z176">
        <f t="shared" si="140"/>
        <v>57.721343305766908</v>
      </c>
      <c r="AC176">
        <v>1</v>
      </c>
      <c r="AD176">
        <f t="shared" si="124"/>
        <v>30.179081473695003</v>
      </c>
      <c r="AE176">
        <f t="shared" si="125"/>
        <v>-2.0194611055341927E-3</v>
      </c>
      <c r="AF176">
        <f t="shared" si="126"/>
        <v>3.7249864051050003E-3</v>
      </c>
      <c r="AG176">
        <f t="shared" si="141"/>
        <v>6148.9786990574221</v>
      </c>
      <c r="AH176">
        <f t="shared" si="142"/>
        <v>-3602.0596754705434</v>
      </c>
      <c r="AJ176">
        <f t="shared" si="127"/>
        <v>20000</v>
      </c>
      <c r="AK176">
        <f t="shared" si="128"/>
        <v>5513.8720918680001</v>
      </c>
      <c r="AL176">
        <v>1</v>
      </c>
      <c r="AM176">
        <f t="shared" si="129"/>
        <v>13.6588782935934</v>
      </c>
      <c r="AN176">
        <f t="shared" si="143"/>
        <v>508.16159766921248</v>
      </c>
      <c r="AO176">
        <f t="shared" si="144"/>
        <v>-1427.0453241737496</v>
      </c>
      <c r="AQ176">
        <f t="shared" si="130"/>
        <v>0.49590875278948676</v>
      </c>
      <c r="AR176">
        <f t="shared" si="131"/>
        <v>-70.419042896107115</v>
      </c>
      <c r="AT176">
        <f t="shared" si="156"/>
        <v>-250604.2624437192</v>
      </c>
      <c r="AU176">
        <f t="shared" si="157"/>
        <v>-434791.48769730941</v>
      </c>
      <c r="AV176">
        <f t="shared" si="145"/>
        <v>-2.0936656182736582</v>
      </c>
      <c r="AW176">
        <f t="shared" si="146"/>
        <v>-94111.126055939196</v>
      </c>
      <c r="AX176">
        <f t="shared" si="147"/>
        <v>-44304.933782338689</v>
      </c>
      <c r="AY176">
        <f t="shared" si="155"/>
        <v>-2.701599192437623</v>
      </c>
      <c r="BA176">
        <f t="shared" si="132"/>
        <v>4.8245565536160777</v>
      </c>
      <c r="BB176">
        <f t="shared" si="148"/>
        <v>13.66914803165626</v>
      </c>
      <c r="BC176">
        <f t="shared" si="149"/>
        <v>0.60793357416396487</v>
      </c>
      <c r="BD176">
        <f t="shared" si="133"/>
        <v>-145.16797193630001</v>
      </c>
      <c r="BF176">
        <f t="shared" si="134"/>
        <v>-9.1691798087044667</v>
      </c>
      <c r="BG176">
        <f t="shared" si="135"/>
        <v>-127.48445527420084</v>
      </c>
      <c r="BH176">
        <f t="shared" si="150"/>
        <v>52.51554472579916</v>
      </c>
      <c r="BI176">
        <f t="shared" si="151"/>
        <v>52.51554472579916</v>
      </c>
      <c r="BJ176">
        <f t="shared" si="136"/>
        <v>0</v>
      </c>
      <c r="BK176">
        <f t="shared" si="152"/>
        <v>0</v>
      </c>
      <c r="BM176">
        <f t="shared" si="153"/>
        <v>-22.838327840360723</v>
      </c>
      <c r="BN176">
        <f t="shared" si="137"/>
        <v>-162.31648333790088</v>
      </c>
      <c r="BQ176" s="66">
        <f t="shared" si="154"/>
        <v>30.571108831941395</v>
      </c>
      <c r="BR176" s="71"/>
      <c r="BS176" s="71"/>
      <c r="BT176" s="71">
        <v>4570.8819999999996</v>
      </c>
      <c r="BU176" s="71">
        <v>2.7266900000000001</v>
      </c>
      <c r="BV176" s="71">
        <v>-241.25200000000001</v>
      </c>
      <c r="BW176" s="75"/>
      <c r="BY176" s="71"/>
      <c r="BZ176" s="71"/>
      <c r="CA176" s="71"/>
      <c r="CC176" s="71"/>
    </row>
    <row r="177" spans="1:81" x14ac:dyDescent="0.15">
      <c r="A177">
        <f t="shared" si="158"/>
        <v>71500</v>
      </c>
      <c r="B177">
        <f t="shared" si="138"/>
        <v>71.5</v>
      </c>
      <c r="C177">
        <f t="shared" si="107"/>
        <v>1.0430313197581371</v>
      </c>
      <c r="D177">
        <f t="shared" si="108"/>
        <v>0.28824593053373881</v>
      </c>
      <c r="F177">
        <f t="shared" si="109"/>
        <v>4.5479685470595612E-3</v>
      </c>
      <c r="G177">
        <f t="shared" si="110"/>
        <v>2.2139313430203766E-2</v>
      </c>
      <c r="H177">
        <f t="shared" si="111"/>
        <v>-3.1194533365697965</v>
      </c>
      <c r="J177">
        <f t="shared" si="112"/>
        <v>15</v>
      </c>
      <c r="M177">
        <f t="shared" si="113"/>
        <v>1.3329001572275564E-2</v>
      </c>
      <c r="N177">
        <f t="shared" si="114"/>
        <v>-1.5707963250000001</v>
      </c>
      <c r="O177">
        <f t="shared" si="115"/>
        <v>30.408057674729765</v>
      </c>
      <c r="P177">
        <f t="shared" si="116"/>
        <v>1.537904376021036</v>
      </c>
      <c r="Q177">
        <f t="shared" si="117"/>
        <v>13.791369912285564</v>
      </c>
      <c r="R177">
        <f t="shared" si="118"/>
        <v>1.4982235259822381</v>
      </c>
      <c r="S177">
        <f t="shared" si="119"/>
        <v>0.96355335166797418</v>
      </c>
      <c r="T177">
        <f t="shared" si="120"/>
        <v>-0.2708143963765034</v>
      </c>
      <c r="U177">
        <f t="shared" si="121"/>
        <v>0.87771008886583046</v>
      </c>
      <c r="V177">
        <f t="shared" si="122"/>
        <v>-0.49973393566085211</v>
      </c>
      <c r="X177">
        <f t="shared" si="139"/>
        <v>-9.4634675073298737</v>
      </c>
      <c r="Y177">
        <f t="shared" si="123"/>
        <v>-122.4080878189682</v>
      </c>
      <c r="Z177">
        <f t="shared" si="140"/>
        <v>57.591912181031802</v>
      </c>
      <c r="AC177">
        <v>1</v>
      </c>
      <c r="AD177">
        <f t="shared" si="124"/>
        <v>30.391610216467505</v>
      </c>
      <c r="AE177">
        <f t="shared" si="125"/>
        <v>-2.0480043715070777E-3</v>
      </c>
      <c r="AF177">
        <f t="shared" si="126"/>
        <v>3.7512187037325004E-3</v>
      </c>
      <c r="AG177">
        <f t="shared" si="141"/>
        <v>6129.3000653122508</v>
      </c>
      <c r="AH177">
        <f t="shared" si="142"/>
        <v>-3612.914734764172</v>
      </c>
      <c r="AJ177">
        <f t="shared" si="127"/>
        <v>20000</v>
      </c>
      <c r="AK177">
        <f t="shared" si="128"/>
        <v>5552.7021770220008</v>
      </c>
      <c r="AL177">
        <v>1</v>
      </c>
      <c r="AM177">
        <f t="shared" si="129"/>
        <v>13.755067577351101</v>
      </c>
      <c r="AN177">
        <f t="shared" si="143"/>
        <v>506.71313882836444</v>
      </c>
      <c r="AO177">
        <f t="shared" si="144"/>
        <v>-1417.1712898938429</v>
      </c>
      <c r="AQ177">
        <f t="shared" si="130"/>
        <v>0.48899755501222492</v>
      </c>
      <c r="AR177">
        <f t="shared" si="131"/>
        <v>-69.926650366748163</v>
      </c>
      <c r="AT177">
        <f t="shared" si="156"/>
        <v>-249641.81271685296</v>
      </c>
      <c r="AU177">
        <f t="shared" si="157"/>
        <v>-430368.1291317438</v>
      </c>
      <c r="AV177">
        <f t="shared" si="145"/>
        <v>-2.0964293202242761</v>
      </c>
      <c r="AW177">
        <f t="shared" si="146"/>
        <v>-92743.006175087081</v>
      </c>
      <c r="AX177">
        <f t="shared" si="147"/>
        <v>-43916.538919923289</v>
      </c>
      <c r="AY177">
        <f t="shared" si="155"/>
        <v>-2.6993448885714493</v>
      </c>
      <c r="BA177">
        <f t="shared" si="132"/>
        <v>4.8485071136142013</v>
      </c>
      <c r="BB177">
        <f t="shared" si="148"/>
        <v>13.712160742663283</v>
      </c>
      <c r="BC177">
        <f t="shared" si="149"/>
        <v>0.60291556834717319</v>
      </c>
      <c r="BD177">
        <f t="shared" si="133"/>
        <v>-145.45548249150278</v>
      </c>
      <c r="BF177">
        <f t="shared" si="134"/>
        <v>-9.2437180366437417</v>
      </c>
      <c r="BG177">
        <f t="shared" si="135"/>
        <v>-127.67171796890955</v>
      </c>
      <c r="BH177">
        <f t="shared" si="150"/>
        <v>52.328282031090453</v>
      </c>
      <c r="BI177">
        <f t="shared" si="151"/>
        <v>52.328282031090453</v>
      </c>
      <c r="BJ177">
        <f t="shared" si="136"/>
        <v>0</v>
      </c>
      <c r="BK177">
        <f t="shared" si="152"/>
        <v>0</v>
      </c>
      <c r="BM177">
        <f t="shared" si="153"/>
        <v>-22.955878779307021</v>
      </c>
      <c r="BN177">
        <f t="shared" si="137"/>
        <v>-162.21623547740677</v>
      </c>
      <c r="BQ177" s="66">
        <f t="shared" si="154"/>
        <v>30.614121542948418</v>
      </c>
      <c r="BR177" s="71"/>
      <c r="BS177" s="71"/>
      <c r="BT177" s="71">
        <v>4677.3509999999997</v>
      </c>
      <c r="BU177" s="71">
        <v>2.54392</v>
      </c>
      <c r="BV177" s="71">
        <v>-240.63800000000001</v>
      </c>
      <c r="BW177" s="75"/>
      <c r="BY177" s="71"/>
      <c r="BZ177" s="71"/>
      <c r="CA177" s="71"/>
      <c r="CC177" s="71"/>
    </row>
    <row r="178" spans="1:81" x14ac:dyDescent="0.15">
      <c r="A178">
        <f t="shared" si="158"/>
        <v>72000</v>
      </c>
      <c r="B178">
        <f t="shared" si="138"/>
        <v>72</v>
      </c>
      <c r="C178">
        <f t="shared" si="107"/>
        <v>1.0436226350079389</v>
      </c>
      <c r="D178">
        <f t="shared" si="108"/>
        <v>0.29015074741373093</v>
      </c>
      <c r="F178">
        <f t="shared" si="109"/>
        <v>4.4847500151930621E-3</v>
      </c>
      <c r="G178">
        <f t="shared" si="110"/>
        <v>2.1984211595862439E-2</v>
      </c>
      <c r="H178">
        <f t="shared" si="111"/>
        <v>-3.1196084384041378</v>
      </c>
      <c r="J178">
        <f t="shared" si="112"/>
        <v>15</v>
      </c>
      <c r="M178">
        <f t="shared" si="113"/>
        <v>1.3236439061356981E-2</v>
      </c>
      <c r="N178">
        <f t="shared" si="114"/>
        <v>-1.5707963250000001</v>
      </c>
      <c r="O178">
        <f t="shared" si="115"/>
        <v>30.620472260180307</v>
      </c>
      <c r="P178">
        <f t="shared" si="116"/>
        <v>1.5381326293456956</v>
      </c>
      <c r="Q178">
        <f t="shared" si="117"/>
        <v>13.887307753211694</v>
      </c>
      <c r="R178">
        <f t="shared" si="118"/>
        <v>1.4987257543526857</v>
      </c>
      <c r="S178">
        <f t="shared" si="119"/>
        <v>0.96306981558416138</v>
      </c>
      <c r="T178">
        <f t="shared" si="120"/>
        <v>-0.27261605340439832</v>
      </c>
      <c r="U178">
        <f t="shared" si="121"/>
        <v>0.87629917042296179</v>
      </c>
      <c r="V178">
        <f t="shared" si="122"/>
        <v>-0.50267041244601696</v>
      </c>
      <c r="X178">
        <f t="shared" si="139"/>
        <v>-9.5383146001757453</v>
      </c>
      <c r="Y178">
        <f t="shared" si="123"/>
        <v>-122.53745808376502</v>
      </c>
      <c r="Z178">
        <f t="shared" si="140"/>
        <v>57.462541916234983</v>
      </c>
      <c r="AC178">
        <v>1</v>
      </c>
      <c r="AD178">
        <f t="shared" si="124"/>
        <v>30.604138959240004</v>
      </c>
      <c r="AE178">
        <f t="shared" si="125"/>
        <v>-2.0767479411008243E-3</v>
      </c>
      <c r="AF178">
        <f t="shared" si="126"/>
        <v>3.77745100236E-3</v>
      </c>
      <c r="AG178">
        <f t="shared" si="141"/>
        <v>6109.6102113788429</v>
      </c>
      <c r="AH178">
        <f t="shared" si="142"/>
        <v>-3623.6394380384531</v>
      </c>
      <c r="AJ178">
        <f t="shared" si="127"/>
        <v>20000</v>
      </c>
      <c r="AK178">
        <f t="shared" si="128"/>
        <v>5591.5322621759997</v>
      </c>
      <c r="AL178">
        <v>1</v>
      </c>
      <c r="AM178">
        <f t="shared" si="129"/>
        <v>13.8512568611088</v>
      </c>
      <c r="AN178">
        <f t="shared" si="143"/>
        <v>505.29454268160293</v>
      </c>
      <c r="AO178">
        <f t="shared" si="144"/>
        <v>-1407.4322390233863</v>
      </c>
      <c r="AQ178">
        <f t="shared" si="130"/>
        <v>0.48222983073732939</v>
      </c>
      <c r="AR178">
        <f t="shared" si="131"/>
        <v>-69.441095626175439</v>
      </c>
      <c r="AT178">
        <f t="shared" si="156"/>
        <v>-248683.25643350458</v>
      </c>
      <c r="AU178">
        <f t="shared" si="157"/>
        <v>-426005.45395987452</v>
      </c>
      <c r="AV178">
        <f t="shared" si="145"/>
        <v>-2.0991861038750987</v>
      </c>
      <c r="AW178">
        <f t="shared" si="146"/>
        <v>-91403.443337402103</v>
      </c>
      <c r="AX178">
        <f t="shared" si="147"/>
        <v>-43535.824393360657</v>
      </c>
      <c r="AY178">
        <f t="shared" si="155"/>
        <v>-2.6970809194577856</v>
      </c>
      <c r="BA178">
        <f t="shared" si="132"/>
        <v>4.872271155726243</v>
      </c>
      <c r="BB178">
        <f t="shared" si="148"/>
        <v>13.75462900037283</v>
      </c>
      <c r="BC178">
        <f t="shared" si="149"/>
        <v>0.59789481558268687</v>
      </c>
      <c r="BD178">
        <f t="shared" si="133"/>
        <v>-145.7431504352152</v>
      </c>
      <c r="BF178">
        <f t="shared" si="134"/>
        <v>-9.3179112204424257</v>
      </c>
      <c r="BG178">
        <f t="shared" si="135"/>
        <v>-127.85913462504107</v>
      </c>
      <c r="BH178">
        <f t="shared" si="150"/>
        <v>52.140865374958935</v>
      </c>
      <c r="BI178">
        <f t="shared" si="151"/>
        <v>52.140865374958935</v>
      </c>
      <c r="BJ178">
        <f t="shared" si="136"/>
        <v>0</v>
      </c>
      <c r="BK178">
        <f t="shared" si="152"/>
        <v>0</v>
      </c>
      <c r="BM178">
        <f t="shared" si="153"/>
        <v>-23.072540220815259</v>
      </c>
      <c r="BN178">
        <f t="shared" si="137"/>
        <v>-162.11598418982589</v>
      </c>
      <c r="BQ178" s="66">
        <f t="shared" si="154"/>
        <v>30.656589800657969</v>
      </c>
      <c r="BR178" s="71"/>
      <c r="BS178" s="71"/>
      <c r="BT178" s="71">
        <v>4786.3010000000004</v>
      </c>
      <c r="BU178" s="71">
        <v>2.5307499999999998</v>
      </c>
      <c r="BV178" s="71">
        <v>-240.03100000000001</v>
      </c>
      <c r="BW178" s="75"/>
      <c r="BY178" s="71"/>
      <c r="BZ178" s="71"/>
      <c r="CA178" s="71"/>
      <c r="CC178" s="71"/>
    </row>
    <row r="179" spans="1:81" x14ac:dyDescent="0.15">
      <c r="A179">
        <f t="shared" si="158"/>
        <v>72500</v>
      </c>
      <c r="B179">
        <f t="shared" si="138"/>
        <v>72.5</v>
      </c>
      <c r="C179">
        <f t="shared" si="107"/>
        <v>1.0442177325657518</v>
      </c>
      <c r="D179">
        <f t="shared" si="108"/>
        <v>0.29205340008811659</v>
      </c>
      <c r="F179">
        <f t="shared" si="109"/>
        <v>4.4228423575047417E-3</v>
      </c>
      <c r="G179">
        <f t="shared" si="110"/>
        <v>2.1831277030171198E-2</v>
      </c>
      <c r="H179">
        <f t="shared" si="111"/>
        <v>-3.1197613729698288</v>
      </c>
      <c r="J179">
        <f t="shared" si="112"/>
        <v>15</v>
      </c>
      <c r="M179">
        <f t="shared" si="113"/>
        <v>1.3145153274726935E-2</v>
      </c>
      <c r="N179">
        <f t="shared" si="114"/>
        <v>-1.5707963250000001</v>
      </c>
      <c r="O179">
        <f t="shared" si="115"/>
        <v>30.832888418963613</v>
      </c>
      <c r="P179">
        <f t="shared" si="116"/>
        <v>1.5383577376834141</v>
      </c>
      <c r="Q179">
        <f t="shared" si="117"/>
        <v>13.983249048913899</v>
      </c>
      <c r="R179">
        <f t="shared" si="118"/>
        <v>1.4992210911091952</v>
      </c>
      <c r="S179">
        <f t="shared" si="119"/>
        <v>0.96258364474895575</v>
      </c>
      <c r="T179">
        <f t="shared" si="120"/>
        <v>-0.27441589726733456</v>
      </c>
      <c r="U179">
        <f t="shared" si="121"/>
        <v>0.87488527307797703</v>
      </c>
      <c r="V179">
        <f t="shared" si="122"/>
        <v>-0.50559743846854832</v>
      </c>
      <c r="X179">
        <f t="shared" si="139"/>
        <v>-9.6127734789428505</v>
      </c>
      <c r="Y179">
        <f t="shared" si="123"/>
        <v>-122.66675785242155</v>
      </c>
      <c r="Z179">
        <f t="shared" si="140"/>
        <v>57.333242147578446</v>
      </c>
      <c r="AC179">
        <v>1</v>
      </c>
      <c r="AD179">
        <f t="shared" si="124"/>
        <v>30.816667702012502</v>
      </c>
      <c r="AE179">
        <f t="shared" si="125"/>
        <v>-2.1056918143154335E-3</v>
      </c>
      <c r="AF179">
        <f t="shared" si="126"/>
        <v>3.8036833009875005E-3</v>
      </c>
      <c r="AG179">
        <f t="shared" si="141"/>
        <v>6089.9105631175025</v>
      </c>
      <c r="AH179">
        <f t="shared" si="142"/>
        <v>-3634.2339066664172</v>
      </c>
      <c r="AJ179">
        <f t="shared" si="127"/>
        <v>20000</v>
      </c>
      <c r="AK179">
        <f t="shared" si="128"/>
        <v>5630.3623473299995</v>
      </c>
      <c r="AL179">
        <v>1</v>
      </c>
      <c r="AM179">
        <f t="shared" si="129"/>
        <v>13.947446144866499</v>
      </c>
      <c r="AN179">
        <f t="shared" si="143"/>
        <v>503.90499532946478</v>
      </c>
      <c r="AO179">
        <f t="shared" si="144"/>
        <v>-1397.8254371569146</v>
      </c>
      <c r="AQ179">
        <f t="shared" si="130"/>
        <v>0.47560163606962808</v>
      </c>
      <c r="AR179">
        <f t="shared" si="131"/>
        <v>-68.962237230096065</v>
      </c>
      <c r="AT179">
        <f t="shared" si="156"/>
        <v>-247728.52939385187</v>
      </c>
      <c r="AU179">
        <f t="shared" si="157"/>
        <v>-421702.30455564737</v>
      </c>
      <c r="AV179">
        <f t="shared" si="145"/>
        <v>-2.1019359119865788</v>
      </c>
      <c r="AW179">
        <f t="shared" si="146"/>
        <v>-90091.65896925969</v>
      </c>
      <c r="AX179">
        <f t="shared" si="147"/>
        <v>-43162.567623177456</v>
      </c>
      <c r="AY179">
        <f t="shared" si="155"/>
        <v>-2.6948075299276524</v>
      </c>
      <c r="BA179">
        <f t="shared" si="132"/>
        <v>4.8958481123078279</v>
      </c>
      <c r="BB179">
        <f t="shared" si="148"/>
        <v>13.796558717840803</v>
      </c>
      <c r="BC179">
        <f t="shared" si="149"/>
        <v>0.59287161794107357</v>
      </c>
      <c r="BD179">
        <f t="shared" si="133"/>
        <v>-146.03095846006858</v>
      </c>
      <c r="BF179">
        <f t="shared" si="134"/>
        <v>-9.3917656178846585</v>
      </c>
      <c r="BG179">
        <f t="shared" si="135"/>
        <v>-128.04669118681409</v>
      </c>
      <c r="BH179">
        <f t="shared" si="150"/>
        <v>51.953308813185913</v>
      </c>
      <c r="BI179">
        <f t="shared" si="151"/>
        <v>51.953308813185913</v>
      </c>
      <c r="BJ179">
        <f t="shared" si="136"/>
        <v>0</v>
      </c>
      <c r="BK179">
        <f t="shared" si="152"/>
        <v>0</v>
      </c>
      <c r="BM179">
        <f t="shared" si="153"/>
        <v>-23.188324335725461</v>
      </c>
      <c r="BN179">
        <f t="shared" si="137"/>
        <v>-162.01573272674551</v>
      </c>
      <c r="BQ179" s="66">
        <f t="shared" si="154"/>
        <v>30.698519518125941</v>
      </c>
      <c r="BR179" s="71"/>
      <c r="BS179" s="71"/>
      <c r="BT179" s="71">
        <v>4897.7879999999996</v>
      </c>
      <c r="BU179" s="71">
        <v>2.1795599999999999</v>
      </c>
      <c r="BV179" s="71">
        <v>-239.48099999999999</v>
      </c>
      <c r="BW179" s="75"/>
      <c r="BY179" s="71"/>
      <c r="BZ179" s="71"/>
      <c r="CA179" s="71"/>
      <c r="CC179" s="71"/>
    </row>
    <row r="180" spans="1:81" x14ac:dyDescent="0.15">
      <c r="A180">
        <f t="shared" si="158"/>
        <v>73000</v>
      </c>
      <c r="B180">
        <f t="shared" si="138"/>
        <v>73</v>
      </c>
      <c r="C180">
        <f t="shared" si="107"/>
        <v>1.0448166059686941</v>
      </c>
      <c r="D180">
        <f t="shared" si="108"/>
        <v>0.29395387849118498</v>
      </c>
      <c r="F180">
        <f t="shared" si="109"/>
        <v>4.3622095310738131E-3</v>
      </c>
      <c r="G180">
        <f t="shared" si="110"/>
        <v>2.168046443754492E-2</v>
      </c>
      <c r="H180">
        <f t="shared" si="111"/>
        <v>-3.1199121855624554</v>
      </c>
      <c r="J180">
        <f t="shared" si="112"/>
        <v>15</v>
      </c>
      <c r="M180">
        <f t="shared" si="113"/>
        <v>1.3055117978324695E-2</v>
      </c>
      <c r="N180">
        <f t="shared" si="114"/>
        <v>-1.5707963250000001</v>
      </c>
      <c r="O180">
        <f t="shared" si="115"/>
        <v>31.045306118784818</v>
      </c>
      <c r="P180">
        <f t="shared" si="116"/>
        <v>1.5385797655668787</v>
      </c>
      <c r="Q180">
        <f t="shared" si="117"/>
        <v>14.079193728765468</v>
      </c>
      <c r="R180">
        <f t="shared" si="118"/>
        <v>1.4997096768978442</v>
      </c>
      <c r="S180">
        <f t="shared" si="119"/>
        <v>0.96209485259280481</v>
      </c>
      <c r="T180">
        <f t="shared" si="120"/>
        <v>-0.27621391905774789</v>
      </c>
      <c r="U180">
        <f t="shared" si="121"/>
        <v>0.87346848373136177</v>
      </c>
      <c r="V180">
        <f t="shared" si="122"/>
        <v>-0.50851500936726468</v>
      </c>
      <c r="X180">
        <f t="shared" si="139"/>
        <v>-9.6868497860161114</v>
      </c>
      <c r="Y180">
        <f t="shared" si="123"/>
        <v>-122.79597778078606</v>
      </c>
      <c r="Z180">
        <f t="shared" si="140"/>
        <v>57.20402221921394</v>
      </c>
      <c r="AC180">
        <v>1</v>
      </c>
      <c r="AD180">
        <f t="shared" si="124"/>
        <v>31.029196444785004</v>
      </c>
      <c r="AE180">
        <f t="shared" si="125"/>
        <v>-2.1348359911509051E-3</v>
      </c>
      <c r="AF180">
        <f t="shared" si="126"/>
        <v>3.8299155996150006E-3</v>
      </c>
      <c r="AG180">
        <f t="shared" si="141"/>
        <v>6070.2025294285313</v>
      </c>
      <c r="AH180">
        <f t="shared" si="142"/>
        <v>-3644.6982891222187</v>
      </c>
      <c r="AJ180">
        <f t="shared" si="127"/>
        <v>20000</v>
      </c>
      <c r="AK180">
        <f t="shared" si="128"/>
        <v>5669.1924324840002</v>
      </c>
      <c r="AL180">
        <v>1</v>
      </c>
      <c r="AM180">
        <f t="shared" si="129"/>
        <v>14.043635428624199</v>
      </c>
      <c r="AN180">
        <f t="shared" si="143"/>
        <v>502.54371036615902</v>
      </c>
      <c r="AO180">
        <f t="shared" si="144"/>
        <v>-1388.3482228464491</v>
      </c>
      <c r="AQ180">
        <f t="shared" si="130"/>
        <v>0.46910916170192801</v>
      </c>
      <c r="AR180">
        <f t="shared" si="131"/>
        <v>-68.489937608481497</v>
      </c>
      <c r="AT180">
        <f t="shared" si="156"/>
        <v>-246777.57080377889</v>
      </c>
      <c r="AU180">
        <f t="shared" si="157"/>
        <v>-417457.55387047329</v>
      </c>
      <c r="AV180">
        <f t="shared" si="145"/>
        <v>-2.1046786894262439</v>
      </c>
      <c r="AW180">
        <f t="shared" si="146"/>
        <v>-88806.900739425415</v>
      </c>
      <c r="AX180">
        <f t="shared" si="147"/>
        <v>-42796.554214002135</v>
      </c>
      <c r="AY180">
        <f t="shared" si="155"/>
        <v>-2.692524961105311</v>
      </c>
      <c r="BA180">
        <f t="shared" si="132"/>
        <v>4.9192374374594348</v>
      </c>
      <c r="BB180">
        <f t="shared" si="148"/>
        <v>13.837955704245337</v>
      </c>
      <c r="BC180">
        <f t="shared" si="149"/>
        <v>0.58784627167906711</v>
      </c>
      <c r="BD180">
        <f t="shared" si="133"/>
        <v>-146.31888959180242</v>
      </c>
      <c r="BF180">
        <f t="shared" si="134"/>
        <v>-9.4652873379457851</v>
      </c>
      <c r="BG180">
        <f t="shared" si="135"/>
        <v>-128.23437385193671</v>
      </c>
      <c r="BH180">
        <f t="shared" si="150"/>
        <v>51.765626148063291</v>
      </c>
      <c r="BI180">
        <f t="shared" si="151"/>
        <v>51.765626148063291</v>
      </c>
      <c r="BJ180">
        <f t="shared" si="136"/>
        <v>0</v>
      </c>
      <c r="BK180">
        <f t="shared" si="152"/>
        <v>0</v>
      </c>
      <c r="BM180">
        <f t="shared" si="153"/>
        <v>-23.303243042191127</v>
      </c>
      <c r="BN180">
        <f t="shared" si="137"/>
        <v>-161.91548426013432</v>
      </c>
      <c r="BQ180" s="66">
        <f t="shared" si="154"/>
        <v>30.739916504530473</v>
      </c>
      <c r="BR180" s="71"/>
      <c r="BS180" s="71"/>
      <c r="BT180" s="71">
        <v>5011.8720000000003</v>
      </c>
      <c r="BU180" s="71">
        <v>2.08934</v>
      </c>
      <c r="BV180" s="71">
        <v>-238.50700000000001</v>
      </c>
      <c r="BW180" s="75"/>
      <c r="BY180" s="71"/>
      <c r="BZ180" s="71"/>
      <c r="CA180" s="71"/>
      <c r="CC180" s="71"/>
    </row>
    <row r="181" spans="1:81" x14ac:dyDescent="0.15">
      <c r="A181">
        <f t="shared" si="158"/>
        <v>73500</v>
      </c>
      <c r="B181">
        <f t="shared" si="138"/>
        <v>73.5</v>
      </c>
      <c r="C181">
        <f t="shared" si="107"/>
        <v>1.0454192487277327</v>
      </c>
      <c r="D181">
        <f t="shared" si="108"/>
        <v>0.29585217264304131</v>
      </c>
      <c r="F181">
        <f t="shared" si="109"/>
        <v>4.3028167249403977E-3</v>
      </c>
      <c r="G181">
        <f t="shared" si="110"/>
        <v>2.1531729780818392E-2</v>
      </c>
      <c r="H181">
        <f t="shared" si="111"/>
        <v>-3.1200609202191818</v>
      </c>
      <c r="J181">
        <f t="shared" si="112"/>
        <v>15</v>
      </c>
      <c r="M181">
        <f t="shared" si="113"/>
        <v>1.2966307651941534E-2</v>
      </c>
      <c r="N181">
        <f t="shared" si="114"/>
        <v>-1.5707963250000001</v>
      </c>
      <c r="O181">
        <f t="shared" si="115"/>
        <v>31.257725328226698</v>
      </c>
      <c r="P181">
        <f t="shared" si="116"/>
        <v>1.5387987757758224</v>
      </c>
      <c r="Q181">
        <f t="shared" si="117"/>
        <v>14.175141724049391</v>
      </c>
      <c r="R181">
        <f t="shared" si="118"/>
        <v>1.5001916485698126</v>
      </c>
      <c r="S181">
        <f t="shared" si="119"/>
        <v>0.96160345258088031</v>
      </c>
      <c r="T181">
        <f t="shared" si="120"/>
        <v>-0.27801010993322428</v>
      </c>
      <c r="U181">
        <f t="shared" si="121"/>
        <v>0.87204888859383711</v>
      </c>
      <c r="V181">
        <f t="shared" si="122"/>
        <v>-0.5114231214529803</v>
      </c>
      <c r="X181">
        <f t="shared" si="139"/>
        <v>-9.7605490314012844</v>
      </c>
      <c r="Y181">
        <f t="shared" si="123"/>
        <v>-122.92510880779146</v>
      </c>
      <c r="Z181">
        <f t="shared" si="140"/>
        <v>57.07489119220854</v>
      </c>
      <c r="AC181">
        <v>1</v>
      </c>
      <c r="AD181">
        <f t="shared" si="124"/>
        <v>31.241725187557506</v>
      </c>
      <c r="AE181">
        <f t="shared" si="125"/>
        <v>-2.1641804716072389E-3</v>
      </c>
      <c r="AF181">
        <f t="shared" si="126"/>
        <v>3.8561478982425007E-3</v>
      </c>
      <c r="AG181">
        <f t="shared" si="141"/>
        <v>6050.4875022115266</v>
      </c>
      <c r="AH181">
        <f t="shared" si="142"/>
        <v>-3655.0327601318309</v>
      </c>
      <c r="AJ181">
        <f t="shared" si="127"/>
        <v>20000</v>
      </c>
      <c r="AK181">
        <f t="shared" si="128"/>
        <v>5708.022517638</v>
      </c>
      <c r="AL181">
        <v>1</v>
      </c>
      <c r="AM181">
        <f t="shared" si="129"/>
        <v>14.139824712381898</v>
      </c>
      <c r="AN181">
        <f t="shared" si="143"/>
        <v>501.20992777443553</v>
      </c>
      <c r="AO181">
        <f t="shared" si="144"/>
        <v>-1378.9980051981092</v>
      </c>
      <c r="AQ181">
        <f t="shared" si="130"/>
        <v>0.46274872744099954</v>
      </c>
      <c r="AR181">
        <f t="shared" si="131"/>
        <v>-68.024062933826926</v>
      </c>
      <c r="AT181">
        <f t="shared" si="156"/>
        <v>-245830.32310836072</v>
      </c>
      <c r="AU181">
        <f t="shared" si="157"/>
        <v>-413270.1043892763</v>
      </c>
      <c r="AV181">
        <f t="shared" si="145"/>
        <v>-2.1074143831121419</v>
      </c>
      <c r="AW181">
        <f t="shared" si="146"/>
        <v>-87548.441506281233</v>
      </c>
      <c r="AX181">
        <f t="shared" si="147"/>
        <v>-42437.577594074064</v>
      </c>
      <c r="AY181">
        <f t="shared" si="155"/>
        <v>-2.6902334505248922</v>
      </c>
      <c r="BA181">
        <f t="shared" si="132"/>
        <v>4.9424386070923809</v>
      </c>
      <c r="BB181">
        <f t="shared" si="148"/>
        <v>13.878825667891832</v>
      </c>
      <c r="BC181">
        <f t="shared" si="149"/>
        <v>0.58281906741275025</v>
      </c>
      <c r="BD181">
        <f t="shared" si="133"/>
        <v>-146.60692717934165</v>
      </c>
      <c r="BF181">
        <f t="shared" si="134"/>
        <v>-9.5384823448324116</v>
      </c>
      <c r="BG181">
        <f t="shared" si="135"/>
        <v>-128.42216906428342</v>
      </c>
      <c r="BH181">
        <f t="shared" si="150"/>
        <v>51.577830935716577</v>
      </c>
      <c r="BI181">
        <f t="shared" si="151"/>
        <v>51.577830935716577</v>
      </c>
      <c r="BJ181">
        <f t="shared" si="136"/>
        <v>0</v>
      </c>
      <c r="BK181">
        <f t="shared" si="152"/>
        <v>0</v>
      </c>
      <c r="BM181">
        <f t="shared" si="153"/>
        <v>-23.417308012724245</v>
      </c>
      <c r="BN181">
        <f t="shared" si="137"/>
        <v>-161.8152418849418</v>
      </c>
      <c r="BQ181" s="66">
        <f t="shared" si="154"/>
        <v>30.78078646817697</v>
      </c>
      <c r="BR181" s="71"/>
      <c r="BS181" s="71"/>
      <c r="BT181" s="71">
        <v>5128.6139999999996</v>
      </c>
      <c r="BU181" s="71">
        <v>1.7954699999999999</v>
      </c>
      <c r="BV181" s="71">
        <v>-237.881</v>
      </c>
      <c r="BW181" s="75"/>
      <c r="BY181" s="71"/>
      <c r="BZ181" s="71"/>
      <c r="CA181" s="71"/>
      <c r="CC181" s="71"/>
    </row>
    <row r="182" spans="1:81" x14ac:dyDescent="0.15">
      <c r="A182">
        <f t="shared" si="158"/>
        <v>74000</v>
      </c>
      <c r="B182">
        <f t="shared" si="138"/>
        <v>74</v>
      </c>
      <c r="C182">
        <f t="shared" si="107"/>
        <v>1.0460256543279938</v>
      </c>
      <c r="D182">
        <f t="shared" si="108"/>
        <v>0.29774827264968484</v>
      </c>
      <c r="F182">
        <f t="shared" si="109"/>
        <v>4.2446303098519957E-3</v>
      </c>
      <c r="G182">
        <f t="shared" si="110"/>
        <v>2.1385030237683483E-2</v>
      </c>
      <c r="H182">
        <f t="shared" si="111"/>
        <v>-3.1202076197623168</v>
      </c>
      <c r="J182">
        <f t="shared" si="112"/>
        <v>15</v>
      </c>
      <c r="M182">
        <f t="shared" si="113"/>
        <v>1.2878697465104092E-2</v>
      </c>
      <c r="N182">
        <f t="shared" si="114"/>
        <v>-1.5707963250000001</v>
      </c>
      <c r="O182">
        <f t="shared" si="115"/>
        <v>31.47014601672004</v>
      </c>
      <c r="P182">
        <f t="shared" si="116"/>
        <v>1.5390148293961243</v>
      </c>
      <c r="Q182">
        <f t="shared" si="117"/>
        <v>14.271092967894317</v>
      </c>
      <c r="R182">
        <f t="shared" si="118"/>
        <v>1.5006671393083051</v>
      </c>
      <c r="S182">
        <f t="shared" si="119"/>
        <v>0.96110945821217086</v>
      </c>
      <c r="T182">
        <f t="shared" si="120"/>
        <v>-0.27980446111660479</v>
      </c>
      <c r="U182">
        <f t="shared" si="121"/>
        <v>0.87062657318109538</v>
      </c>
      <c r="V182">
        <f t="shared" si="122"/>
        <v>-0.51432177170033955</v>
      </c>
      <c r="X182">
        <f t="shared" si="139"/>
        <v>-9.8338765966703381</v>
      </c>
      <c r="Y182">
        <f t="shared" si="123"/>
        <v>-123.05414214682686</v>
      </c>
      <c r="Z182">
        <f t="shared" si="140"/>
        <v>56.945857853173138</v>
      </c>
      <c r="AC182">
        <v>1</v>
      </c>
      <c r="AD182">
        <f t="shared" si="124"/>
        <v>31.454253930330001</v>
      </c>
      <c r="AE182">
        <f t="shared" si="125"/>
        <v>-2.1937252556844351E-3</v>
      </c>
      <c r="AF182">
        <f t="shared" si="126"/>
        <v>3.8823801968700003E-3</v>
      </c>
      <c r="AG182">
        <f t="shared" si="141"/>
        <v>6030.7668563311136</v>
      </c>
      <c r="AH182">
        <f t="shared" si="142"/>
        <v>-3665.2375198468148</v>
      </c>
      <c r="AJ182">
        <f t="shared" si="127"/>
        <v>20000</v>
      </c>
      <c r="AK182">
        <f t="shared" si="128"/>
        <v>5746.8526027920007</v>
      </c>
      <c r="AL182">
        <v>1</v>
      </c>
      <c r="AM182">
        <f t="shared" si="129"/>
        <v>14.236013996139601</v>
      </c>
      <c r="AN182">
        <f t="shared" si="143"/>
        <v>499.90291287184516</v>
      </c>
      <c r="AO182">
        <f t="shared" si="144"/>
        <v>-1369.7722615625428</v>
      </c>
      <c r="AQ182">
        <f t="shared" si="130"/>
        <v>0.45651677699155446</v>
      </c>
      <c r="AR182">
        <f t="shared" si="131"/>
        <v>-67.564482994750051</v>
      </c>
      <c r="AT182">
        <f t="shared" si="156"/>
        <v>-244886.73183337023</v>
      </c>
      <c r="AU182">
        <f t="shared" si="157"/>
        <v>-409138.88712935476</v>
      </c>
      <c r="AV182">
        <f t="shared" si="145"/>
        <v>-2.1101429419582232</v>
      </c>
      <c r="AW182">
        <f t="shared" si="146"/>
        <v>-86315.578313930149</v>
      </c>
      <c r="AX182">
        <f t="shared" si="147"/>
        <v>-42085.43867315269</v>
      </c>
      <c r="AY182">
        <f t="shared" si="155"/>
        <v>-2.6879332322412028</v>
      </c>
      <c r="BA182">
        <f t="shared" si="132"/>
        <v>4.9654511189892361</v>
      </c>
      <c r="BB182">
        <f t="shared" si="148"/>
        <v>13.919174219116165</v>
      </c>
      <c r="BC182">
        <f t="shared" si="149"/>
        <v>0.57779029028297968</v>
      </c>
      <c r="BD182">
        <f t="shared" si="133"/>
        <v>-146.89505488531864</v>
      </c>
      <c r="BF182">
        <f t="shared" si="134"/>
        <v>-9.6113564618792822</v>
      </c>
      <c r="BG182">
        <f t="shared" si="135"/>
        <v>-128.6100635069086</v>
      </c>
      <c r="BH182">
        <f t="shared" si="150"/>
        <v>51.389936493091398</v>
      </c>
      <c r="BI182">
        <f t="shared" si="151"/>
        <v>51.389936493091398</v>
      </c>
      <c r="BJ182">
        <f t="shared" si="136"/>
        <v>0</v>
      </c>
      <c r="BK182">
        <f t="shared" si="152"/>
        <v>0</v>
      </c>
      <c r="BM182">
        <f t="shared" si="153"/>
        <v>-23.530530680995447</v>
      </c>
      <c r="BN182">
        <f t="shared" si="137"/>
        <v>-161.71500862158996</v>
      </c>
      <c r="BQ182" s="66">
        <f t="shared" si="154"/>
        <v>30.8211350194013</v>
      </c>
      <c r="BR182" s="71"/>
      <c r="BS182" s="71"/>
      <c r="BT182" s="71">
        <v>5248.0749999999998</v>
      </c>
      <c r="BU182" s="71">
        <v>1.6024099999999999</v>
      </c>
      <c r="BV182" s="71">
        <v>-238.28</v>
      </c>
      <c r="BW182" s="75"/>
      <c r="BY182" s="71"/>
      <c r="BZ182" s="71"/>
      <c r="CA182" s="71"/>
      <c r="CC182" s="71"/>
    </row>
    <row r="183" spans="1:81" x14ac:dyDescent="0.15">
      <c r="A183">
        <f t="shared" si="158"/>
        <v>74500</v>
      </c>
      <c r="B183">
        <f t="shared" si="138"/>
        <v>74.5</v>
      </c>
      <c r="C183">
        <f t="shared" si="107"/>
        <v>1.0466358162290705</v>
      </c>
      <c r="D183">
        <f t="shared" si="108"/>
        <v>0.29964216870308014</v>
      </c>
      <c r="F183">
        <f t="shared" si="109"/>
        <v>4.1876177903884104E-3</v>
      </c>
      <c r="G183">
        <f t="shared" si="110"/>
        <v>2.124032415892978E-2</v>
      </c>
      <c r="H183">
        <f t="shared" si="111"/>
        <v>-3.1203523258410706</v>
      </c>
      <c r="J183">
        <f t="shared" si="112"/>
        <v>15</v>
      </c>
      <c r="M183">
        <f t="shared" si="113"/>
        <v>1.2792263253928897E-2</v>
      </c>
      <c r="N183">
        <f t="shared" si="114"/>
        <v>-1.5707963250000001</v>
      </c>
      <c r="O183">
        <f t="shared" si="115"/>
        <v>31.682568154515266</v>
      </c>
      <c r="P183">
        <f t="shared" si="116"/>
        <v>1.5392279858765343</v>
      </c>
      <c r="Q183">
        <f t="shared" si="117"/>
        <v>14.367047395213081</v>
      </c>
      <c r="R183">
        <f t="shared" si="118"/>
        <v>1.5011362787504225</v>
      </c>
      <c r="S183">
        <f t="shared" si="119"/>
        <v>0.96061288301857384</v>
      </c>
      <c r="T183">
        <f t="shared" si="120"/>
        <v>-0.28159696389608635</v>
      </c>
      <c r="U183">
        <f t="shared" si="121"/>
        <v>0.86920162230881937</v>
      </c>
      <c r="V183">
        <f t="shared" si="122"/>
        <v>-0.5172109577396351</v>
      </c>
      <c r="X183">
        <f t="shared" si="139"/>
        <v>-9.906837738765029</v>
      </c>
      <c r="Y183">
        <f t="shared" si="123"/>
        <v>-123.18306927743031</v>
      </c>
      <c r="Z183">
        <f t="shared" si="140"/>
        <v>56.816930722569694</v>
      </c>
      <c r="AC183">
        <v>1</v>
      </c>
      <c r="AD183">
        <f t="shared" si="124"/>
        <v>31.666782673102503</v>
      </c>
      <c r="AE183">
        <f t="shared" si="125"/>
        <v>-2.2234703433824943E-3</v>
      </c>
      <c r="AF183">
        <f t="shared" si="126"/>
        <v>3.9086124954975003E-3</v>
      </c>
      <c r="AG183">
        <f t="shared" si="141"/>
        <v>6011.0419495889673</v>
      </c>
      <c r="AH183">
        <f t="shared" si="142"/>
        <v>-3675.3127930403057</v>
      </c>
      <c r="AJ183">
        <f t="shared" si="127"/>
        <v>20000</v>
      </c>
      <c r="AK183">
        <f t="shared" si="128"/>
        <v>5785.6826879459995</v>
      </c>
      <c r="AL183">
        <v>1</v>
      </c>
      <c r="AM183">
        <f t="shared" si="129"/>
        <v>14.332203279897298</v>
      </c>
      <c r="AN183">
        <f t="shared" si="143"/>
        <v>498.62195530568715</v>
      </c>
      <c r="AO183">
        <f t="shared" si="144"/>
        <v>-1360.6685353149733</v>
      </c>
      <c r="AQ183">
        <f t="shared" si="130"/>
        <v>0.45040987298441582</v>
      </c>
      <c r="AR183">
        <f t="shared" si="131"/>
        <v>-67.111071074677952</v>
      </c>
      <c r="AT183">
        <f t="shared" si="156"/>
        <v>-243946.74543438273</v>
      </c>
      <c r="AU183">
        <f t="shared" si="157"/>
        <v>-405062.86068002717</v>
      </c>
      <c r="AV183">
        <f t="shared" si="145"/>
        <v>-2.1128643168215713</v>
      </c>
      <c r="AW183">
        <f t="shared" si="146"/>
        <v>-85107.631434608003</v>
      </c>
      <c r="AX183">
        <f t="shared" si="147"/>
        <v>-41739.945517763837</v>
      </c>
      <c r="AY183">
        <f t="shared" si="155"/>
        <v>-2.6856245369350065</v>
      </c>
      <c r="BA183">
        <f t="shared" si="132"/>
        <v>4.9882744928584684</v>
      </c>
      <c r="BB183">
        <f t="shared" si="148"/>
        <v>13.959006873089816</v>
      </c>
      <c r="BC183">
        <f t="shared" si="149"/>
        <v>0.57276022011343519</v>
      </c>
      <c r="BD183">
        <f t="shared" si="133"/>
        <v>-147.18325667701754</v>
      </c>
      <c r="BF183">
        <f t="shared" si="134"/>
        <v>-9.6839153753096916</v>
      </c>
      <c r="BG183">
        <f t="shared" si="135"/>
        <v>-128.79804409537942</v>
      </c>
      <c r="BH183">
        <f t="shared" si="150"/>
        <v>51.201955904620576</v>
      </c>
      <c r="BI183">
        <f t="shared" si="151"/>
        <v>51.201955904620576</v>
      </c>
      <c r="BJ183">
        <f t="shared" si="136"/>
        <v>0</v>
      </c>
      <c r="BK183">
        <f t="shared" si="152"/>
        <v>0</v>
      </c>
      <c r="BM183">
        <f t="shared" si="153"/>
        <v>-23.642922248399508</v>
      </c>
      <c r="BN183">
        <f t="shared" si="137"/>
        <v>-161.61478741836191</v>
      </c>
      <c r="BQ183" s="66">
        <f t="shared" si="154"/>
        <v>30.860967673374951</v>
      </c>
      <c r="BR183" s="71"/>
      <c r="BS183" s="71"/>
      <c r="BT183" s="71">
        <v>5370.3180000000002</v>
      </c>
      <c r="BU183" s="71">
        <v>1.48515</v>
      </c>
      <c r="BV183" s="71">
        <v>-237.34699999999998</v>
      </c>
      <c r="BW183" s="75"/>
      <c r="BY183" s="71"/>
      <c r="BZ183" s="71"/>
      <c r="CA183" s="71"/>
      <c r="CC183" s="71"/>
    </row>
    <row r="184" spans="1:81" x14ac:dyDescent="0.15">
      <c r="A184">
        <f t="shared" si="158"/>
        <v>75000</v>
      </c>
      <c r="B184">
        <f t="shared" si="138"/>
        <v>75</v>
      </c>
      <c r="C184">
        <f t="shared" si="107"/>
        <v>1.0472497278653321</v>
      </c>
      <c r="D184">
        <f t="shared" si="108"/>
        <v>0.30153385108122049</v>
      </c>
      <c r="F184">
        <f t="shared" si="109"/>
        <v>4.1317477593372084E-3</v>
      </c>
      <c r="G184">
        <f t="shared" si="110"/>
        <v>2.1097571028401974E-2</v>
      </c>
      <c r="H184">
        <f t="shared" si="111"/>
        <v>-3.1204950789715982</v>
      </c>
      <c r="J184">
        <f t="shared" si="112"/>
        <v>15</v>
      </c>
      <c r="M184">
        <f t="shared" si="113"/>
        <v>1.2706981498902703E-2</v>
      </c>
      <c r="N184">
        <f t="shared" si="114"/>
        <v>-1.5707963250000001</v>
      </c>
      <c r="O184">
        <f t="shared" si="115"/>
        <v>31.894991712655113</v>
      </c>
      <c r="P184">
        <f t="shared" si="116"/>
        <v>1.5394383030831353</v>
      </c>
      <c r="Q184">
        <f t="shared" si="117"/>
        <v>14.463004942643661</v>
      </c>
      <c r="R184">
        <f t="shared" si="118"/>
        <v>1.501599193104213</v>
      </c>
      <c r="S184">
        <f t="shared" si="119"/>
        <v>0.96011374056399212</v>
      </c>
      <c r="T184">
        <f t="shared" si="120"/>
        <v>-0.28338760962531695</v>
      </c>
      <c r="U184">
        <f t="shared" si="121"/>
        <v>0.86777412008798305</v>
      </c>
      <c r="V184">
        <f t="shared" si="122"/>
        <v>-0.52009067784861474</v>
      </c>
      <c r="X184">
        <f t="shared" si="139"/>
        <v>-9.9794375936645974</v>
      </c>
      <c r="Y184">
        <f t="shared" si="123"/>
        <v>-123.31188193728838</v>
      </c>
      <c r="Z184">
        <f t="shared" si="140"/>
        <v>56.688118062711624</v>
      </c>
      <c r="AC184">
        <v>1</v>
      </c>
      <c r="AD184">
        <f t="shared" si="124"/>
        <v>31.879311415875005</v>
      </c>
      <c r="AE184">
        <f t="shared" si="125"/>
        <v>-2.2534157347014151E-3</v>
      </c>
      <c r="AF184">
        <f t="shared" si="126"/>
        <v>3.9348447941250008E-3</v>
      </c>
      <c r="AG184">
        <f t="shared" si="141"/>
        <v>5991.314122701986</v>
      </c>
      <c r="AH184">
        <f t="shared" si="142"/>
        <v>-3685.2588283243981</v>
      </c>
      <c r="AJ184">
        <f t="shared" si="127"/>
        <v>20000</v>
      </c>
      <c r="AK184">
        <f t="shared" si="128"/>
        <v>5824.5127731000002</v>
      </c>
      <c r="AL184">
        <v>1</v>
      </c>
      <c r="AM184">
        <f t="shared" si="129"/>
        <v>14.428392563655001</v>
      </c>
      <c r="AN184">
        <f t="shared" si="143"/>
        <v>497.36636809408799</v>
      </c>
      <c r="AO184">
        <f t="shared" si="144"/>
        <v>-1351.6844337208347</v>
      </c>
      <c r="AQ184">
        <f t="shared" si="130"/>
        <v>0.44442469223590064</v>
      </c>
      <c r="AR184">
        <f t="shared" si="131"/>
        <v>-66.663703835385093</v>
      </c>
      <c r="AT184">
        <f t="shared" si="156"/>
        <v>-243010.31515308554</v>
      </c>
      <c r="AU184">
        <f t="shared" si="157"/>
        <v>-401041.01028115297</v>
      </c>
      <c r="AV184">
        <f t="shared" si="145"/>
        <v>-2.1155784604514043</v>
      </c>
      <c r="AW184">
        <f t="shared" si="146"/>
        <v>-83923.943454980457</v>
      </c>
      <c r="AX184">
        <f t="shared" si="147"/>
        <v>-41400.913042788176</v>
      </c>
      <c r="AY184">
        <f t="shared" si="155"/>
        <v>-2.6833075920130374</v>
      </c>
      <c r="BA184">
        <f t="shared" si="132"/>
        <v>5.0109082703832808</v>
      </c>
      <c r="BB184">
        <f t="shared" si="148"/>
        <v>13.998329052530636</v>
      </c>
      <c r="BC184">
        <f t="shared" si="149"/>
        <v>0.56772913156163307</v>
      </c>
      <c r="BD184">
        <f t="shared" si="133"/>
        <v>-147.47151681772175</v>
      </c>
      <c r="BF184">
        <f t="shared" si="134"/>
        <v>-9.7561646378651847</v>
      </c>
      <c r="BG184">
        <f t="shared" si="135"/>
        <v>-128.98609797141395</v>
      </c>
      <c r="BH184">
        <f t="shared" si="150"/>
        <v>51.013902028586045</v>
      </c>
      <c r="BI184">
        <f t="shared" si="151"/>
        <v>51.013902028586045</v>
      </c>
      <c r="BJ184">
        <f t="shared" si="136"/>
        <v>0</v>
      </c>
      <c r="BK184">
        <f t="shared" si="152"/>
        <v>0</v>
      </c>
      <c r="BM184">
        <f t="shared" si="153"/>
        <v>-23.754493690395822</v>
      </c>
      <c r="BN184">
        <f t="shared" si="137"/>
        <v>-161.51458115369218</v>
      </c>
      <c r="BQ184" s="66">
        <f t="shared" si="154"/>
        <v>30.900289852815774</v>
      </c>
      <c r="BR184" s="71"/>
      <c r="BS184" s="71"/>
      <c r="BT184" s="71">
        <v>5495.4089999999997</v>
      </c>
      <c r="BU184" s="71">
        <v>1.35836</v>
      </c>
      <c r="BV184" s="71">
        <v>-235.61199999999999</v>
      </c>
      <c r="BW184" s="75"/>
      <c r="BY184" s="71"/>
      <c r="BZ184" s="71"/>
      <c r="CA184" s="71"/>
      <c r="CC184" s="71"/>
    </row>
    <row r="185" spans="1:81" x14ac:dyDescent="0.15">
      <c r="A185">
        <f t="shared" si="158"/>
        <v>75500</v>
      </c>
      <c r="B185">
        <f t="shared" si="138"/>
        <v>75.5</v>
      </c>
      <c r="C185">
        <f t="shared" si="107"/>
        <v>1.0478673826462326</v>
      </c>
      <c r="D185">
        <f t="shared" si="108"/>
        <v>0.30342331014818469</v>
      </c>
      <c r="F185">
        <f t="shared" si="109"/>
        <v>4.0769898541994391E-3</v>
      </c>
      <c r="G185">
        <f t="shared" si="110"/>
        <v>2.0956731424591875E-2</v>
      </c>
      <c r="H185">
        <f t="shared" si="111"/>
        <v>-3.1206359185754082</v>
      </c>
      <c r="J185">
        <f t="shared" si="112"/>
        <v>15</v>
      </c>
      <c r="M185">
        <f t="shared" si="113"/>
        <v>1.2622829303545732E-2</v>
      </c>
      <c r="N185">
        <f t="shared" si="114"/>
        <v>-1.5707963250000001</v>
      </c>
      <c r="O185">
        <f t="shared" si="115"/>
        <v>32.107416662948459</v>
      </c>
      <c r="P185">
        <f t="shared" si="116"/>
        <v>1.539645837351646</v>
      </c>
      <c r="Q185">
        <f t="shared" si="117"/>
        <v>14.558965548492468</v>
      </c>
      <c r="R185">
        <f t="shared" si="118"/>
        <v>1.5020560052611247</v>
      </c>
      <c r="S185">
        <f t="shared" si="119"/>
        <v>0.9596120444434314</v>
      </c>
      <c r="T185">
        <f t="shared" si="120"/>
        <v>-0.28517638972348591</v>
      </c>
      <c r="U185">
        <f t="shared" si="121"/>
        <v>0.86634414992042896</v>
      </c>
      <c r="V185">
        <f t="shared" si="122"/>
        <v>-0.52296093094427898</v>
      </c>
      <c r="X185">
        <f t="shared" si="139"/>
        <v>-10.05168117992344</v>
      </c>
      <c r="Y185">
        <f t="shared" si="123"/>
        <v>-123.44057211452898</v>
      </c>
      <c r="Z185">
        <f t="shared" si="140"/>
        <v>56.559427885471024</v>
      </c>
      <c r="AC185">
        <v>1</v>
      </c>
      <c r="AD185">
        <f t="shared" si="124"/>
        <v>32.091840158647507</v>
      </c>
      <c r="AE185">
        <f t="shared" si="125"/>
        <v>-2.2835614296411988E-3</v>
      </c>
      <c r="AF185">
        <f t="shared" si="126"/>
        <v>3.9610770927525005E-3</v>
      </c>
      <c r="AG185">
        <f t="shared" si="141"/>
        <v>5971.5846992864899</v>
      </c>
      <c r="AH185">
        <f t="shared" si="142"/>
        <v>-3695.0758973881689</v>
      </c>
      <c r="AJ185">
        <f t="shared" si="127"/>
        <v>20000</v>
      </c>
      <c r="AK185">
        <f t="shared" si="128"/>
        <v>5863.342858254</v>
      </c>
      <c r="AL185">
        <v>1</v>
      </c>
      <c r="AM185">
        <f t="shared" si="129"/>
        <v>14.5245818474127</v>
      </c>
      <c r="AN185">
        <f t="shared" si="143"/>
        <v>496.13548671081833</v>
      </c>
      <c r="AO185">
        <f t="shared" si="144"/>
        <v>-1342.8176258832164</v>
      </c>
      <c r="AQ185">
        <f t="shared" si="130"/>
        <v>0.43855802122620824</v>
      </c>
      <c r="AR185">
        <f t="shared" si="131"/>
        <v>-66.222261205157437</v>
      </c>
      <c r="AT185">
        <f t="shared" si="156"/>
        <v>-242077.39488041706</v>
      </c>
      <c r="AU185">
        <f t="shared" si="157"/>
        <v>-397072.34693871066</v>
      </c>
      <c r="AV185">
        <f t="shared" si="145"/>
        <v>-2.1182853274397582</v>
      </c>
      <c r="AW185">
        <f t="shared" si="146"/>
        <v>-82763.878404046525</v>
      </c>
      <c r="AX185">
        <f t="shared" si="147"/>
        <v>-41068.162718461266</v>
      </c>
      <c r="AY185">
        <f t="shared" si="155"/>
        <v>-2.6809826217030142</v>
      </c>
      <c r="BA185">
        <f t="shared" si="132"/>
        <v>5.0333520152644198</v>
      </c>
      <c r="BB185">
        <f t="shared" si="148"/>
        <v>14.037146090322556</v>
      </c>
      <c r="BC185">
        <f t="shared" si="149"/>
        <v>0.56269729426325599</v>
      </c>
      <c r="BD185">
        <f t="shared" si="133"/>
        <v>-147.7598198584447</v>
      </c>
      <c r="BF185">
        <f t="shared" si="134"/>
        <v>-9.8281096723105765</v>
      </c>
      <c r="BG185">
        <f t="shared" si="135"/>
        <v>-129.17421249680928</v>
      </c>
      <c r="BH185">
        <f t="shared" si="150"/>
        <v>50.825787503190725</v>
      </c>
      <c r="BI185">
        <f t="shared" si="151"/>
        <v>50.825787503190725</v>
      </c>
      <c r="BJ185">
        <f t="shared" si="136"/>
        <v>0</v>
      </c>
      <c r="BK185">
        <f t="shared" si="152"/>
        <v>0</v>
      </c>
      <c r="BM185">
        <f t="shared" si="153"/>
        <v>-23.865255762633133</v>
      </c>
      <c r="BN185">
        <f t="shared" si="137"/>
        <v>-161.41439263836457</v>
      </c>
      <c r="BQ185" s="66">
        <f t="shared" si="154"/>
        <v>30.939106890607697</v>
      </c>
      <c r="BR185" s="71"/>
      <c r="BS185" s="71"/>
      <c r="BT185" s="71">
        <v>5623.4129999999996</v>
      </c>
      <c r="BU185" s="71">
        <v>1.07298</v>
      </c>
      <c r="BV185" s="71">
        <v>-235.13800000000001</v>
      </c>
      <c r="BW185" s="75"/>
      <c r="BY185" s="71"/>
      <c r="BZ185" s="71"/>
      <c r="CA185" s="71"/>
      <c r="CC185" s="71"/>
    </row>
    <row r="186" spans="1:81" x14ac:dyDescent="0.15">
      <c r="A186">
        <f t="shared" si="158"/>
        <v>76000</v>
      </c>
      <c r="B186">
        <f t="shared" si="138"/>
        <v>76</v>
      </c>
      <c r="C186">
        <f t="shared" si="107"/>
        <v>1.0484887739566193</v>
      </c>
      <c r="D186">
        <f t="shared" si="108"/>
        <v>0.30531053635418676</v>
      </c>
      <c r="F186">
        <f t="shared" si="109"/>
        <v>4.02331471571257E-3</v>
      </c>
      <c r="G186">
        <f t="shared" si="110"/>
        <v>2.0817766983787501E-2</v>
      </c>
      <c r="H186">
        <f t="shared" si="111"/>
        <v>-3.1207748830162125</v>
      </c>
      <c r="J186">
        <f t="shared" si="112"/>
        <v>15</v>
      </c>
      <c r="M186">
        <f t="shared" si="113"/>
        <v>1.2539784373917142E-2</v>
      </c>
      <c r="N186">
        <f t="shared" si="114"/>
        <v>-1.5707963250000001</v>
      </c>
      <c r="O186">
        <f t="shared" si="115"/>
        <v>32.319842977945171</v>
      </c>
      <c r="P186">
        <f t="shared" si="116"/>
        <v>1.5398506435376633</v>
      </c>
      <c r="Q186">
        <f t="shared" si="117"/>
        <v>14.654929152679854</v>
      </c>
      <c r="R186">
        <f t="shared" si="118"/>
        <v>1.5025068349040702</v>
      </c>
      <c r="S186">
        <f t="shared" si="119"/>
        <v>0.95910780828210018</v>
      </c>
      <c r="T186">
        <f t="shared" si="120"/>
        <v>-0.28696329567540946</v>
      </c>
      <c r="U186">
        <f t="shared" si="121"/>
        <v>0.86491179449471789</v>
      </c>
      <c r="V186">
        <f t="shared" si="122"/>
        <v>-0.52582171657467303</v>
      </c>
      <c r="X186">
        <f t="shared" si="139"/>
        <v>-10.123573402084249</v>
      </c>
      <c r="Y186">
        <f t="shared" si="123"/>
        <v>-123.56913204029406</v>
      </c>
      <c r="Z186">
        <f t="shared" si="140"/>
        <v>56.430867959705935</v>
      </c>
      <c r="AC186">
        <v>1</v>
      </c>
      <c r="AD186">
        <f t="shared" si="124"/>
        <v>32.304368901420005</v>
      </c>
      <c r="AE186">
        <f t="shared" si="125"/>
        <v>-2.3139074282018442E-3</v>
      </c>
      <c r="AF186">
        <f t="shared" si="126"/>
        <v>3.9873093913800001E-3</v>
      </c>
      <c r="AG186">
        <f t="shared" si="141"/>
        <v>5951.8549858483475</v>
      </c>
      <c r="AH186">
        <f t="shared" si="142"/>
        <v>-3704.7642942556058</v>
      </c>
      <c r="AJ186">
        <f t="shared" si="127"/>
        <v>20000</v>
      </c>
      <c r="AK186">
        <f t="shared" si="128"/>
        <v>5902.1729434080007</v>
      </c>
      <c r="AL186">
        <v>1</v>
      </c>
      <c r="AM186">
        <f t="shared" si="129"/>
        <v>14.6207711311704</v>
      </c>
      <c r="AN186">
        <f t="shared" si="143"/>
        <v>494.92866821158015</v>
      </c>
      <c r="AO186">
        <f t="shared" si="144"/>
        <v>-1334.0658407684841</v>
      </c>
      <c r="AQ186">
        <f t="shared" si="130"/>
        <v>0.43280675178532785</v>
      </c>
      <c r="AR186">
        <f t="shared" si="131"/>
        <v>-65.78662627136984</v>
      </c>
      <c r="AT186">
        <f t="shared" si="156"/>
        <v>-241147.94102618645</v>
      </c>
      <c r="AU186">
        <f t="shared" si="157"/>
        <v>-393155.90657572151</v>
      </c>
      <c r="AV186">
        <f t="shared" si="145"/>
        <v>-2.1209848741737862</v>
      </c>
      <c r="AW186">
        <f t="shared" si="146"/>
        <v>-81626.820920499857</v>
      </c>
      <c r="AX186">
        <f t="shared" si="147"/>
        <v>-40741.522291912559</v>
      </c>
      <c r="AY186">
        <f t="shared" si="155"/>
        <v>-2.6786498471438862</v>
      </c>
      <c r="BA186">
        <f t="shared" si="132"/>
        <v>5.0556053132570087</v>
      </c>
      <c r="BB186">
        <f t="shared" si="148"/>
        <v>14.075463232047831</v>
      </c>
      <c r="BC186">
        <f t="shared" si="149"/>
        <v>0.55766497297009998</v>
      </c>
      <c r="BD186">
        <f t="shared" si="133"/>
        <v>-148.04815063002582</v>
      </c>
      <c r="BF186">
        <f t="shared" si="134"/>
        <v>-9.8997557748194271</v>
      </c>
      <c r="BG186">
        <f t="shared" si="135"/>
        <v>-129.36237524764599</v>
      </c>
      <c r="BH186">
        <f t="shared" si="150"/>
        <v>50.637624752354014</v>
      </c>
      <c r="BI186">
        <f t="shared" si="151"/>
        <v>50.637624752354014</v>
      </c>
      <c r="BJ186">
        <f t="shared" si="136"/>
        <v>0</v>
      </c>
      <c r="BK186">
        <f t="shared" si="152"/>
        <v>0</v>
      </c>
      <c r="BM186">
        <f t="shared" si="153"/>
        <v>-23.97521900686726</v>
      </c>
      <c r="BN186">
        <f t="shared" si="137"/>
        <v>-161.31422461762017</v>
      </c>
      <c r="BQ186" s="66">
        <f t="shared" si="154"/>
        <v>30.977424032332969</v>
      </c>
      <c r="BR186" s="71"/>
      <c r="BS186" s="71"/>
      <c r="BT186" s="71">
        <v>5754.3990000000003</v>
      </c>
      <c r="BU186" s="71">
        <v>0.86915299999999995</v>
      </c>
      <c r="BV186" s="71">
        <v>-234.68899999999999</v>
      </c>
      <c r="BW186" s="75"/>
      <c r="BY186" s="71"/>
      <c r="BZ186" s="71"/>
      <c r="CA186" s="71"/>
      <c r="CC186" s="71"/>
    </row>
    <row r="187" spans="1:81" x14ac:dyDescent="0.15">
      <c r="A187">
        <f t="shared" si="158"/>
        <v>76500</v>
      </c>
      <c r="B187">
        <f t="shared" si="138"/>
        <v>76.5</v>
      </c>
      <c r="C187">
        <f t="shared" si="107"/>
        <v>1.0491138951570407</v>
      </c>
      <c r="D187">
        <f t="shared" si="108"/>
        <v>0.3071955202356183</v>
      </c>
      <c r="F187">
        <f t="shared" si="109"/>
        <v>3.9706939482842931E-3</v>
      </c>
      <c r="G187">
        <f t="shared" si="110"/>
        <v>2.0680640364705901E-2</v>
      </c>
      <c r="H187">
        <f t="shared" si="111"/>
        <v>-3.1209120096352945</v>
      </c>
      <c r="J187">
        <f t="shared" si="112"/>
        <v>15</v>
      </c>
      <c r="M187">
        <f t="shared" si="113"/>
        <v>1.2457824998924219E-2</v>
      </c>
      <c r="N187">
        <f t="shared" si="114"/>
        <v>-1.5707963250000001</v>
      </c>
      <c r="O187">
        <f t="shared" si="115"/>
        <v>32.532270630911889</v>
      </c>
      <c r="P187">
        <f t="shared" si="116"/>
        <v>1.5400527750649406</v>
      </c>
      <c r="Q187">
        <f t="shared" si="117"/>
        <v>14.750895696687735</v>
      </c>
      <c r="R187">
        <f t="shared" si="118"/>
        <v>1.5029517986112984</v>
      </c>
      <c r="S187">
        <f t="shared" si="119"/>
        <v>0.95860104573451432</v>
      </c>
      <c r="T187">
        <f t="shared" si="120"/>
        <v>-0.28874831903161052</v>
      </c>
      <c r="U187">
        <f t="shared" si="121"/>
        <v>0.86347713578224705</v>
      </c>
      <c r="V187">
        <f t="shared" si="122"/>
        <v>-0.52867303491067408</v>
      </c>
      <c r="X187">
        <f t="shared" si="139"/>
        <v>-10.195119053971798</v>
      </c>
      <c r="Y187">
        <f t="shared" si="123"/>
        <v>-123.69755418158049</v>
      </c>
      <c r="Z187">
        <f t="shared" si="140"/>
        <v>56.302445818419514</v>
      </c>
      <c r="AC187">
        <v>1</v>
      </c>
      <c r="AD187">
        <f t="shared" si="124"/>
        <v>32.516897644192504</v>
      </c>
      <c r="AE187">
        <f t="shared" si="125"/>
        <v>-2.3444537303833526E-3</v>
      </c>
      <c r="AF187">
        <f t="shared" si="126"/>
        <v>4.0135416900075006E-3</v>
      </c>
      <c r="AG187">
        <f t="shared" si="141"/>
        <v>5932.1262717788477</v>
      </c>
      <c r="AH187">
        <f t="shared" si="142"/>
        <v>-3714.324334562762</v>
      </c>
      <c r="AJ187">
        <f t="shared" si="127"/>
        <v>20000</v>
      </c>
      <c r="AK187">
        <f t="shared" si="128"/>
        <v>5941.0030285620005</v>
      </c>
      <c r="AL187">
        <v>1</v>
      </c>
      <c r="AM187">
        <f t="shared" si="129"/>
        <v>14.716960414928099</v>
      </c>
      <c r="AN187">
        <f t="shared" si="143"/>
        <v>493.74529039963863</v>
      </c>
      <c r="AO187">
        <f t="shared" si="144"/>
        <v>-1325.4268653066606</v>
      </c>
      <c r="AQ187">
        <f t="shared" si="130"/>
        <v>0.42716787697565145</v>
      </c>
      <c r="AR187">
        <f t="shared" si="131"/>
        <v>-65.35668517727467</v>
      </c>
      <c r="AT187">
        <f t="shared" si="156"/>
        <v>-240221.91239484143</v>
      </c>
      <c r="AU187">
        <f t="shared" si="157"/>
        <v>-389290.74921688443</v>
      </c>
      <c r="AV187">
        <f t="shared" si="145"/>
        <v>-2.1236770587895957</v>
      </c>
      <c r="AW187">
        <f t="shared" si="146"/>
        <v>-80512.175457524791</v>
      </c>
      <c r="AX187">
        <f t="shared" si="147"/>
        <v>-40420.825522426443</v>
      </c>
      <c r="AY187">
        <f t="shared" si="155"/>
        <v>-2.6763094864715535</v>
      </c>
      <c r="BA187">
        <f t="shared" si="132"/>
        <v>5.0776677722011438</v>
      </c>
      <c r="BB187">
        <f t="shared" si="148"/>
        <v>14.113285638434682</v>
      </c>
      <c r="BC187">
        <f t="shared" si="149"/>
        <v>0.55263242768195786</v>
      </c>
      <c r="BD187">
        <f t="shared" si="133"/>
        <v>-148.33649423557429</v>
      </c>
      <c r="BF187">
        <f t="shared" si="134"/>
        <v>-9.9711081182454624</v>
      </c>
      <c r="BG187">
        <f t="shared" si="135"/>
        <v>-129.55057400875612</v>
      </c>
      <c r="BH187">
        <f t="shared" si="150"/>
        <v>50.449425991243885</v>
      </c>
      <c r="BI187">
        <f t="shared" si="151"/>
        <v>50.449425991243885</v>
      </c>
      <c r="BJ187">
        <f t="shared" si="136"/>
        <v>0</v>
      </c>
      <c r="BK187">
        <f t="shared" si="152"/>
        <v>0</v>
      </c>
      <c r="BM187">
        <f t="shared" si="153"/>
        <v>-24.084393756680143</v>
      </c>
      <c r="BN187">
        <f t="shared" si="137"/>
        <v>-161.21407977318182</v>
      </c>
      <c r="BQ187" s="66">
        <f t="shared" si="154"/>
        <v>31.015246438719821</v>
      </c>
      <c r="BR187" s="71"/>
      <c r="BS187" s="71"/>
      <c r="BT187" s="71">
        <v>5888.4369999999999</v>
      </c>
      <c r="BU187" s="71">
        <v>0.80323599999999995</v>
      </c>
      <c r="BV187" s="71">
        <v>-233.95400000000001</v>
      </c>
      <c r="BW187" s="75"/>
      <c r="BY187" s="71"/>
      <c r="BZ187" s="71"/>
      <c r="CA187" s="71"/>
      <c r="CC187" s="71"/>
    </row>
    <row r="188" spans="1:81" x14ac:dyDescent="0.15">
      <c r="A188">
        <f t="shared" si="158"/>
        <v>77000</v>
      </c>
      <c r="B188">
        <f t="shared" si="138"/>
        <v>77</v>
      </c>
      <c r="C188">
        <f t="shared" si="107"/>
        <v>1.0497427395840544</v>
      </c>
      <c r="D188">
        <f t="shared" si="108"/>
        <v>0.30907825241508424</v>
      </c>
      <c r="F188">
        <f t="shared" si="109"/>
        <v>3.9191000822371251E-3</v>
      </c>
      <c r="G188">
        <f t="shared" si="110"/>
        <v>2.0545315214540234E-2</v>
      </c>
      <c r="H188">
        <f t="shared" si="111"/>
        <v>-3.1210473347854601</v>
      </c>
      <c r="J188">
        <f t="shared" si="112"/>
        <v>15</v>
      </c>
      <c r="M188">
        <f t="shared" si="113"/>
        <v>1.2376930031398739E-2</v>
      </c>
      <c r="N188">
        <f t="shared" si="114"/>
        <v>-1.5707963250000001</v>
      </c>
      <c r="O188">
        <f t="shared" si="115"/>
        <v>32.744699595808797</v>
      </c>
      <c r="P188">
        <f t="shared" si="116"/>
        <v>1.540252283971786</v>
      </c>
      <c r="Q188">
        <f t="shared" si="117"/>
        <v>14.846865123509248</v>
      </c>
      <c r="R188">
        <f t="shared" si="118"/>
        <v>1.5033910099562637</v>
      </c>
      <c r="S188">
        <f t="shared" si="119"/>
        <v>0.95809177048360128</v>
      </c>
      <c r="T188">
        <f t="shared" si="120"/>
        <v>-0.29053145140839437</v>
      </c>
      <c r="U188">
        <f t="shared" si="121"/>
        <v>0.86204025503363302</v>
      </c>
      <c r="V188">
        <f t="shared" si="122"/>
        <v>-0.5315148867377798</v>
      </c>
      <c r="X188">
        <f t="shared" si="139"/>
        <v>-10.266322821872329</v>
      </c>
      <c r="Y188">
        <f t="shared" si="123"/>
        <v>-123.82583123433585</v>
      </c>
      <c r="Z188">
        <f t="shared" si="140"/>
        <v>56.174168765664149</v>
      </c>
      <c r="AC188">
        <v>1</v>
      </c>
      <c r="AD188">
        <f t="shared" si="124"/>
        <v>32.729426386965002</v>
      </c>
      <c r="AE188">
        <f t="shared" si="125"/>
        <v>-2.375200336185723E-3</v>
      </c>
      <c r="AF188">
        <f t="shared" si="126"/>
        <v>4.0397739886350002E-3</v>
      </c>
      <c r="AG188">
        <f t="shared" si="141"/>
        <v>5912.3998293562308</v>
      </c>
      <c r="AH188">
        <f t="shared" si="142"/>
        <v>-3723.7563548534704</v>
      </c>
      <c r="AJ188">
        <f t="shared" si="127"/>
        <v>20000</v>
      </c>
      <c r="AK188">
        <f t="shared" si="128"/>
        <v>5979.8331137160003</v>
      </c>
      <c r="AL188">
        <v>1</v>
      </c>
      <c r="AM188">
        <f t="shared" si="129"/>
        <v>14.8131496986858</v>
      </c>
      <c r="AN188">
        <f t="shared" si="143"/>
        <v>492.58475102878674</v>
      </c>
      <c r="AO188">
        <f t="shared" si="144"/>
        <v>-1316.8985425632929</v>
      </c>
      <c r="AQ188">
        <f t="shared" si="130"/>
        <v>0.42163848716110808</v>
      </c>
      <c r="AR188">
        <f t="shared" si="131"/>
        <v>-64.93232702281064</v>
      </c>
      <c r="AT188">
        <f t="shared" si="156"/>
        <v>-239299.27006707346</v>
      </c>
      <c r="AU188">
        <f t="shared" si="157"/>
        <v>-385475.9582053856</v>
      </c>
      <c r="AV188">
        <f t="shared" si="145"/>
        <v>-2.1263618411275615</v>
      </c>
      <c r="AW188">
        <f t="shared" si="146"/>
        <v>-79419.365523118351</v>
      </c>
      <c r="AX188">
        <f t="shared" si="147"/>
        <v>-40105.91192965924</v>
      </c>
      <c r="AY188">
        <f t="shared" si="155"/>
        <v>-2.6739617549002768</v>
      </c>
      <c r="BA188">
        <f t="shared" si="132"/>
        <v>5.0995390220463177</v>
      </c>
      <c r="BB188">
        <f t="shared" si="148"/>
        <v>14.150618387723672</v>
      </c>
      <c r="BC188">
        <f t="shared" si="149"/>
        <v>0.54759991377271522</v>
      </c>
      <c r="BD188">
        <f t="shared" si="133"/>
        <v>-148.62483604324427</v>
      </c>
      <c r="BF188">
        <f t="shared" si="134"/>
        <v>-10.042171755284588</v>
      </c>
      <c r="BG188">
        <f t="shared" si="135"/>
        <v>-129.73879676844126</v>
      </c>
      <c r="BH188">
        <f t="shared" si="150"/>
        <v>50.261203231558738</v>
      </c>
      <c r="BI188">
        <f t="shared" si="151"/>
        <v>50.261203231558738</v>
      </c>
      <c r="BJ188">
        <f t="shared" si="136"/>
        <v>0</v>
      </c>
      <c r="BK188">
        <f t="shared" si="152"/>
        <v>0</v>
      </c>
      <c r="BM188">
        <f t="shared" si="153"/>
        <v>-24.192790143008263</v>
      </c>
      <c r="BN188">
        <f t="shared" si="137"/>
        <v>-161.11396072519702</v>
      </c>
      <c r="BQ188" s="66">
        <f t="shared" si="154"/>
        <v>31.05257918800881</v>
      </c>
      <c r="BR188" s="71"/>
      <c r="BS188" s="71"/>
      <c r="BT188" s="71">
        <v>6025.5959999999995</v>
      </c>
      <c r="BU188" s="71">
        <v>0.76992799999999995</v>
      </c>
      <c r="BV188" s="71">
        <v>-234.14699999999999</v>
      </c>
      <c r="BW188" s="75"/>
      <c r="BY188" s="71"/>
      <c r="BZ188" s="71"/>
      <c r="CA188" s="71"/>
      <c r="CC188" s="71"/>
    </row>
    <row r="189" spans="1:81" x14ac:dyDescent="0.15">
      <c r="A189">
        <f t="shared" si="158"/>
        <v>77500</v>
      </c>
      <c r="B189">
        <f t="shared" si="138"/>
        <v>77.5</v>
      </c>
      <c r="C189">
        <f t="shared" si="107"/>
        <v>1.0503753005505359</v>
      </c>
      <c r="D189">
        <f t="shared" si="108"/>
        <v>0.31095872360143134</v>
      </c>
      <c r="F189">
        <f t="shared" si="109"/>
        <v>3.8685065377695909E-3</v>
      </c>
      <c r="G189">
        <f t="shared" si="110"/>
        <v>2.0411756136355264E-2</v>
      </c>
      <c r="H189">
        <f t="shared" si="111"/>
        <v>-3.1211808938636452</v>
      </c>
      <c r="J189">
        <f t="shared" si="112"/>
        <v>15</v>
      </c>
      <c r="M189">
        <f t="shared" si="113"/>
        <v>1.2297078869905843E-2</v>
      </c>
      <c r="N189">
        <f t="shared" si="114"/>
        <v>-1.5707963250000001</v>
      </c>
      <c r="O189">
        <f t="shared" si="115"/>
        <v>32.957129847267325</v>
      </c>
      <c r="P189">
        <f t="shared" si="116"/>
        <v>1.5404492209556724</v>
      </c>
      <c r="Q189">
        <f t="shared" si="117"/>
        <v>14.942837377600329</v>
      </c>
      <c r="R189">
        <f t="shared" si="118"/>
        <v>1.5038245796036707</v>
      </c>
      <c r="S189">
        <f t="shared" si="119"/>
        <v>0.9575799962398085</v>
      </c>
      <c r="T189">
        <f t="shared" si="120"/>
        <v>-0.29231268448791897</v>
      </c>
      <c r="U189">
        <f t="shared" si="121"/>
        <v>0.86060123277535383</v>
      </c>
      <c r="V189">
        <f t="shared" si="122"/>
        <v>-0.53434727344789745</v>
      </c>
      <c r="X189">
        <f t="shared" si="139"/>
        <v>-10.337189287603344</v>
      </c>
      <c r="Y189">
        <f t="shared" si="123"/>
        <v>-123.9539561168007</v>
      </c>
      <c r="Z189">
        <f t="shared" si="140"/>
        <v>56.046043883199303</v>
      </c>
      <c r="AC189">
        <v>1</v>
      </c>
      <c r="AD189">
        <f t="shared" si="124"/>
        <v>32.941955129737508</v>
      </c>
      <c r="AE189">
        <f t="shared" si="125"/>
        <v>-2.4061472456089559E-3</v>
      </c>
      <c r="AF189">
        <f t="shared" si="126"/>
        <v>4.0660062872625007E-3</v>
      </c>
      <c r="AG189">
        <f t="shared" si="141"/>
        <v>5892.6769137527199</v>
      </c>
      <c r="AH189">
        <f t="shared" si="142"/>
        <v>-3733.0607118930061</v>
      </c>
      <c r="AJ189">
        <f t="shared" si="127"/>
        <v>20000</v>
      </c>
      <c r="AK189">
        <f t="shared" si="128"/>
        <v>6018.6631988700001</v>
      </c>
      <c r="AL189">
        <v>1</v>
      </c>
      <c r="AM189">
        <f t="shared" si="129"/>
        <v>14.909338982443499</v>
      </c>
      <c r="AN189">
        <f t="shared" si="143"/>
        <v>491.44646704175102</v>
      </c>
      <c r="AO189">
        <f t="shared" si="144"/>
        <v>-1308.4787699797128</v>
      </c>
      <c r="AQ189">
        <f t="shared" si="130"/>
        <v>0.41621576625322565</v>
      </c>
      <c r="AR189">
        <f t="shared" si="131"/>
        <v>-64.513443769249974</v>
      </c>
      <c r="AT189">
        <f t="shared" si="156"/>
        <v>-238379.97728696547</v>
      </c>
      <c r="AU189">
        <f t="shared" si="157"/>
        <v>-381710.63945041393</v>
      </c>
      <c r="AV189">
        <f t="shared" si="145"/>
        <v>-2.1290391826890493</v>
      </c>
      <c r="AW189">
        <f t="shared" si="146"/>
        <v>-78347.832954139085</v>
      </c>
      <c r="AX189">
        <f t="shared" si="147"/>
        <v>-39796.626554093607</v>
      </c>
      <c r="AY189">
        <f t="shared" si="155"/>
        <v>-2.6716068647999824</v>
      </c>
      <c r="BA189">
        <f t="shared" si="132"/>
        <v>5.1212187148694737</v>
      </c>
      <c r="BB189">
        <f t="shared" si="148"/>
        <v>14.187466477955519</v>
      </c>
      <c r="BC189">
        <f t="shared" si="149"/>
        <v>0.54256768211093309</v>
      </c>
      <c r="BD189">
        <f t="shared" si="133"/>
        <v>-148.91316167932595</v>
      </c>
      <c r="BF189">
        <f t="shared" si="134"/>
        <v>-10.112951621532391</v>
      </c>
      <c r="BG189">
        <f t="shared" si="135"/>
        <v>-129.92703171343058</v>
      </c>
      <c r="BH189">
        <f t="shared" si="150"/>
        <v>50.07296828656942</v>
      </c>
      <c r="BI189">
        <f t="shared" si="151"/>
        <v>50.07296828656942</v>
      </c>
      <c r="BJ189">
        <f t="shared" si="136"/>
        <v>0</v>
      </c>
      <c r="BK189">
        <f t="shared" si="152"/>
        <v>0</v>
      </c>
      <c r="BM189">
        <f t="shared" si="153"/>
        <v>-24.300418099487906</v>
      </c>
      <c r="BN189">
        <f t="shared" si="137"/>
        <v>-161.01387003410466</v>
      </c>
      <c r="BQ189" s="66">
        <f t="shared" si="154"/>
        <v>31.089427278240656</v>
      </c>
      <c r="BR189" s="71"/>
      <c r="BS189" s="71"/>
      <c r="BT189" s="71">
        <v>6165.95</v>
      </c>
      <c r="BU189" s="71">
        <v>0.46947800000000001</v>
      </c>
      <c r="BV189" s="71">
        <v>-232.05599999999998</v>
      </c>
      <c r="BW189" s="75"/>
      <c r="BY189" s="71"/>
      <c r="BZ189" s="71"/>
      <c r="CA189" s="71"/>
      <c r="CC189" s="71"/>
    </row>
    <row r="190" spans="1:81" x14ac:dyDescent="0.15">
      <c r="A190">
        <f t="shared" si="158"/>
        <v>78000</v>
      </c>
      <c r="B190">
        <f t="shared" si="138"/>
        <v>78</v>
      </c>
      <c r="C190">
        <f t="shared" si="107"/>
        <v>1.0510115713459844</v>
      </c>
      <c r="D190">
        <f t="shared" si="108"/>
        <v>0.31283692458977019</v>
      </c>
      <c r="F190">
        <f t="shared" si="109"/>
        <v>3.818887590545275E-3</v>
      </c>
      <c r="G190">
        <f t="shared" si="110"/>
        <v>2.0279928657769224E-2</v>
      </c>
      <c r="H190">
        <f t="shared" si="111"/>
        <v>-3.1213127213422309</v>
      </c>
      <c r="J190">
        <f t="shared" si="112"/>
        <v>15</v>
      </c>
      <c r="M190">
        <f t="shared" si="113"/>
        <v>1.22182514412526E-2</v>
      </c>
      <c r="N190">
        <f t="shared" si="114"/>
        <v>-1.5707963250000001</v>
      </c>
      <c r="O190">
        <f t="shared" si="115"/>
        <v>33.169561360568601</v>
      </c>
      <c r="P190">
        <f t="shared" si="116"/>
        <v>1.5406436354161321</v>
      </c>
      <c r="Q190">
        <f t="shared" si="117"/>
        <v>15.038812404833145</v>
      </c>
      <c r="R190">
        <f t="shared" si="118"/>
        <v>1.5042526154018643</v>
      </c>
      <c r="S190">
        <f t="shared" si="119"/>
        <v>0.95706573674021456</v>
      </c>
      <c r="T190">
        <f t="shared" si="120"/>
        <v>-0.29409201001826041</v>
      </c>
      <c r="U190">
        <f t="shared" si="121"/>
        <v>0.85916014880664726</v>
      </c>
      <c r="V190">
        <f t="shared" si="122"/>
        <v>-0.53717019703113822</v>
      </c>
      <c r="X190">
        <f t="shared" si="139"/>
        <v>-10.407722931478173</v>
      </c>
      <c r="Y190">
        <f t="shared" si="123"/>
        <v>-124.08192196308305</v>
      </c>
      <c r="Z190">
        <f t="shared" si="140"/>
        <v>55.918078036916953</v>
      </c>
      <c r="AC190">
        <v>1</v>
      </c>
      <c r="AD190">
        <f t="shared" si="124"/>
        <v>33.154483872509999</v>
      </c>
      <c r="AE190">
        <f t="shared" si="125"/>
        <v>-2.4372944586530509E-3</v>
      </c>
      <c r="AF190">
        <f t="shared" si="126"/>
        <v>4.0922385858900004E-3</v>
      </c>
      <c r="AG190">
        <f t="shared" si="141"/>
        <v>5872.9587630469368</v>
      </c>
      <c r="AH190">
        <f t="shared" si="142"/>
        <v>-3742.2377819991116</v>
      </c>
      <c r="AJ190">
        <f t="shared" si="127"/>
        <v>20000</v>
      </c>
      <c r="AK190">
        <f t="shared" si="128"/>
        <v>6057.4932840239999</v>
      </c>
      <c r="AL190">
        <v>1</v>
      </c>
      <c r="AM190">
        <f t="shared" si="129"/>
        <v>15.005528266201202</v>
      </c>
      <c r="AN190">
        <f t="shared" si="143"/>
        <v>490.32987384224862</v>
      </c>
      <c r="AO190">
        <f t="shared" si="144"/>
        <v>-1300.1654976787308</v>
      </c>
      <c r="AQ190">
        <f t="shared" si="130"/>
        <v>0.41089698812507702</v>
      </c>
      <c r="AR190">
        <f t="shared" si="131"/>
        <v>-64.099930147512012</v>
      </c>
      <c r="AT190">
        <f t="shared" si="156"/>
        <v>-237463.99935440457</v>
      </c>
      <c r="AU190">
        <f t="shared" si="157"/>
        <v>-377993.92070399848</v>
      </c>
      <c r="AV190">
        <f t="shared" si="145"/>
        <v>-2.1317090465944872</v>
      </c>
      <c r="AW190">
        <f t="shared" si="146"/>
        <v>-77297.037222384257</v>
      </c>
      <c r="AX190">
        <f t="shared" si="147"/>
        <v>-39492.819729056151</v>
      </c>
      <c r="AY190">
        <f t="shared" si="155"/>
        <v>-2.6692450257696736</v>
      </c>
      <c r="BA190">
        <f t="shared" si="132"/>
        <v>5.1427065248867203</v>
      </c>
      <c r="BB190">
        <f t="shared" si="148"/>
        <v>14.223834829183286</v>
      </c>
      <c r="BC190">
        <f t="shared" si="149"/>
        <v>0.53753597917518636</v>
      </c>
      <c r="BD190">
        <f t="shared" si="133"/>
        <v>-149.20145702163725</v>
      </c>
      <c r="BF190">
        <f t="shared" si="134"/>
        <v>-10.183452538441433</v>
      </c>
      <c r="BG190">
        <f t="shared" si="135"/>
        <v>-130.11526722406526</v>
      </c>
      <c r="BH190">
        <f t="shared" si="150"/>
        <v>49.884732775934737</v>
      </c>
      <c r="BI190">
        <f t="shared" si="151"/>
        <v>49.884732775934737</v>
      </c>
      <c r="BJ190">
        <f t="shared" si="136"/>
        <v>0</v>
      </c>
      <c r="BK190">
        <f t="shared" si="152"/>
        <v>0</v>
      </c>
      <c r="BM190">
        <f t="shared" si="153"/>
        <v>-24.407287367624718</v>
      </c>
      <c r="BN190">
        <f t="shared" si="137"/>
        <v>-160.91381020242804</v>
      </c>
      <c r="BQ190" s="66">
        <f t="shared" si="154"/>
        <v>31.125795629468421</v>
      </c>
      <c r="BR190" s="71"/>
      <c r="BS190" s="71"/>
      <c r="BT190" s="71">
        <v>6309.5730000000003</v>
      </c>
      <c r="BU190" s="71">
        <v>0.36985299999999999</v>
      </c>
      <c r="BV190" s="71">
        <v>-231.369</v>
      </c>
      <c r="BW190" s="75"/>
      <c r="BY190" s="71"/>
      <c r="BZ190" s="71"/>
      <c r="CA190" s="71"/>
      <c r="CC190" s="71"/>
    </row>
    <row r="191" spans="1:81" x14ac:dyDescent="0.15">
      <c r="A191">
        <f t="shared" si="158"/>
        <v>78500</v>
      </c>
      <c r="B191">
        <f t="shared" si="138"/>
        <v>78.5</v>
      </c>
      <c r="C191">
        <f t="shared" si="107"/>
        <v>1.0516515452368322</v>
      </c>
      <c r="D191">
        <f t="shared" si="108"/>
        <v>0.31471284626148976</v>
      </c>
      <c r="F191">
        <f t="shared" si="109"/>
        <v>3.7702183388261526E-3</v>
      </c>
      <c r="G191">
        <f t="shared" si="110"/>
        <v>2.014979920086284E-2</v>
      </c>
      <c r="H191">
        <f t="shared" si="111"/>
        <v>-3.1214428507991374</v>
      </c>
      <c r="J191">
        <f t="shared" si="112"/>
        <v>15</v>
      </c>
      <c r="M191">
        <f t="shared" si="113"/>
        <v>1.2140428183665005E-2</v>
      </c>
      <c r="N191">
        <f t="shared" si="114"/>
        <v>-1.5707963250000001</v>
      </c>
      <c r="O191">
        <f t="shared" si="115"/>
        <v>33.381994111622838</v>
      </c>
      <c r="P191">
        <f t="shared" si="116"/>
        <v>1.5408355754960181</v>
      </c>
      <c r="Q191">
        <f t="shared" si="117"/>
        <v>15.134790152451295</v>
      </c>
      <c r="R191">
        <f t="shared" si="118"/>
        <v>1.5046752224717244</v>
      </c>
      <c r="S191">
        <f t="shared" si="119"/>
        <v>0.95654900574764379</v>
      </c>
      <c r="T191">
        <f t="shared" si="120"/>
        <v>-0.29586941981347337</v>
      </c>
      <c r="U191">
        <f t="shared" si="121"/>
        <v>0.85771708219666087</v>
      </c>
      <c r="V191">
        <f t="shared" si="122"/>
        <v>-0.53998366006761866</v>
      </c>
      <c r="X191">
        <f t="shared" si="139"/>
        <v>-10.477928135169659</v>
      </c>
      <c r="Y191">
        <f t="shared" si="123"/>
        <v>-124.20972211695855</v>
      </c>
      <c r="Z191">
        <f t="shared" si="140"/>
        <v>55.790277883041455</v>
      </c>
      <c r="AC191">
        <v>1</v>
      </c>
      <c r="AD191">
        <f t="shared" si="124"/>
        <v>33.367012615282505</v>
      </c>
      <c r="AE191">
        <f t="shared" si="125"/>
        <v>-2.4686419753180079E-3</v>
      </c>
      <c r="AF191">
        <f t="shared" si="126"/>
        <v>4.1184708845175E-3</v>
      </c>
      <c r="AG191">
        <f t="shared" si="141"/>
        <v>5853.2465982415933</v>
      </c>
      <c r="AH191">
        <f t="shared" si="142"/>
        <v>-3751.2879603898264</v>
      </c>
      <c r="AJ191">
        <f t="shared" si="127"/>
        <v>20000</v>
      </c>
      <c r="AK191">
        <f t="shared" si="128"/>
        <v>6096.3233691780006</v>
      </c>
      <c r="AL191">
        <v>1</v>
      </c>
      <c r="AM191">
        <f t="shared" si="129"/>
        <v>15.1017175499589</v>
      </c>
      <c r="AN191">
        <f t="shared" si="143"/>
        <v>489.23442459901412</v>
      </c>
      <c r="AO191">
        <f t="shared" si="144"/>
        <v>-1291.9567268329745</v>
      </c>
      <c r="AQ191">
        <f t="shared" si="130"/>
        <v>0.40567951318458417</v>
      </c>
      <c r="AR191">
        <f t="shared" si="131"/>
        <v>-63.691683569979716</v>
      </c>
      <c r="AT191">
        <f t="shared" si="156"/>
        <v>-236551.30352249945</v>
      </c>
      <c r="AU191">
        <f t="shared" si="157"/>
        <v>-374324.95086584991</v>
      </c>
      <c r="AV191">
        <f t="shared" si="145"/>
        <v>-2.1343713975427301</v>
      </c>
      <c r="AW191">
        <f t="shared" si="146"/>
        <v>-76266.454771093864</v>
      </c>
      <c r="AX191">
        <f t="shared" si="147"/>
        <v>-39194.346863665916</v>
      </c>
      <c r="AY191">
        <f t="shared" si="155"/>
        <v>-2.6668764447071229</v>
      </c>
      <c r="BA191">
        <f t="shared" si="132"/>
        <v>5.1640021484585796</v>
      </c>
      <c r="BB191">
        <f t="shared" si="148"/>
        <v>14.259728285611557</v>
      </c>
      <c r="BC191">
        <f t="shared" si="149"/>
        <v>0.53250504716439284</v>
      </c>
      <c r="BD191">
        <f t="shared" si="133"/>
        <v>-149.48970819320235</v>
      </c>
      <c r="BF191">
        <f t="shared" si="134"/>
        <v>-10.253679216182608</v>
      </c>
      <c r="BG191">
        <f t="shared" si="135"/>
        <v>-130.30349186970048</v>
      </c>
      <c r="BH191">
        <f t="shared" si="150"/>
        <v>49.69650813029952</v>
      </c>
      <c r="BI191">
        <f t="shared" si="151"/>
        <v>49.69650813029952</v>
      </c>
      <c r="BJ191">
        <f t="shared" si="136"/>
        <v>0</v>
      </c>
      <c r="BK191">
        <f t="shared" si="152"/>
        <v>0</v>
      </c>
      <c r="BM191">
        <f t="shared" si="153"/>
        <v>-24.513407501794163</v>
      </c>
      <c r="BN191">
        <f t="shared" si="137"/>
        <v>-160.81378367649813</v>
      </c>
      <c r="BQ191" s="66">
        <f t="shared" si="154"/>
        <v>31.161689085896693</v>
      </c>
      <c r="BR191" s="71"/>
      <c r="BS191" s="71"/>
      <c r="BT191" s="71">
        <v>6456.5420000000004</v>
      </c>
      <c r="BU191" s="71">
        <v>0.12767600000000001</v>
      </c>
      <c r="BV191" s="71">
        <v>-230.779</v>
      </c>
      <c r="BW191" s="75"/>
      <c r="BY191" s="71"/>
      <c r="BZ191" s="71"/>
      <c r="CA191" s="71"/>
      <c r="CC191" s="71"/>
    </row>
    <row r="192" spans="1:81" x14ac:dyDescent="0.15">
      <c r="A192">
        <f t="shared" si="158"/>
        <v>79000</v>
      </c>
      <c r="B192">
        <f t="shared" si="138"/>
        <v>79</v>
      </c>
      <c r="C192">
        <f t="shared" si="107"/>
        <v>1.0522952154667495</v>
      </c>
      <c r="D192">
        <f t="shared" si="108"/>
        <v>0.316586479584266</v>
      </c>
      <c r="F192">
        <f t="shared" si="109"/>
        <v>3.7224746720713876E-3</v>
      </c>
      <c r="G192">
        <f t="shared" si="110"/>
        <v>2.0021335053259728E-2</v>
      </c>
      <c r="H192">
        <f t="shared" si="111"/>
        <v>-3.1215713149467406</v>
      </c>
      <c r="J192">
        <f t="shared" si="112"/>
        <v>15</v>
      </c>
      <c r="M192">
        <f t="shared" si="113"/>
        <v>1.2063590030603833E-2</v>
      </c>
      <c r="N192">
        <f t="shared" si="114"/>
        <v>-1.5707963250000001</v>
      </c>
      <c r="O192">
        <f t="shared" si="115"/>
        <v>33.594428076949406</v>
      </c>
      <c r="P192">
        <f t="shared" si="116"/>
        <v>1.5410250881212002</v>
      </c>
      <c r="Q192">
        <f t="shared" si="117"/>
        <v>15.230770569026697</v>
      </c>
      <c r="R192">
        <f t="shared" si="118"/>
        <v>1.5050925032922213</v>
      </c>
      <c r="S192">
        <f t="shared" si="119"/>
        <v>0.95602981704978252</v>
      </c>
      <c r="T192">
        <f t="shared" si="120"/>
        <v>-0.29764490575364699</v>
      </c>
      <c r="U192">
        <f t="shared" si="121"/>
        <v>0.85627211128184955</v>
      </c>
      <c r="V192">
        <f t="shared" si="122"/>
        <v>-0.54278766571927239</v>
      </c>
      <c r="X192">
        <f t="shared" si="139"/>
        <v>-10.54780918447708</v>
      </c>
      <c r="Y192">
        <f t="shared" si="123"/>
        <v>-124.33735012588436</v>
      </c>
      <c r="Z192">
        <f t="shared" si="140"/>
        <v>55.662649874115644</v>
      </c>
      <c r="AC192">
        <v>1</v>
      </c>
      <c r="AD192">
        <f t="shared" si="124"/>
        <v>33.579541358055003</v>
      </c>
      <c r="AE192">
        <f t="shared" si="125"/>
        <v>-2.5001897956038279E-3</v>
      </c>
      <c r="AF192">
        <f t="shared" si="126"/>
        <v>4.1447031831450005E-3</v>
      </c>
      <c r="AG192">
        <f t="shared" si="141"/>
        <v>5833.5416232862608</v>
      </c>
      <c r="AH192">
        <f t="shared" si="142"/>
        <v>-3760.2116605475794</v>
      </c>
      <c r="AJ192">
        <f t="shared" si="127"/>
        <v>20000</v>
      </c>
      <c r="AK192">
        <f t="shared" si="128"/>
        <v>6135.1534543320004</v>
      </c>
      <c r="AL192">
        <v>1</v>
      </c>
      <c r="AM192">
        <f t="shared" si="129"/>
        <v>15.197906833716598</v>
      </c>
      <c r="AN192">
        <f t="shared" si="143"/>
        <v>488.15958958019769</v>
      </c>
      <c r="AO192">
        <f t="shared" si="144"/>
        <v>-1283.8505080931757</v>
      </c>
      <c r="AQ192">
        <f t="shared" si="130"/>
        <v>0.40056078509913878</v>
      </c>
      <c r="AR192">
        <f t="shared" si="131"/>
        <v>-63.288604045663931</v>
      </c>
      <c r="AT192">
        <f t="shared" si="156"/>
        <v>-235641.85889975217</v>
      </c>
      <c r="AU192">
        <f t="shared" si="157"/>
        <v>-370702.89931495162</v>
      </c>
      <c r="AV192">
        <f t="shared" si="145"/>
        <v>-2.1370262017716635</v>
      </c>
      <c r="AW192">
        <f t="shared" si="146"/>
        <v>-75255.578380367311</v>
      </c>
      <c r="AX192">
        <f t="shared" si="147"/>
        <v>-38901.068236118845</v>
      </c>
      <c r="AY192">
        <f t="shared" si="155"/>
        <v>-2.6645013258750376</v>
      </c>
      <c r="BA192">
        <f t="shared" si="132"/>
        <v>5.1851053040887463</v>
      </c>
      <c r="BB192">
        <f t="shared" si="148"/>
        <v>14.295151617665194</v>
      </c>
      <c r="BC192">
        <f t="shared" si="149"/>
        <v>0.52747512410337416</v>
      </c>
      <c r="BD192">
        <f t="shared" si="133"/>
        <v>-149.77790155620357</v>
      </c>
      <c r="BF192">
        <f t="shared" si="134"/>
        <v>-10.323636256414623</v>
      </c>
      <c r="BG192">
        <f t="shared" si="135"/>
        <v>-130.49169440431368</v>
      </c>
      <c r="BH192">
        <f t="shared" si="150"/>
        <v>49.508305595686323</v>
      </c>
      <c r="BI192">
        <f t="shared" si="151"/>
        <v>49.508305595686323</v>
      </c>
      <c r="BJ192">
        <f t="shared" si="136"/>
        <v>0</v>
      </c>
      <c r="BK192">
        <f t="shared" si="152"/>
        <v>0</v>
      </c>
      <c r="BM192">
        <f t="shared" si="153"/>
        <v>-24.618787874079814</v>
      </c>
      <c r="BN192">
        <f t="shared" si="137"/>
        <v>-160.71379284811013</v>
      </c>
      <c r="BQ192" s="66">
        <f t="shared" si="154"/>
        <v>31.197112417950329</v>
      </c>
      <c r="BR192" s="71"/>
      <c r="BS192" s="71"/>
      <c r="BT192" s="71">
        <v>6606.9340000000002</v>
      </c>
      <c r="BU192" s="71">
        <v>3.6938100000000001E-2</v>
      </c>
      <c r="BV192" s="71">
        <v>-229.60900000000001</v>
      </c>
      <c r="BW192" s="75"/>
      <c r="BY192" s="71"/>
      <c r="BZ192" s="71"/>
      <c r="CA192" s="71"/>
      <c r="CC192" s="71"/>
    </row>
    <row r="193" spans="1:81" x14ac:dyDescent="0.15">
      <c r="A193">
        <f t="shared" si="158"/>
        <v>79500</v>
      </c>
      <c r="B193">
        <f t="shared" si="138"/>
        <v>79.5</v>
      </c>
      <c r="C193">
        <f t="shared" si="107"/>
        <v>1.0529425752569528</v>
      </c>
      <c r="D193">
        <f t="shared" si="108"/>
        <v>0.31845781561206288</v>
      </c>
      <c r="F193">
        <f t="shared" si="109"/>
        <v>3.6756332409273477E-3</v>
      </c>
      <c r="G193">
        <f t="shared" si="110"/>
        <v>1.9894504340325088E-2</v>
      </c>
      <c r="H193">
        <f t="shared" si="111"/>
        <v>-3.1216981456596753</v>
      </c>
      <c r="J193">
        <f t="shared" si="112"/>
        <v>15</v>
      </c>
      <c r="M193">
        <f t="shared" si="113"/>
        <v>1.198771839519123E-2</v>
      </c>
      <c r="N193">
        <f t="shared" si="114"/>
        <v>-1.5707963250000001</v>
      </c>
      <c r="O193">
        <f t="shared" si="115"/>
        <v>33.806863233657751</v>
      </c>
      <c r="P193">
        <f t="shared" si="116"/>
        <v>1.5412122190387665</v>
      </c>
      <c r="Q193">
        <f t="shared" si="117"/>
        <v>15.326753604418077</v>
      </c>
      <c r="R193">
        <f t="shared" si="118"/>
        <v>1.5055045577827744</v>
      </c>
      <c r="S193">
        <f t="shared" si="119"/>
        <v>0.95550818445829944</v>
      </c>
      <c r="T193">
        <f t="shared" si="120"/>
        <v>-0.29941845978495552</v>
      </c>
      <c r="U193">
        <f t="shared" si="121"/>
        <v>0.85482531366361458</v>
      </c>
      <c r="V193">
        <f t="shared" si="122"/>
        <v>-0.54558221772167292</v>
      </c>
      <c r="X193">
        <f t="shared" si="139"/>
        <v>-10.617370272000066</v>
      </c>
      <c r="Y193">
        <f t="shared" si="123"/>
        <v>-124.46479973521905</v>
      </c>
      <c r="Z193">
        <f t="shared" si="140"/>
        <v>55.535200264780954</v>
      </c>
      <c r="AC193">
        <v>1</v>
      </c>
      <c r="AD193">
        <f t="shared" si="124"/>
        <v>33.792070100827509</v>
      </c>
      <c r="AE193">
        <f t="shared" si="125"/>
        <v>-2.53193791951051E-3</v>
      </c>
      <c r="AF193">
        <f t="shared" si="126"/>
        <v>4.170935481772501E-3</v>
      </c>
      <c r="AG193">
        <f t="shared" si="141"/>
        <v>5813.8450251051872</v>
      </c>
      <c r="AH193">
        <f t="shared" si="142"/>
        <v>-3769.0093135990637</v>
      </c>
      <c r="AJ193">
        <f t="shared" si="127"/>
        <v>20000</v>
      </c>
      <c r="AK193">
        <f t="shared" si="128"/>
        <v>6173.9835394860002</v>
      </c>
      <c r="AL193">
        <v>1</v>
      </c>
      <c r="AM193">
        <f t="shared" si="129"/>
        <v>15.2940961174743</v>
      </c>
      <c r="AN193">
        <f t="shared" si="143"/>
        <v>487.104855516638</v>
      </c>
      <c r="AO193">
        <f t="shared" si="144"/>
        <v>-1275.844940073893</v>
      </c>
      <c r="AQ193">
        <f t="shared" si="130"/>
        <v>0.39553832766395064</v>
      </c>
      <c r="AR193">
        <f t="shared" si="131"/>
        <v>-62.890594098568151</v>
      </c>
      <c r="AT193">
        <f t="shared" si="156"/>
        <v>-234735.63635675417</v>
      </c>
      <c r="AU193">
        <f t="shared" si="157"/>
        <v>-367126.95526672091</v>
      </c>
      <c r="AV193">
        <f t="shared" si="145"/>
        <v>-2.139673427019992</v>
      </c>
      <c r="AW193">
        <f t="shared" si="146"/>
        <v>-74263.916560064754</v>
      </c>
      <c r="AX193">
        <f t="shared" si="147"/>
        <v>-38612.848796750754</v>
      </c>
      <c r="AY193">
        <f t="shared" si="155"/>
        <v>-2.6621198709638652</v>
      </c>
      <c r="BA193">
        <f t="shared" si="132"/>
        <v>5.2060157324163239</v>
      </c>
      <c r="BB193">
        <f t="shared" si="148"/>
        <v>14.330109523990163</v>
      </c>
      <c r="BC193">
        <f t="shared" si="149"/>
        <v>0.52244644394387318</v>
      </c>
      <c r="BD193">
        <f t="shared" si="133"/>
        <v>-150.06602370619336</v>
      </c>
      <c r="BF193">
        <f t="shared" si="134"/>
        <v>-10.39332815496534</v>
      </c>
      <c r="BG193">
        <f t="shared" si="135"/>
        <v>-130.67986376230954</v>
      </c>
      <c r="BH193">
        <f t="shared" si="150"/>
        <v>49.320136237690463</v>
      </c>
      <c r="BI193">
        <f t="shared" si="151"/>
        <v>49.320136237690463</v>
      </c>
      <c r="BJ193">
        <f t="shared" si="136"/>
        <v>0</v>
      </c>
      <c r="BK193">
        <f t="shared" si="152"/>
        <v>0</v>
      </c>
      <c r="BM193">
        <f t="shared" si="153"/>
        <v>-24.723437678955506</v>
      </c>
      <c r="BN193">
        <f t="shared" si="137"/>
        <v>-160.6138400561162</v>
      </c>
      <c r="BQ193" s="66">
        <f t="shared" si="154"/>
        <v>31.232070324275302</v>
      </c>
      <c r="BR193" s="71"/>
      <c r="BS193" s="71"/>
      <c r="BT193" s="71">
        <v>6760.83</v>
      </c>
      <c r="BU193" s="71">
        <v>-4.9019100000000003E-2</v>
      </c>
      <c r="BV193" s="71">
        <v>-229.1</v>
      </c>
      <c r="BW193" s="75"/>
      <c r="BY193" s="71"/>
      <c r="BZ193" s="71"/>
      <c r="CA193" s="71"/>
      <c r="CC193" s="71"/>
    </row>
    <row r="194" spans="1:81" x14ac:dyDescent="0.15">
      <c r="A194">
        <f t="shared" si="158"/>
        <v>80000</v>
      </c>
      <c r="B194">
        <f t="shared" si="138"/>
        <v>80</v>
      </c>
      <c r="C194">
        <f t="shared" si="107"/>
        <v>1.0535936178065095</v>
      </c>
      <c r="D194">
        <f t="shared" si="108"/>
        <v>0.32032684548512702</v>
      </c>
      <c r="F194">
        <f t="shared" si="109"/>
        <v>3.6296714285387237E-3</v>
      </c>
      <c r="G194">
        <f t="shared" si="110"/>
        <v>1.9769275998432492E-2</v>
      </c>
      <c r="H194">
        <f t="shared" si="111"/>
        <v>-3.1218233740015675</v>
      </c>
      <c r="J194">
        <f t="shared" si="112"/>
        <v>15</v>
      </c>
      <c r="M194">
        <f t="shared" si="113"/>
        <v>1.1912795155221284E-2</v>
      </c>
      <c r="N194">
        <f t="shared" si="114"/>
        <v>-1.5707963250000001</v>
      </c>
      <c r="O194">
        <f t="shared" si="115"/>
        <v>34.019299559428944</v>
      </c>
      <c r="P194">
        <f t="shared" si="116"/>
        <v>1.5413970128537968</v>
      </c>
      <c r="Q194">
        <f t="shared" si="117"/>
        <v>15.422739209731029</v>
      </c>
      <c r="R194">
        <f t="shared" si="118"/>
        <v>1.5059114833825535</v>
      </c>
      <c r="S194">
        <f t="shared" si="119"/>
        <v>0.95498412180796843</v>
      </c>
      <c r="T194">
        <f t="shared" si="120"/>
        <v>-0.30119007391970437</v>
      </c>
      <c r="U194">
        <f t="shared" si="121"/>
        <v>0.85337676620618286</v>
      </c>
      <c r="V194">
        <f t="shared" si="122"/>
        <v>-0.54836732037587155</v>
      </c>
      <c r="X194">
        <f t="shared" si="139"/>
        <v>-10.686615499723345</v>
      </c>
      <c r="Y194">
        <f t="shared" si="123"/>
        <v>-124.59206488263837</v>
      </c>
      <c r="Z194">
        <f t="shared" si="140"/>
        <v>55.407935117361632</v>
      </c>
      <c r="AC194">
        <v>1</v>
      </c>
      <c r="AD194">
        <f t="shared" si="124"/>
        <v>34.0045988436</v>
      </c>
      <c r="AE194">
        <f t="shared" si="125"/>
        <v>-2.5638863470380546E-3</v>
      </c>
      <c r="AF194">
        <f t="shared" si="126"/>
        <v>4.1971677803999997E-3</v>
      </c>
      <c r="AG194">
        <f t="shared" si="141"/>
        <v>5794.1579736299282</v>
      </c>
      <c r="AH194">
        <f t="shared" si="142"/>
        <v>-3777.6813677103901</v>
      </c>
      <c r="AJ194">
        <f t="shared" si="127"/>
        <v>20000</v>
      </c>
      <c r="AK194">
        <f t="shared" si="128"/>
        <v>6212.8136246399999</v>
      </c>
      <c r="AL194">
        <v>1</v>
      </c>
      <c r="AM194">
        <f t="shared" si="129"/>
        <v>15.390285401231999</v>
      </c>
      <c r="AN194">
        <f t="shared" si="143"/>
        <v>486.06972499258472</v>
      </c>
      <c r="AO194">
        <f t="shared" si="144"/>
        <v>-1267.93816789423</v>
      </c>
      <c r="AQ194">
        <f t="shared" si="130"/>
        <v>0.39060974180696068</v>
      </c>
      <c r="AR194">
        <f t="shared" si="131"/>
        <v>-62.49755868911371</v>
      </c>
      <c r="AT194">
        <f t="shared" si="156"/>
        <v>-233832.60843718314</v>
      </c>
      <c r="AU194">
        <f t="shared" si="157"/>
        <v>-363596.32715460297</v>
      </c>
      <c r="AV194">
        <f t="shared" si="145"/>
        <v>-2.1423130424901689</v>
      </c>
      <c r="AW194">
        <f t="shared" si="146"/>
        <v>-73290.992968842358</v>
      </c>
      <c r="AX194">
        <f t="shared" si="147"/>
        <v>-38329.557980353653</v>
      </c>
      <c r="AY194">
        <f t="shared" si="155"/>
        <v>-2.6597322791514051</v>
      </c>
      <c r="BA194">
        <f t="shared" si="132"/>
        <v>5.2267331962014483</v>
      </c>
      <c r="BB194">
        <f t="shared" si="148"/>
        <v>14.36460663338873</v>
      </c>
      <c r="BC194">
        <f t="shared" si="149"/>
        <v>0.51741923666123624</v>
      </c>
      <c r="BD194">
        <f t="shared" si="133"/>
        <v>-150.35406146655504</v>
      </c>
      <c r="BF194">
        <f t="shared" si="134"/>
        <v>-10.462759304428779</v>
      </c>
      <c r="BG194">
        <f t="shared" si="135"/>
        <v>-130.86798905451244</v>
      </c>
      <c r="BH194">
        <f t="shared" si="150"/>
        <v>49.132010945487565</v>
      </c>
      <c r="BI194">
        <f t="shared" si="151"/>
        <v>49.132010945487565</v>
      </c>
      <c r="BJ194">
        <f t="shared" si="136"/>
        <v>0</v>
      </c>
      <c r="BK194">
        <f t="shared" si="152"/>
        <v>0</v>
      </c>
      <c r="BM194">
        <f t="shared" si="153"/>
        <v>-24.827365937817511</v>
      </c>
      <c r="BN194">
        <f t="shared" si="137"/>
        <v>-160.51392758795743</v>
      </c>
      <c r="BQ194" s="66">
        <f t="shared" si="154"/>
        <v>31.26656743367387</v>
      </c>
      <c r="BR194" s="71"/>
      <c r="BS194" s="71"/>
      <c r="BT194" s="71">
        <v>6918.31</v>
      </c>
      <c r="BU194" s="71">
        <v>-0.21798300000000001</v>
      </c>
      <c r="BV194" s="71">
        <v>-228.376</v>
      </c>
      <c r="BW194" s="75"/>
      <c r="BY194" s="71"/>
      <c r="BZ194" s="71"/>
      <c r="CA194" s="71"/>
      <c r="CC194" s="71"/>
    </row>
    <row r="195" spans="1:81" x14ac:dyDescent="0.15">
      <c r="A195">
        <f t="shared" si="158"/>
        <v>80500</v>
      </c>
      <c r="B195">
        <f t="shared" si="138"/>
        <v>80.5</v>
      </c>
      <c r="C195">
        <f t="shared" si="107"/>
        <v>1.0542483362926447</v>
      </c>
      <c r="D195">
        <f t="shared" si="108"/>
        <v>0.32219356042997621</v>
      </c>
      <c r="F195">
        <f t="shared" si="109"/>
        <v>3.5845673231146534E-3</v>
      </c>
      <c r="G195">
        <f t="shared" si="110"/>
        <v>1.9645619749250963E-2</v>
      </c>
      <c r="H195">
        <f t="shared" si="111"/>
        <v>-3.121947030250749</v>
      </c>
      <c r="J195">
        <f t="shared" si="112"/>
        <v>15</v>
      </c>
      <c r="M195">
        <f t="shared" si="113"/>
        <v>1.1838802638729228E-2</v>
      </c>
      <c r="N195">
        <f t="shared" si="114"/>
        <v>-1.5707963250000001</v>
      </c>
      <c r="O195">
        <f t="shared" si="115"/>
        <v>34.231737032497989</v>
      </c>
      <c r="P195">
        <f t="shared" si="116"/>
        <v>1.5415795130647663</v>
      </c>
      <c r="Q195">
        <f t="shared" si="117"/>
        <v>15.518727337279525</v>
      </c>
      <c r="R195">
        <f t="shared" si="118"/>
        <v>1.5063133751268547</v>
      </c>
      <c r="S195">
        <f t="shared" si="119"/>
        <v>0.9544576429557956</v>
      </c>
      <c r="T195">
        <f t="shared" si="120"/>
        <v>-0.30295974023637157</v>
      </c>
      <c r="U195">
        <f t="shared" si="121"/>
        <v>0.8519265450347191</v>
      </c>
      <c r="V195">
        <f t="shared" si="122"/>
        <v>-0.55114297854025251</v>
      </c>
      <c r="X195">
        <f t="shared" si="139"/>
        <v>-10.755548881515729</v>
      </c>
      <c r="Y195">
        <f t="shared" si="123"/>
        <v>-124.71913969274141</v>
      </c>
      <c r="Z195">
        <f t="shared" si="140"/>
        <v>55.280860307258592</v>
      </c>
      <c r="AC195">
        <v>1</v>
      </c>
      <c r="AD195">
        <f t="shared" si="124"/>
        <v>34.217127586372506</v>
      </c>
      <c r="AE195">
        <f t="shared" si="125"/>
        <v>-2.5960350781864617E-3</v>
      </c>
      <c r="AF195">
        <f t="shared" si="126"/>
        <v>4.2234000790275002E-3</v>
      </c>
      <c r="AG195">
        <f t="shared" si="141"/>
        <v>5774.481621836766</v>
      </c>
      <c r="AH195">
        <f t="shared" si="142"/>
        <v>-3786.2282874970729</v>
      </c>
      <c r="AJ195">
        <f t="shared" si="127"/>
        <v>20000</v>
      </c>
      <c r="AK195">
        <f t="shared" si="128"/>
        <v>6251.6437097939997</v>
      </c>
      <c r="AL195">
        <v>1</v>
      </c>
      <c r="AM195">
        <f t="shared" si="129"/>
        <v>15.4864746849897</v>
      </c>
      <c r="AN195">
        <f t="shared" si="143"/>
        <v>485.05371586252937</v>
      </c>
      <c r="AO195">
        <f t="shared" si="144"/>
        <v>-1260.1283817712481</v>
      </c>
      <c r="AQ195">
        <f t="shared" si="130"/>
        <v>0.38577270272355529</v>
      </c>
      <c r="AR195">
        <f t="shared" si="131"/>
        <v>-62.109405138492399</v>
      </c>
      <c r="AT195">
        <f t="shared" si="156"/>
        <v>-232932.74927289251</v>
      </c>
      <c r="AU195">
        <f t="shared" si="157"/>
        <v>-360110.24203503446</v>
      </c>
      <c r="AV195">
        <f t="shared" si="145"/>
        <v>-2.1449450188124128</v>
      </c>
      <c r="AW195">
        <f t="shared" si="146"/>
        <v>-72336.345858045286</v>
      </c>
      <c r="AX195">
        <f t="shared" si="147"/>
        <v>-38051.069527252293</v>
      </c>
      <c r="AY195">
        <f t="shared" si="155"/>
        <v>-2.6573387471593808</v>
      </c>
      <c r="BA195">
        <f t="shared" si="132"/>
        <v>5.2472574803043592</v>
      </c>
      <c r="BB195">
        <f t="shared" si="148"/>
        <v>14.398647506691404</v>
      </c>
      <c r="BC195">
        <f t="shared" si="149"/>
        <v>0.51239372834696795</v>
      </c>
      <c r="BD195">
        <f t="shared" si="133"/>
        <v>-150.64200188319953</v>
      </c>
      <c r="BF195">
        <f t="shared" si="134"/>
        <v>-10.53193399668103</v>
      </c>
      <c r="BG195">
        <f t="shared" si="135"/>
        <v>-131.05605956433749</v>
      </c>
      <c r="BH195">
        <f t="shared" si="150"/>
        <v>48.943940435662512</v>
      </c>
      <c r="BI195">
        <f t="shared" si="151"/>
        <v>48.943940435662512</v>
      </c>
      <c r="BJ195">
        <f t="shared" si="136"/>
        <v>0</v>
      </c>
      <c r="BK195">
        <f t="shared" si="152"/>
        <v>0</v>
      </c>
      <c r="BM195">
        <f t="shared" si="153"/>
        <v>-24.930581503372437</v>
      </c>
      <c r="BN195">
        <f t="shared" si="137"/>
        <v>-160.41405768113796</v>
      </c>
      <c r="BQ195" s="66">
        <f t="shared" si="154"/>
        <v>31.300608306976542</v>
      </c>
      <c r="BR195" s="71"/>
      <c r="BS195" s="71"/>
      <c r="BT195" s="71">
        <v>7079.4579999999996</v>
      </c>
      <c r="BU195" s="71">
        <v>-0.38401400000000002</v>
      </c>
      <c r="BV195" s="71">
        <v>-227.04400000000001</v>
      </c>
      <c r="BW195" s="75"/>
      <c r="BY195" s="71"/>
      <c r="BZ195" s="71"/>
      <c r="CA195" s="71"/>
      <c r="CC195" s="71"/>
    </row>
    <row r="196" spans="1:81" x14ac:dyDescent="0.15">
      <c r="A196">
        <f t="shared" si="158"/>
        <v>81000</v>
      </c>
      <c r="B196">
        <f t="shared" si="138"/>
        <v>81</v>
      </c>
      <c r="C196">
        <f t="shared" si="107"/>
        <v>1.0549067238710461</v>
      </c>
      <c r="D196">
        <f t="shared" si="108"/>
        <v>0.32405795175938035</v>
      </c>
      <c r="F196">
        <f t="shared" si="109"/>
        <v>3.5402996916874194E-3</v>
      </c>
      <c r="G196">
        <f t="shared" si="110"/>
        <v>1.9523506075007153E-2</v>
      </c>
      <c r="H196">
        <f t="shared" si="111"/>
        <v>-3.122069143924993</v>
      </c>
      <c r="J196">
        <f t="shared" si="112"/>
        <v>15</v>
      </c>
      <c r="M196">
        <f t="shared" si="113"/>
        <v>1.1765723610095096E-2</v>
      </c>
      <c r="N196">
        <f t="shared" si="114"/>
        <v>-1.5707963250000001</v>
      </c>
      <c r="O196">
        <f t="shared" si="115"/>
        <v>34.444175631636689</v>
      </c>
      <c r="P196">
        <f t="shared" si="116"/>
        <v>1.5417597620976413</v>
      </c>
      <c r="Q196">
        <f t="shared" si="117"/>
        <v>15.614717940548864</v>
      </c>
      <c r="R196">
        <f t="shared" si="118"/>
        <v>1.506710325720674</v>
      </c>
      <c r="S196">
        <f t="shared" si="119"/>
        <v>0.95392876178014885</v>
      </c>
      <c r="T196">
        <f t="shared" si="120"/>
        <v>-0.30472745087964376</v>
      </c>
      <c r="U196">
        <f t="shared" si="121"/>
        <v>0.85047472553366865</v>
      </c>
      <c r="V196">
        <f t="shared" si="122"/>
        <v>-0.55390919762240654</v>
      </c>
      <c r="X196">
        <f t="shared" si="139"/>
        <v>-10.824174345546796</v>
      </c>
      <c r="Y196">
        <f t="shared" si="123"/>
        <v>-124.84601847183549</v>
      </c>
      <c r="Z196">
        <f t="shared" si="140"/>
        <v>55.153981528164508</v>
      </c>
      <c r="AC196">
        <v>1</v>
      </c>
      <c r="AD196">
        <f t="shared" si="124"/>
        <v>34.429656329145004</v>
      </c>
      <c r="AE196">
        <f t="shared" si="125"/>
        <v>-2.6283841129557308E-3</v>
      </c>
      <c r="AF196">
        <f t="shared" si="126"/>
        <v>4.2496323776550007E-3</v>
      </c>
      <c r="AG196">
        <f t="shared" si="141"/>
        <v>5754.8171057886975</v>
      </c>
      <c r="AH196">
        <f t="shared" si="142"/>
        <v>-3794.6505534484245</v>
      </c>
      <c r="AJ196">
        <f t="shared" si="127"/>
        <v>20000</v>
      </c>
      <c r="AK196">
        <f t="shared" si="128"/>
        <v>6290.4737949480004</v>
      </c>
      <c r="AL196">
        <v>1</v>
      </c>
      <c r="AM196">
        <f t="shared" si="129"/>
        <v>15.582663968747399</v>
      </c>
      <c r="AN196">
        <f t="shared" si="143"/>
        <v>484.05636069287698</v>
      </c>
      <c r="AO196">
        <f t="shared" si="144"/>
        <v>-1252.4138156638885</v>
      </c>
      <c r="AQ196">
        <f t="shared" si="130"/>
        <v>0.38102495713469231</v>
      </c>
      <c r="AR196">
        <f t="shared" si="131"/>
        <v>-61.726043055820156</v>
      </c>
      <c r="AT196">
        <f t="shared" si="156"/>
        <v>-232036.03450289808</v>
      </c>
      <c r="AU196">
        <f t="shared" si="157"/>
        <v>-356667.94501475233</v>
      </c>
      <c r="AV196">
        <f t="shared" si="145"/>
        <v>-2.1475693280097774</v>
      </c>
      <c r="AW196">
        <f t="shared" si="146"/>
        <v>-71399.527539252318</v>
      </c>
      <c r="AX196">
        <f t="shared" si="147"/>
        <v>-37777.261312677103</v>
      </c>
      <c r="AY196">
        <f t="shared" si="155"/>
        <v>-2.65493946930712</v>
      </c>
      <c r="BA196">
        <f t="shared" si="132"/>
        <v>5.2675883916578075</v>
      </c>
      <c r="BB196">
        <f t="shared" si="148"/>
        <v>14.432236638567728</v>
      </c>
      <c r="BC196">
        <f t="shared" si="149"/>
        <v>0.50737014129734259</v>
      </c>
      <c r="BD196">
        <f t="shared" si="133"/>
        <v>-150.92983221948853</v>
      </c>
      <c r="BF196">
        <f t="shared" si="134"/>
        <v>-10.600856425318577</v>
      </c>
      <c r="BG196">
        <f t="shared" si="135"/>
        <v>-131.24406474413178</v>
      </c>
      <c r="BH196">
        <f t="shared" si="150"/>
        <v>48.755935255868224</v>
      </c>
      <c r="BI196">
        <f t="shared" si="151"/>
        <v>48.755935255868224</v>
      </c>
      <c r="BJ196">
        <f t="shared" si="136"/>
        <v>0</v>
      </c>
      <c r="BK196">
        <f t="shared" si="152"/>
        <v>0</v>
      </c>
      <c r="BM196">
        <f t="shared" si="153"/>
        <v>-25.033093063886302</v>
      </c>
      <c r="BN196">
        <f t="shared" si="137"/>
        <v>-160.31423252464327</v>
      </c>
      <c r="BQ196" s="66">
        <f t="shared" si="154"/>
        <v>31.334197438852861</v>
      </c>
      <c r="BR196" s="71"/>
      <c r="BS196" s="71"/>
      <c r="BT196" s="71">
        <v>7244.36</v>
      </c>
      <c r="BU196" s="71">
        <v>-0.57486000000000004</v>
      </c>
      <c r="BV196" s="71">
        <v>-226.239</v>
      </c>
      <c r="BW196" s="75"/>
      <c r="BY196" s="71"/>
      <c r="BZ196" s="71"/>
      <c r="CA196" s="71"/>
      <c r="CC196" s="71"/>
    </row>
    <row r="197" spans="1:81" x14ac:dyDescent="0.15">
      <c r="A197">
        <f t="shared" si="158"/>
        <v>81500</v>
      </c>
      <c r="B197">
        <f t="shared" si="138"/>
        <v>81.5</v>
      </c>
      <c r="C197">
        <f t="shared" si="107"/>
        <v>1.0555687736761696</v>
      </c>
      <c r="D197">
        <f t="shared" si="108"/>
        <v>0.32592001087233652</v>
      </c>
      <c r="F197">
        <f t="shared" si="109"/>
        <v>3.4968479550047736E-3</v>
      </c>
      <c r="G197">
        <f t="shared" si="110"/>
        <v>1.9402906194679572E-2</v>
      </c>
      <c r="H197">
        <f t="shared" si="111"/>
        <v>-3.1221897438053205</v>
      </c>
      <c r="J197">
        <f t="shared" si="112"/>
        <v>15</v>
      </c>
      <c r="M197">
        <f t="shared" si="113"/>
        <v>1.1693541256658928E-2</v>
      </c>
      <c r="N197">
        <f t="shared" si="114"/>
        <v>-1.5707963250000001</v>
      </c>
      <c r="O197">
        <f t="shared" si="115"/>
        <v>34.65661533613725</v>
      </c>
      <c r="P197">
        <f t="shared" si="116"/>
        <v>1.5419378013387237</v>
      </c>
      <c r="Q197">
        <f t="shared" si="117"/>
        <v>15.710710974159948</v>
      </c>
      <c r="R197">
        <f t="shared" si="118"/>
        <v>1.5071024256096006</v>
      </c>
      <c r="S197">
        <f t="shared" si="119"/>
        <v>0.95339749217989045</v>
      </c>
      <c r="T197">
        <f t="shared" si="120"/>
        <v>-0.30649319806044845</v>
      </c>
      <c r="U197">
        <f t="shared" si="121"/>
        <v>0.84902138234532509</v>
      </c>
      <c r="V197">
        <f t="shared" si="122"/>
        <v>-0.55666598357102548</v>
      </c>
      <c r="X197">
        <f t="shared" si="139"/>
        <v>-10.892495736624433</v>
      </c>
      <c r="Y197">
        <f t="shared" si="123"/>
        <v>-124.97269570289579</v>
      </c>
      <c r="Z197">
        <f t="shared" si="140"/>
        <v>55.027304297104209</v>
      </c>
      <c r="AC197">
        <v>1</v>
      </c>
      <c r="AD197">
        <f t="shared" si="124"/>
        <v>34.642185071917503</v>
      </c>
      <c r="AE197">
        <f t="shared" si="125"/>
        <v>-2.660933451345862E-3</v>
      </c>
      <c r="AF197">
        <f t="shared" si="126"/>
        <v>4.2758646762825004E-3</v>
      </c>
      <c r="AG197">
        <f t="shared" si="141"/>
        <v>5735.1655446819314</v>
      </c>
      <c r="AH197">
        <f t="shared" si="142"/>
        <v>-3802.9486613659215</v>
      </c>
      <c r="AJ197">
        <f t="shared" si="127"/>
        <v>20000</v>
      </c>
      <c r="AK197">
        <f t="shared" si="128"/>
        <v>6329.3038801020002</v>
      </c>
      <c r="AL197">
        <v>1</v>
      </c>
      <c r="AM197">
        <f t="shared" si="129"/>
        <v>15.6788532525051</v>
      </c>
      <c r="AN197">
        <f t="shared" si="143"/>
        <v>483.07720622725651</v>
      </c>
      <c r="AO197">
        <f t="shared" si="144"/>
        <v>-1244.7927459652967</v>
      </c>
      <c r="AQ197">
        <f t="shared" si="130"/>
        <v>0.37636432066240122</v>
      </c>
      <c r="AR197">
        <f t="shared" si="131"/>
        <v>-61.3473842679714</v>
      </c>
      <c r="AT197">
        <f t="shared" si="156"/>
        <v>-231142.441196072</v>
      </c>
      <c r="AU197">
        <f t="shared" si="157"/>
        <v>-353268.69869948091</v>
      </c>
      <c r="AV197">
        <f t="shared" si="145"/>
        <v>-2.1501859434642192</v>
      </c>
      <c r="AW197">
        <f t="shared" si="146"/>
        <v>-70480.103874330336</v>
      </c>
      <c r="AX197">
        <f t="shared" si="147"/>
        <v>-37508.015183996737</v>
      </c>
      <c r="AY197">
        <f t="shared" si="155"/>
        <v>-2.6525346375624936</v>
      </c>
      <c r="BA197">
        <f t="shared" si="132"/>
        <v>5.2877257592328446</v>
      </c>
      <c r="BB197">
        <f t="shared" si="148"/>
        <v>14.465378459278044</v>
      </c>
      <c r="BC197">
        <f t="shared" si="149"/>
        <v>0.50234869409827443</v>
      </c>
      <c r="BD197">
        <f t="shared" si="133"/>
        <v>-151.21753995137169</v>
      </c>
      <c r="BF197">
        <f t="shared" si="134"/>
        <v>-10.669530688022084</v>
      </c>
      <c r="BG197">
        <f t="shared" si="135"/>
        <v>-131.43199421167722</v>
      </c>
      <c r="BH197">
        <f t="shared" si="150"/>
        <v>48.568005788322779</v>
      </c>
      <c r="BI197">
        <f t="shared" si="151"/>
        <v>48.568005788322779</v>
      </c>
      <c r="BJ197">
        <f t="shared" si="136"/>
        <v>0</v>
      </c>
      <c r="BK197">
        <f t="shared" si="152"/>
        <v>0</v>
      </c>
      <c r="BM197">
        <f t="shared" si="153"/>
        <v>-25.134909147300132</v>
      </c>
      <c r="BN197">
        <f t="shared" si="137"/>
        <v>-160.21445426030556</v>
      </c>
      <c r="BQ197" s="66">
        <f t="shared" si="154"/>
        <v>31.367339259563181</v>
      </c>
      <c r="BR197" s="71"/>
      <c r="BS197" s="71"/>
      <c r="BT197" s="71">
        <v>7413.1019999999999</v>
      </c>
      <c r="BU197" s="71">
        <v>-0.73329999999999995</v>
      </c>
      <c r="BV197" s="71">
        <v>-225.834</v>
      </c>
      <c r="BW197" s="75"/>
      <c r="BY197" s="71"/>
      <c r="BZ197" s="71"/>
      <c r="CA197" s="71"/>
      <c r="CC197" s="71"/>
    </row>
    <row r="198" spans="1:81" x14ac:dyDescent="0.15">
      <c r="A198">
        <f t="shared" si="158"/>
        <v>82000</v>
      </c>
      <c r="B198">
        <f t="shared" si="138"/>
        <v>82</v>
      </c>
      <c r="C198">
        <f t="shared" si="107"/>
        <v>1.0562344788215428</v>
      </c>
      <c r="D198">
        <f t="shared" si="108"/>
        <v>0.32777972925403748</v>
      </c>
      <c r="F198">
        <f t="shared" si="109"/>
        <v>3.4541921635002138E-3</v>
      </c>
      <c r="G198">
        <f t="shared" si="110"/>
        <v>1.9283792041084071E-2</v>
      </c>
      <c r="H198">
        <f t="shared" si="111"/>
        <v>-3.1223088579589162</v>
      </c>
      <c r="J198">
        <f t="shared" si="112"/>
        <v>15</v>
      </c>
      <c r="M198">
        <f t="shared" si="113"/>
        <v>1.1622239175825643E-2</v>
      </c>
      <c r="N198">
        <f t="shared" si="114"/>
        <v>-1.5707963250000001</v>
      </c>
      <c r="O198">
        <f t="shared" si="115"/>
        <v>34.86905612579644</v>
      </c>
      <c r="P198">
        <f t="shared" si="116"/>
        <v>1.5421136711662937</v>
      </c>
      <c r="Q198">
        <f t="shared" si="117"/>
        <v>15.806706393834888</v>
      </c>
      <c r="R198">
        <f t="shared" si="118"/>
        <v>1.5074897630481392</v>
      </c>
      <c r="S198">
        <f t="shared" si="119"/>
        <v>0.9528638480735151</v>
      </c>
      <c r="T198">
        <f t="shared" si="120"/>
        <v>-0.30825697405598063</v>
      </c>
      <c r="U198">
        <f t="shared" si="121"/>
        <v>0.84756658936861906</v>
      </c>
      <c r="V198">
        <f t="shared" si="122"/>
        <v>-0.55941334286782107</v>
      </c>
      <c r="X198">
        <f t="shared" si="139"/>
        <v>-10.960516818456254</v>
      </c>
      <c r="Y198">
        <f t="shared" si="123"/>
        <v>-125.099166040691</v>
      </c>
      <c r="Z198">
        <f t="shared" si="140"/>
        <v>54.900833959308997</v>
      </c>
      <c r="AC198">
        <v>1</v>
      </c>
      <c r="AD198">
        <f t="shared" si="124"/>
        <v>34.854713814690008</v>
      </c>
      <c r="AE198">
        <f t="shared" si="125"/>
        <v>-2.6936830933568562E-3</v>
      </c>
      <c r="AF198">
        <f t="shared" si="126"/>
        <v>4.30209697491E-3</v>
      </c>
      <c r="AG198">
        <f t="shared" si="141"/>
        <v>5715.528040896731</v>
      </c>
      <c r="AH198">
        <f t="shared" si="142"/>
        <v>-3811.1231218151611</v>
      </c>
      <c r="AJ198">
        <f t="shared" si="127"/>
        <v>20000</v>
      </c>
      <c r="AK198">
        <f t="shared" si="128"/>
        <v>6368.133965256</v>
      </c>
      <c r="AL198">
        <v>1</v>
      </c>
      <c r="AM198">
        <f t="shared" si="129"/>
        <v>15.775042536262799</v>
      </c>
      <c r="AN198">
        <f t="shared" si="143"/>
        <v>482.11581287433597</v>
      </c>
      <c r="AO198">
        <f t="shared" si="144"/>
        <v>-1237.2634902415655</v>
      </c>
      <c r="AQ198">
        <f t="shared" si="130"/>
        <v>0.37178867531694987</v>
      </c>
      <c r="AR198">
        <f t="shared" si="131"/>
        <v>-60.973342751979771</v>
      </c>
      <c r="AT198">
        <f t="shared" si="156"/>
        <v>-230251.94777736909</v>
      </c>
      <c r="AU198">
        <f t="shared" si="157"/>
        <v>-349911.78266307729</v>
      </c>
      <c r="AV198">
        <f t="shared" si="145"/>
        <v>-2.1527948398836383</v>
      </c>
      <c r="AW198">
        <f t="shared" si="146"/>
        <v>-69577.653786919313</v>
      </c>
      <c r="AX198">
        <f t="shared" si="147"/>
        <v>-37243.216805399417</v>
      </c>
      <c r="AY198">
        <f t="shared" si="155"/>
        <v>-2.6501244415902354</v>
      </c>
      <c r="BA198">
        <f t="shared" si="132"/>
        <v>5.3076694339979467</v>
      </c>
      <c r="BB198">
        <f t="shared" si="148"/>
        <v>14.498077336368251</v>
      </c>
      <c r="BC198">
        <f t="shared" si="149"/>
        <v>0.49732960170659712</v>
      </c>
      <c r="BD198">
        <f t="shared" si="133"/>
        <v>-151.5051127627296</v>
      </c>
      <c r="BF198">
        <f t="shared" si="134"/>
        <v>-10.73796078884868</v>
      </c>
      <c r="BG198">
        <f t="shared" si="135"/>
        <v>-131.61983774684811</v>
      </c>
      <c r="BH198">
        <f t="shared" si="150"/>
        <v>48.380162253151894</v>
      </c>
      <c r="BI198">
        <f t="shared" si="151"/>
        <v>48.380162253151894</v>
      </c>
      <c r="BJ198">
        <f t="shared" si="136"/>
        <v>0</v>
      </c>
      <c r="BK198">
        <f t="shared" si="152"/>
        <v>0</v>
      </c>
      <c r="BM198">
        <f t="shared" si="153"/>
        <v>-25.236038125216929</v>
      </c>
      <c r="BN198">
        <f t="shared" si="137"/>
        <v>-160.11472498411851</v>
      </c>
      <c r="BQ198" s="66">
        <f t="shared" si="154"/>
        <v>31.400038136653386</v>
      </c>
      <c r="BR198" s="71"/>
      <c r="BS198" s="71"/>
      <c r="BT198" s="71">
        <v>7585.7759999999998</v>
      </c>
      <c r="BU198" s="71">
        <v>-0.87090199999999995</v>
      </c>
      <c r="BV198" s="71">
        <v>-224.429</v>
      </c>
      <c r="BW198" s="75"/>
      <c r="BY198" s="71"/>
      <c r="BZ198" s="71"/>
      <c r="CA198" s="71"/>
      <c r="CC198" s="71"/>
    </row>
    <row r="199" spans="1:81" x14ac:dyDescent="0.15">
      <c r="A199">
        <f t="shared" si="158"/>
        <v>82500</v>
      </c>
      <c r="B199">
        <f t="shared" si="138"/>
        <v>82.5</v>
      </c>
      <c r="C199">
        <f t="shared" si="107"/>
        <v>1.0569038324000697</v>
      </c>
      <c r="D199">
        <f t="shared" si="108"/>
        <v>0.32963709847583356</v>
      </c>
      <c r="F199">
        <f t="shared" si="109"/>
        <v>3.4123129742885719E-3</v>
      </c>
      <c r="G199">
        <f t="shared" si="110"/>
        <v>1.9166136238811766E-2</v>
      </c>
      <c r="H199">
        <f t="shared" si="111"/>
        <v>-3.1224265137611886</v>
      </c>
      <c r="J199">
        <f t="shared" si="112"/>
        <v>15</v>
      </c>
      <c r="M199">
        <f t="shared" si="113"/>
        <v>1.1551801362638822E-2</v>
      </c>
      <c r="N199">
        <f t="shared" si="114"/>
        <v>-1.5707963250000001</v>
      </c>
      <c r="O199">
        <f t="shared" si="115"/>
        <v>35.081497980900259</v>
      </c>
      <c r="P199">
        <f t="shared" si="116"/>
        <v>1.5422874109811071</v>
      </c>
      <c r="Q199">
        <f t="shared" si="117"/>
        <v>15.902704156363827</v>
      </c>
      <c r="R199">
        <f t="shared" si="118"/>
        <v>1.5078724241655734</v>
      </c>
      <c r="S199">
        <f t="shared" si="119"/>
        <v>0.95232784339828924</v>
      </c>
      <c r="T199">
        <f t="shared" si="120"/>
        <v>-0.31001877120972521</v>
      </c>
      <c r="U199">
        <f t="shared" si="121"/>
        <v>0.8461104197581244</v>
      </c>
      <c r="V199">
        <f t="shared" si="122"/>
        <v>-0.56215128251946855</v>
      </c>
      <c r="X199">
        <f t="shared" si="139"/>
        <v>-11.028241275837988</v>
      </c>
      <c r="Y199">
        <f t="shared" si="123"/>
        <v>-125.22542430706805</v>
      </c>
      <c r="Z199">
        <f t="shared" si="140"/>
        <v>54.774575692931947</v>
      </c>
      <c r="AC199">
        <v>1</v>
      </c>
      <c r="AD199">
        <f t="shared" si="124"/>
        <v>35.0672425574625</v>
      </c>
      <c r="AE199">
        <f t="shared" si="125"/>
        <v>-2.7266330389887124E-3</v>
      </c>
      <c r="AF199">
        <f t="shared" si="126"/>
        <v>4.3283292735375005E-3</v>
      </c>
      <c r="AG199">
        <f t="shared" si="141"/>
        <v>5695.905680052495</v>
      </c>
      <c r="AH199">
        <f t="shared" si="142"/>
        <v>-3819.1744595910272</v>
      </c>
      <c r="AJ199">
        <f t="shared" si="127"/>
        <v>20000</v>
      </c>
      <c r="AK199">
        <f t="shared" si="128"/>
        <v>6406.9640504099998</v>
      </c>
      <c r="AL199">
        <v>1</v>
      </c>
      <c r="AM199">
        <f t="shared" si="129"/>
        <v>15.871231820020501</v>
      </c>
      <c r="AN199">
        <f t="shared" si="143"/>
        <v>481.17175421706656</v>
      </c>
      <c r="AO199">
        <f t="shared" si="144"/>
        <v>-1229.8244060149909</v>
      </c>
      <c r="AQ199">
        <f t="shared" si="130"/>
        <v>0.36729596709028134</v>
      </c>
      <c r="AR199">
        <f t="shared" si="131"/>
        <v>-60.603834569896421</v>
      </c>
      <c r="AT199">
        <f t="shared" si="156"/>
        <v>-229364.53395741826</v>
      </c>
      <c r="AU199">
        <f t="shared" si="157"/>
        <v>-346596.49293625681</v>
      </c>
      <c r="AV199">
        <f t="shared" si="145"/>
        <v>-2.1553959932698441</v>
      </c>
      <c r="AW199">
        <f t="shared" si="146"/>
        <v>-68691.768794325835</v>
      </c>
      <c r="AX199">
        <f t="shared" si="147"/>
        <v>-36982.755509635965</v>
      </c>
      <c r="AY199">
        <f t="shared" si="155"/>
        <v>-2.647709068797782</v>
      </c>
      <c r="BA199">
        <f t="shared" si="132"/>
        <v>5.3274192888715177</v>
      </c>
      <c r="BB199">
        <f t="shared" si="148"/>
        <v>14.530337576309488</v>
      </c>
      <c r="BC199">
        <f t="shared" si="149"/>
        <v>0.4923130755279379</v>
      </c>
      <c r="BD199">
        <f t="shared" si="133"/>
        <v>-151.79253854091209</v>
      </c>
      <c r="BF199">
        <f t="shared" si="134"/>
        <v>-10.806150640455538</v>
      </c>
      <c r="BG199">
        <f t="shared" si="135"/>
        <v>-131.80758528841574</v>
      </c>
      <c r="BH199">
        <f t="shared" si="150"/>
        <v>48.192414711584263</v>
      </c>
      <c r="BI199">
        <f t="shared" si="151"/>
        <v>48.192414711584263</v>
      </c>
      <c r="BJ199">
        <f t="shared" si="136"/>
        <v>0</v>
      </c>
      <c r="BK199">
        <f t="shared" si="152"/>
        <v>0</v>
      </c>
      <c r="BM199">
        <f t="shared" si="153"/>
        <v>-25.336488216765026</v>
      </c>
      <c r="BN199">
        <f t="shared" si="137"/>
        <v>-160.01504674750365</v>
      </c>
      <c r="BQ199" s="66">
        <f t="shared" si="154"/>
        <v>31.432298376594623</v>
      </c>
      <c r="BR199" s="71"/>
      <c r="BS199" s="71"/>
      <c r="BT199" s="71">
        <v>7762.4709999999995</v>
      </c>
      <c r="BU199" s="71">
        <v>-1.0348599999999999</v>
      </c>
      <c r="BV199" s="71">
        <v>-223.255</v>
      </c>
      <c r="BW199" s="75"/>
      <c r="BY199" s="71"/>
      <c r="BZ199" s="71"/>
      <c r="CA199" s="71"/>
      <c r="CC199" s="71"/>
    </row>
    <row r="200" spans="1:81" x14ac:dyDescent="0.15">
      <c r="A200">
        <f t="shared" si="158"/>
        <v>83000</v>
      </c>
      <c r="B200">
        <f t="shared" si="138"/>
        <v>83</v>
      </c>
      <c r="C200">
        <f t="shared" si="107"/>
        <v>1.0575768274843333</v>
      </c>
      <c r="D200">
        <f t="shared" si="108"/>
        <v>0.33149211019518821</v>
      </c>
      <c r="F200">
        <f t="shared" si="109"/>
        <v>3.371191629137195E-3</v>
      </c>
      <c r="G200">
        <f t="shared" si="110"/>
        <v>1.9049912082982554E-2</v>
      </c>
      <c r="H200">
        <f t="shared" si="111"/>
        <v>-3.1225427379170179</v>
      </c>
      <c r="J200">
        <f t="shared" si="112"/>
        <v>15</v>
      </c>
      <c r="M200">
        <f t="shared" si="113"/>
        <v>1.1482212197803647E-2</v>
      </c>
      <c r="N200">
        <f t="shared" si="114"/>
        <v>-1.5707963250000001</v>
      </c>
      <c r="O200">
        <f t="shared" si="115"/>
        <v>35.293940882209306</v>
      </c>
      <c r="P200">
        <f t="shared" si="116"/>
        <v>1.542459059235789</v>
      </c>
      <c r="Q200">
        <f t="shared" si="117"/>
        <v>15.998704219572955</v>
      </c>
      <c r="R200">
        <f t="shared" si="118"/>
        <v>1.5082504930294691</v>
      </c>
      <c r="S200">
        <f t="shared" si="119"/>
        <v>0.95178949210939479</v>
      </c>
      <c r="T200">
        <f t="shared" si="120"/>
        <v>-0.31177858193147473</v>
      </c>
      <c r="U200">
        <f t="shared" si="121"/>
        <v>0.84465294592327522</v>
      </c>
      <c r="V200">
        <f t="shared" si="122"/>
        <v>-0.56487981004957799</v>
      </c>
      <c r="X200">
        <f t="shared" si="139"/>
        <v>-11.095672716771382</v>
      </c>
      <c r="Y200">
        <f t="shared" si="123"/>
        <v>-125.35146548639027</v>
      </c>
      <c r="Z200">
        <f t="shared" si="140"/>
        <v>54.648534513609732</v>
      </c>
      <c r="AC200">
        <v>1</v>
      </c>
      <c r="AD200">
        <f t="shared" si="124"/>
        <v>35.279771300235005</v>
      </c>
      <c r="AE200">
        <f t="shared" si="125"/>
        <v>-2.7597832882414312E-3</v>
      </c>
      <c r="AF200">
        <f t="shared" si="126"/>
        <v>4.354561572165001E-3</v>
      </c>
      <c r="AG200">
        <f t="shared" si="141"/>
        <v>5676.2995310669576</v>
      </c>
      <c r="AH200">
        <f t="shared" si="142"/>
        <v>-3827.1032131957154</v>
      </c>
      <c r="AJ200">
        <f t="shared" si="127"/>
        <v>20000</v>
      </c>
      <c r="AK200">
        <f t="shared" si="128"/>
        <v>6445.7941355639996</v>
      </c>
      <c r="AL200">
        <v>1</v>
      </c>
      <c r="AM200">
        <f t="shared" si="129"/>
        <v>15.9674211037782</v>
      </c>
      <c r="AN200">
        <f t="shared" si="143"/>
        <v>480.24461654234</v>
      </c>
      <c r="AO200">
        <f t="shared" si="144"/>
        <v>-1222.4738895900293</v>
      </c>
      <c r="AQ200">
        <f t="shared" si="130"/>
        <v>0.36288420365061508</v>
      </c>
      <c r="AR200">
        <f t="shared" si="131"/>
        <v>-60.238777806002105</v>
      </c>
      <c r="AT200">
        <f t="shared" si="156"/>
        <v>-228480.18066531981</v>
      </c>
      <c r="AU200">
        <f t="shared" si="157"/>
        <v>-343322.14151406562</v>
      </c>
      <c r="AV200">
        <f t="shared" si="145"/>
        <v>-2.1579893808874115</v>
      </c>
      <c r="AW200">
        <f t="shared" si="146"/>
        <v>-67822.052558857729</v>
      </c>
      <c r="AX200">
        <f t="shared" si="147"/>
        <v>-36726.524156460029</v>
      </c>
      <c r="AY200">
        <f t="shared" si="155"/>
        <v>-2.6452887043787543</v>
      </c>
      <c r="BA200">
        <f t="shared" si="132"/>
        <v>5.3469752186677324</v>
      </c>
      <c r="BB200">
        <f t="shared" si="148"/>
        <v>14.56216342608462</v>
      </c>
      <c r="BC200">
        <f t="shared" si="149"/>
        <v>0.48729932349134275</v>
      </c>
      <c r="BD200">
        <f t="shared" si="133"/>
        <v>-152.07980537246237</v>
      </c>
      <c r="BF200">
        <f t="shared" si="134"/>
        <v>-10.874104066257555</v>
      </c>
      <c r="BG200">
        <f t="shared" si="135"/>
        <v>-131.99522693099232</v>
      </c>
      <c r="BH200">
        <f t="shared" si="150"/>
        <v>48.004773069007683</v>
      </c>
      <c r="BI200">
        <f t="shared" si="151"/>
        <v>48.004773069007683</v>
      </c>
      <c r="BJ200">
        <f t="shared" si="136"/>
        <v>0</v>
      </c>
      <c r="BK200">
        <f t="shared" si="152"/>
        <v>0</v>
      </c>
      <c r="BM200">
        <f t="shared" si="153"/>
        <v>-25.436267492342175</v>
      </c>
      <c r="BN200">
        <f t="shared" si="137"/>
        <v>-159.91542155852994</v>
      </c>
      <c r="BQ200" s="66">
        <f t="shared" si="154"/>
        <v>31.464124226369758</v>
      </c>
      <c r="BR200" s="71"/>
      <c r="BS200" s="71"/>
      <c r="BT200" s="71">
        <v>7943.2820000000002</v>
      </c>
      <c r="BU200" s="71">
        <v>-1.2307999999999999</v>
      </c>
      <c r="BV200" s="71">
        <v>-223.13499999999999</v>
      </c>
      <c r="BW200" s="75"/>
      <c r="BY200" s="71"/>
      <c r="BZ200" s="71"/>
      <c r="CA200" s="71"/>
      <c r="CC200" s="71"/>
    </row>
    <row r="201" spans="1:81" x14ac:dyDescent="0.15">
      <c r="A201">
        <f>A200+500</f>
        <v>83500</v>
      </c>
      <c r="B201">
        <f t="shared" si="138"/>
        <v>83.5</v>
      </c>
      <c r="C201">
        <f t="shared" ref="C201:C264" si="159">SQRT((A201/Fesr)^2+1)</f>
        <v>1.0582534571268996</v>
      </c>
      <c r="D201">
        <f t="shared" ref="D201:D264" si="160">ATAN(A201/Fesr)</f>
        <v>0.33334475615562725</v>
      </c>
      <c r="F201">
        <f t="shared" ref="F201:F264" si="161">(Ro/(Ro+Rdcr))/SQRT((A201/(Q*Fo))^2+(1-(A201^2/Fo^2))^2)</f>
        <v>3.3308099333656323E-3</v>
      </c>
      <c r="G201">
        <f t="shared" ref="G201:G264" si="162">-ATAN(A201*Fo/(Q*(Fo^2-A201^2)))</f>
        <v>1.8935093518779093E-2</v>
      </c>
      <c r="H201">
        <f t="shared" ref="H201:H264" si="163">IF(G201&gt;0,G201-Pi,G201)</f>
        <v>-3.1226575564812209</v>
      </c>
      <c r="J201">
        <f t="shared" ref="J201:J264" si="164">Vin/Vramp</f>
        <v>15</v>
      </c>
      <c r="M201">
        <f t="shared" ref="M201:M264" si="165">1/(2*Pi*_Rfb1*(Cc1ea_u+Cc2ea_u)*A201)</f>
        <v>1.1413456436140154E-2</v>
      </c>
      <c r="N201">
        <f t="shared" ref="N201:N264" si="166">-Pi/2</f>
        <v>-1.5707963250000001</v>
      </c>
      <c r="O201">
        <f t="shared" ref="O201:O264" si="167">SQRT(1+(A201/Fz1_u)^2)</f>
        <v>35.506384810944503</v>
      </c>
      <c r="P201">
        <f t="shared" ref="P201:P264" si="168">ATAN2(Fz1_u,A201)</f>
        <v>1.542628653463177</v>
      </c>
      <c r="Q201">
        <f t="shared" ref="Q201:Q264" si="169">SQRT(1+(A201/Fz2_u)^2)</f>
        <v>16.094706542293689</v>
      </c>
      <c r="R201">
        <f t="shared" ref="R201:R264" si="170">ATAN2(Fz2_u,A201)</f>
        <v>1.508624051706918</v>
      </c>
      <c r="S201">
        <f t="shared" ref="S201:S264" si="171">1/SQRT(1+(A201/Fp1_u)^2)</f>
        <v>0.95124880817907753</v>
      </c>
      <c r="T201">
        <f t="shared" ref="T201:T264" si="172">-ATAN2(Fp1_u,A201)</f>
        <v>-0.31353639869734229</v>
      </c>
      <c r="U201">
        <f t="shared" ref="U201:U264" si="173">1/SQRT(1+(A201/Fp2_u)^2)</f>
        <v>0.84319423952779182</v>
      </c>
      <c r="V201">
        <f t="shared" ref="V201:V264" si="174">-ATAN2(Fp2_u,A201)</f>
        <v>-0.56759893349069435</v>
      </c>
      <c r="X201">
        <f t="shared" si="139"/>
        <v>-11.162814674514532</v>
      </c>
      <c r="Y201">
        <f t="shared" ref="Y201:Y264" si="175">(180/Pi)*(D201+H201+N201+P201+R201+T201+V201)</f>
        <v>-125.47728472112269</v>
      </c>
      <c r="Z201">
        <f t="shared" si="140"/>
        <v>54.522715278877314</v>
      </c>
      <c r="AC201">
        <v>1</v>
      </c>
      <c r="AD201">
        <f t="shared" ref="AD201:AD264" si="176">Rcea1_u*Cc1ea_u*A201*2*Pi</f>
        <v>35.492300043007504</v>
      </c>
      <c r="AE201">
        <f t="shared" ref="AE201:AE264" si="177">-Rcea1_u*Cc1ea_u*Cc2ea_u*(A201*2*Pi)^2</f>
        <v>-2.7931338411150124E-3</v>
      </c>
      <c r="AF201">
        <f t="shared" ref="AF201:AF264" si="178">(Cc2ea_u+Cc1ea_u)*A201*2*Pi</f>
        <v>4.3807938707925006E-3</v>
      </c>
      <c r="AG201">
        <f t="shared" si="141"/>
        <v>5656.7106462193378</v>
      </c>
      <c r="AH201">
        <f t="shared" si="142"/>
        <v>-3834.9099343292391</v>
      </c>
      <c r="AJ201">
        <f t="shared" ref="AJ201:AJ264" si="179">_Rfb1</f>
        <v>20000</v>
      </c>
      <c r="AK201">
        <f t="shared" ref="AK201:AK264" si="180">_Rfb1*Rcea2_u*Cc3ea_u*A201*2*Pi</f>
        <v>6484.6242207180003</v>
      </c>
      <c r="AL201">
        <v>1</v>
      </c>
      <c r="AM201">
        <f t="shared" ref="AM201:AM264" si="181">(_Rfb1+Rcea2_u)*Cc3ea_u*A201*2*Pi</f>
        <v>16.063610387535899</v>
      </c>
      <c r="AN201">
        <f t="shared" si="143"/>
        <v>479.33399839009365</v>
      </c>
      <c r="AO201">
        <f t="shared" si="144"/>
        <v>-1215.2103749202242</v>
      </c>
      <c r="AQ201">
        <f t="shared" ref="AQ201:AQ264" si="182">Eadcg/(1+(Eadcg*A201/GBP)^2)</f>
        <v>0.35855145213338113</v>
      </c>
      <c r="AR201">
        <f t="shared" ref="AR201:AR264" si="183">-(A201*Eadcg*Eadcg/GBP)/(1+(Eadcg*A201/GBP)^2)</f>
        <v>-59.878092506274648</v>
      </c>
      <c r="AT201">
        <f t="shared" si="156"/>
        <v>-227598.86998449752</v>
      </c>
      <c r="AU201">
        <f t="shared" si="157"/>
        <v>-340088.05588130461</v>
      </c>
      <c r="AV201">
        <f t="shared" si="145"/>
        <v>-2.1605749812333972</v>
      </c>
      <c r="AW201">
        <f t="shared" si="146"/>
        <v>-66968.120457683312</v>
      </c>
      <c r="AX201">
        <f t="shared" si="147"/>
        <v>-36474.418997421722</v>
      </c>
      <c r="AY201">
        <f t="shared" si="155"/>
        <v>-2.6428635313541964</v>
      </c>
      <c r="BA201">
        <f t="shared" ref="BA201:BA264" si="184">SQRT(AT201^2+AU201^2)/SQRT(AW201^2+AX201^2)</f>
        <v>5.3663371400357454</v>
      </c>
      <c r="BB201">
        <f t="shared" si="148"/>
        <v>14.593559074723252</v>
      </c>
      <c r="BC201">
        <f t="shared" si="149"/>
        <v>0.48228855012079919</v>
      </c>
      <c r="BD201">
        <f t="shared" ref="BD201:BD264" si="185">BC201*180/Pi-180</f>
        <v>-152.36690153901912</v>
      </c>
      <c r="BF201">
        <f t="shared" ref="BF201:BF264" si="186">20*LOG(BA201*J201*F201*C201)</f>
        <v>-10.941824802521719</v>
      </c>
      <c r="BG201">
        <f t="shared" ref="BG201:BG264" si="187">(180/Pi)*(D201+H201+BC201)</f>
        <v>-132.18275292210876</v>
      </c>
      <c r="BH201">
        <f t="shared" si="150"/>
        <v>47.817247077891238</v>
      </c>
      <c r="BI201">
        <f t="shared" si="151"/>
        <v>47.817247077891238</v>
      </c>
      <c r="BJ201">
        <f t="shared" ref="BJ201:BJ264" si="188">SUM((BF202&lt;0)*(BF201&gt;0))*A201</f>
        <v>0</v>
      </c>
      <c r="BK201">
        <f t="shared" si="152"/>
        <v>0</v>
      </c>
      <c r="BM201">
        <f t="shared" si="153"/>
        <v>-25.535383877244971</v>
      </c>
      <c r="BN201">
        <f t="shared" ref="BN201:BN264" si="189">(H201+D201)*180/Pi</f>
        <v>-159.81585138308967</v>
      </c>
      <c r="BQ201" s="66">
        <f t="shared" si="154"/>
        <v>31.495519875008387</v>
      </c>
      <c r="BR201" s="71"/>
      <c r="BS201" s="71"/>
      <c r="BT201" s="71">
        <v>8128.3050000000003</v>
      </c>
      <c r="BU201" s="71">
        <v>-1.3526100000000001</v>
      </c>
      <c r="BV201" s="71">
        <v>-221.982</v>
      </c>
      <c r="BW201" s="75"/>
      <c r="BY201" s="71"/>
      <c r="BZ201" s="71"/>
      <c r="CA201" s="71"/>
      <c r="CC201" s="71"/>
    </row>
    <row r="202" spans="1:81" x14ac:dyDescent="0.15">
      <c r="A202">
        <f t="shared" ref="A202:A234" si="190">A201+500</f>
        <v>84000</v>
      </c>
      <c r="B202">
        <f t="shared" ref="B202:B265" si="191">A202/1000</f>
        <v>84</v>
      </c>
      <c r="C202">
        <f t="shared" si="159"/>
        <v>1.0589337143606188</v>
      </c>
      <c r="D202">
        <f t="shared" si="160"/>
        <v>0.33519502818668184</v>
      </c>
      <c r="F202">
        <f t="shared" si="161"/>
        <v>3.2911502356293672E-3</v>
      </c>
      <c r="G202">
        <f t="shared" si="162"/>
        <v>1.882165512172804E-2</v>
      </c>
      <c r="H202">
        <f t="shared" si="163"/>
        <v>-3.1227709948782723</v>
      </c>
      <c r="J202">
        <f t="shared" si="164"/>
        <v>15</v>
      </c>
      <c r="M202">
        <f t="shared" si="165"/>
        <v>1.1345519195448843E-2</v>
      </c>
      <c r="N202">
        <f t="shared" si="166"/>
        <v>-1.5707963250000001</v>
      </c>
      <c r="O202">
        <f t="shared" si="167"/>
        <v>35.718829748773466</v>
      </c>
      <c r="P202">
        <f t="shared" si="168"/>
        <v>1.5427962303036504</v>
      </c>
      <c r="Q202">
        <f t="shared" si="169"/>
        <v>16.190711084332918</v>
      </c>
      <c r="R202">
        <f t="shared" si="170"/>
        <v>1.5089931803236141</v>
      </c>
      <c r="S202">
        <f t="shared" si="171"/>
        <v>0.95070580559579876</v>
      </c>
      <c r="T202">
        <f t="shared" si="172"/>
        <v>-0.31529221404977026</v>
      </c>
      <c r="U202">
        <f t="shared" si="173"/>
        <v>0.84173437148931018</v>
      </c>
      <c r="V202">
        <f t="shared" si="174"/>
        <v>-0.57030866137633007</v>
      </c>
      <c r="X202">
        <f t="shared" ref="X202:X265" si="192">20*LOG(C202*J202*O202*Q202*F202*M202*S202*U202)</f>
        <v>-11.229670609566993</v>
      </c>
      <c r="Y202">
        <f t="shared" si="175"/>
        <v>-125.60287730755819</v>
      </c>
      <c r="Z202">
        <f t="shared" ref="Z202:Z265" si="193">Y202+180</f>
        <v>54.397122692441812</v>
      </c>
      <c r="AC202">
        <v>1</v>
      </c>
      <c r="AD202">
        <f t="shared" si="176"/>
        <v>35.704828785780009</v>
      </c>
      <c r="AE202">
        <f t="shared" si="177"/>
        <v>-2.8266846976094558E-3</v>
      </c>
      <c r="AF202">
        <f t="shared" si="178"/>
        <v>4.4070261694200003E-3</v>
      </c>
      <c r="AG202">
        <f t="shared" ref="AG202:AG265" si="194">AC202*AE202/(AE202^2+AF202^2)+AD202*AF202/(AE202^2+AF202^2)</f>
        <v>5637.1400612174011</v>
      </c>
      <c r="AH202">
        <f t="shared" ref="AH202:AH265" si="195">AD202*AE202/(AE202^2+AF202^2)-AC202*AF202/(AE202^2+AF202^2)</f>
        <v>-3842.5951873921276</v>
      </c>
      <c r="AJ202">
        <f t="shared" si="179"/>
        <v>20000</v>
      </c>
      <c r="AK202">
        <f t="shared" si="180"/>
        <v>6523.4543058720001</v>
      </c>
      <c r="AL202">
        <v>1</v>
      </c>
      <c r="AM202">
        <f t="shared" si="181"/>
        <v>16.159799671293598</v>
      </c>
      <c r="AN202">
        <f t="shared" ref="AN202:AN265" si="196">AJ202*AL202/(AL202^2+AM202^2)+AK202*AM202/(AL202^2+AM202^2)</f>
        <v>478.43951012095329</v>
      </c>
      <c r="AO202">
        <f t="shared" ref="AO202:AO265" si="197">AK202*AL202/(AL202^2+AM202^2)-AJ202*AM202/(AL202^2+AM202^2)</f>
        <v>-1208.0323325144498</v>
      </c>
      <c r="AQ202">
        <f t="shared" si="182"/>
        <v>0.35429583702391498</v>
      </c>
      <c r="AR202">
        <f t="shared" si="183"/>
        <v>-59.521700620017718</v>
      </c>
      <c r="AT202">
        <f t="shared" si="156"/>
        <v>-226720.58509146504</v>
      </c>
      <c r="AU202">
        <f t="shared" si="157"/>
        <v>-336893.5785551517</v>
      </c>
      <c r="AV202">
        <f t="shared" ref="AV202:AV265" si="198">ATAN2(AT202,AU202)</f>
        <v>-2.1631527740078811</v>
      </c>
      <c r="AW202">
        <f t="shared" ref="AW202:AW265" si="199">AG202-AH202*AO202/_Rfb2+AG202*AN202/_Rfb2+AN202-AO202*AR202+AQ202*AN202</f>
        <v>-66129.599170347341</v>
      </c>
      <c r="AX202">
        <f t="shared" ref="AX202:AX265" si="200">AH202+AH202*AN202/_Rfb2+AG202*AO202/_Rfb2+AO202+AO202*AQ202+AN202*AR202</f>
        <v>-36226.339546690986</v>
      </c>
      <c r="AY202">
        <f t="shared" si="155"/>
        <v>-2.6404337306116821</v>
      </c>
      <c r="BA202">
        <f t="shared" si="184"/>
        <v>5.3855049913923425</v>
      </c>
      <c r="BB202">
        <f t="shared" ref="BB202:BB265" si="201">20*LOG(BA202)</f>
        <v>14.624528654787156</v>
      </c>
      <c r="BC202">
        <f t="shared" ref="BC202:BC265" si="202">AV202-AY202</f>
        <v>0.47728095660380099</v>
      </c>
      <c r="BD202">
        <f t="shared" si="185"/>
        <v>-152.65381551338803</v>
      </c>
      <c r="BF202">
        <f t="shared" si="186"/>
        <v>-11.009316500400498</v>
      </c>
      <c r="BG202">
        <f t="shared" si="187"/>
        <v>-132.37015365941923</v>
      </c>
      <c r="BH202">
        <f t="shared" ref="BH202:BH265" si="203">IF(BG202&gt;180,BG202-180,BG202+180)</f>
        <v>47.629846340580769</v>
      </c>
      <c r="BI202">
        <f t="shared" ref="BI202:BI265" si="204">IF(BH202&gt;180,BH202-360,BH202)</f>
        <v>47.629846340580769</v>
      </c>
      <c r="BJ202">
        <f t="shared" si="188"/>
        <v>0</v>
      </c>
      <c r="BK202">
        <f t="shared" ref="BK202:BK265" si="205">IF(BJ202&gt;0,BI202,0)</f>
        <v>0</v>
      </c>
      <c r="BM202">
        <f t="shared" ref="BM202:BM265" si="206">20*LOG(J202*F202*C202)</f>
        <v>-25.633845155187657</v>
      </c>
      <c r="BN202">
        <f t="shared" si="189"/>
        <v>-159.71633814603118</v>
      </c>
      <c r="BQ202" s="66">
        <f t="shared" ref="BQ202:BQ265" si="207">20*LOG(BA202*7)</f>
        <v>31.526489455072291</v>
      </c>
      <c r="BR202" s="71"/>
      <c r="BS202" s="71"/>
      <c r="BT202" s="71">
        <v>8317.6380000000008</v>
      </c>
      <c r="BU202" s="71">
        <v>-1.29555</v>
      </c>
      <c r="BV202" s="71">
        <v>-220.93199999999999</v>
      </c>
      <c r="BW202" s="75"/>
      <c r="BY202" s="71"/>
      <c r="BZ202" s="71"/>
      <c r="CA202" s="71"/>
      <c r="CC202" s="71"/>
    </row>
    <row r="203" spans="1:81" x14ac:dyDescent="0.15">
      <c r="A203">
        <f t="shared" si="190"/>
        <v>84500</v>
      </c>
      <c r="B203">
        <f t="shared" si="191"/>
        <v>84.5</v>
      </c>
      <c r="C203">
        <f t="shared" si="159"/>
        <v>1.0596175921989277</v>
      </c>
      <c r="D203">
        <f t="shared" si="160"/>
        <v>0.33704291820382531</v>
      </c>
      <c r="F203">
        <f t="shared" si="161"/>
        <v>3.2521954085454334E-3</v>
      </c>
      <c r="G203">
        <f t="shared" si="162"/>
        <v>1.8709572078696685E-2</v>
      </c>
      <c r="H203">
        <f t="shared" si="163"/>
        <v>-3.1228830779213035</v>
      </c>
      <c r="J203">
        <f t="shared" si="164"/>
        <v>15</v>
      </c>
      <c r="M203">
        <f t="shared" si="165"/>
        <v>1.127838594577163E-2</v>
      </c>
      <c r="N203">
        <f t="shared" si="166"/>
        <v>-1.5707963250000001</v>
      </c>
      <c r="O203">
        <f t="shared" si="167"/>
        <v>35.931275677797288</v>
      </c>
      <c r="P203">
        <f t="shared" si="168"/>
        <v>1.5429618255314947</v>
      </c>
      <c r="Q203">
        <f t="shared" si="169"/>
        <v>16.286717806444305</v>
      </c>
      <c r="R203">
        <f t="shared" si="170"/>
        <v>1.5093579571208502</v>
      </c>
      <c r="S203">
        <f t="shared" si="171"/>
        <v>0.95016049836338978</v>
      </c>
      <c r="T203">
        <f t="shared" si="172"/>
        <v>-0.31704602059753384</v>
      </c>
      <c r="U203">
        <f t="shared" si="173"/>
        <v>0.84027341197920913</v>
      </c>
      <c r="V203">
        <f t="shared" si="174"/>
        <v>-0.57300900273302924</v>
      </c>
      <c r="X203">
        <f t="shared" si="192"/>
        <v>-11.296243911592276</v>
      </c>
      <c r="Y203">
        <f t="shared" si="175"/>
        <v>-125.72823869167932</v>
      </c>
      <c r="Z203">
        <f t="shared" si="193"/>
        <v>54.271761308320677</v>
      </c>
      <c r="AC203">
        <v>1</v>
      </c>
      <c r="AD203">
        <f t="shared" si="176"/>
        <v>35.9173575285525</v>
      </c>
      <c r="AE203">
        <f t="shared" si="177"/>
        <v>-2.8604358577247612E-3</v>
      </c>
      <c r="AF203">
        <f t="shared" si="178"/>
        <v>4.4332584680475007E-3</v>
      </c>
      <c r="AG203">
        <f t="shared" si="194"/>
        <v>5617.5887952682197</v>
      </c>
      <c r="AH203">
        <f t="shared" si="195"/>
        <v>-3850.159548999969</v>
      </c>
      <c r="AJ203">
        <f t="shared" si="179"/>
        <v>20000</v>
      </c>
      <c r="AK203">
        <f t="shared" si="180"/>
        <v>6562.2843910259999</v>
      </c>
      <c r="AL203">
        <v>1</v>
      </c>
      <c r="AM203">
        <f t="shared" si="181"/>
        <v>16.255988955051297</v>
      </c>
      <c r="AN203">
        <f t="shared" si="196"/>
        <v>477.56077350154737</v>
      </c>
      <c r="AO203">
        <f t="shared" si="197"/>
        <v>-1200.9382683809069</v>
      </c>
      <c r="AQ203">
        <f t="shared" si="182"/>
        <v>0.35011553812758212</v>
      </c>
      <c r="AR203">
        <f t="shared" si="183"/>
        <v>-59.169525943561375</v>
      </c>
      <c r="AT203">
        <f t="shared" si="156"/>
        <v>-225845.31019736943</v>
      </c>
      <c r="AU203">
        <f t="shared" si="157"/>
        <v>-333738.06664425775</v>
      </c>
      <c r="AV203">
        <f t="shared" si="198"/>
        <v>-2.1657227400853003</v>
      </c>
      <c r="AW203">
        <f t="shared" si="199"/>
        <v>-65306.126283121506</v>
      </c>
      <c r="AX203">
        <f t="shared" si="200"/>
        <v>-35982.188457605036</v>
      </c>
      <c r="AY203">
        <f t="shared" ref="AY203:AY266" si="208">ATAN2(AW203,AX203)</f>
        <v>-2.6379994809424048</v>
      </c>
      <c r="BA203">
        <f t="shared" si="184"/>
        <v>5.4044787328479256</v>
      </c>
      <c r="BB203">
        <f t="shared" si="201"/>
        <v>14.655076243807517</v>
      </c>
      <c r="BC203">
        <f t="shared" si="202"/>
        <v>0.47227674085710447</v>
      </c>
      <c r="BD203">
        <f t="shared" si="185"/>
        <v>-152.94053595577429</v>
      </c>
      <c r="BF203">
        <f t="shared" si="186"/>
        <v>-11.076582727906946</v>
      </c>
      <c r="BG203">
        <f t="shared" si="187"/>
        <v>-132.55741968802582</v>
      </c>
      <c r="BH203">
        <f t="shared" si="203"/>
        <v>47.442580311974183</v>
      </c>
      <c r="BI203">
        <f t="shared" si="204"/>
        <v>47.442580311974183</v>
      </c>
      <c r="BJ203">
        <f t="shared" si="188"/>
        <v>0</v>
      </c>
      <c r="BK203">
        <f t="shared" si="205"/>
        <v>0</v>
      </c>
      <c r="BM203">
        <f t="shared" si="206"/>
        <v>-25.731658971714459</v>
      </c>
      <c r="BN203">
        <f t="shared" si="189"/>
        <v>-159.61688373225155</v>
      </c>
      <c r="BQ203" s="66">
        <f t="shared" si="207"/>
        <v>31.557037044092656</v>
      </c>
      <c r="BR203" s="71"/>
      <c r="BS203" s="71"/>
      <c r="BT203" s="71">
        <v>8511.3799999999992</v>
      </c>
      <c r="BU203" s="71">
        <v>-1.5137499999999999</v>
      </c>
      <c r="BV203" s="71">
        <v>-219.99600000000001</v>
      </c>
      <c r="BW203" s="75"/>
      <c r="BY203" s="71"/>
      <c r="BZ203" s="71"/>
      <c r="CA203" s="71"/>
      <c r="CC203" s="71"/>
    </row>
    <row r="204" spans="1:81" x14ac:dyDescent="0.15">
      <c r="A204">
        <f t="shared" si="190"/>
        <v>85000</v>
      </c>
      <c r="B204">
        <f t="shared" si="191"/>
        <v>85</v>
      </c>
      <c r="C204">
        <f t="shared" si="159"/>
        <v>1.0603050836361505</v>
      </c>
      <c r="D204">
        <f t="shared" si="160"/>
        <v>0.33888841820840349</v>
      </c>
      <c r="F204">
        <f t="shared" si="161"/>
        <v>3.2139288301200799E-3</v>
      </c>
      <c r="G204">
        <f t="shared" si="162"/>
        <v>1.8598820169574887E-2</v>
      </c>
      <c r="H204">
        <f t="shared" si="163"/>
        <v>-3.1229938298304254</v>
      </c>
      <c r="J204">
        <f t="shared" si="164"/>
        <v>15</v>
      </c>
      <c r="M204">
        <f t="shared" si="165"/>
        <v>1.1212042499031799E-2</v>
      </c>
      <c r="N204">
        <f t="shared" si="166"/>
        <v>-1.5707963250000001</v>
      </c>
      <c r="O204">
        <f t="shared" si="167"/>
        <v>36.143722580537812</v>
      </c>
      <c r="P204">
        <f t="shared" si="168"/>
        <v>1.543125474080334</v>
      </c>
      <c r="Q204">
        <f t="shared" si="169"/>
        <v>16.382726670300606</v>
      </c>
      <c r="R204">
        <f t="shared" si="170"/>
        <v>1.5097184585105226</v>
      </c>
      <c r="S204">
        <f t="shared" si="171"/>
        <v>0.94961290050021185</v>
      </c>
      <c r="T204">
        <f t="shared" si="172"/>
        <v>-0.31879781101574056</v>
      </c>
      <c r="U204">
        <f t="shared" si="173"/>
        <v>0.83881143042263484</v>
      </c>
      <c r="V204">
        <f t="shared" si="174"/>
        <v>-0.57569996707246751</v>
      </c>
      <c r="X204">
        <f t="shared" si="192"/>
        <v>-11.362537901279911</v>
      </c>
      <c r="Y204">
        <f t="shared" si="175"/>
        <v>-125.85336446515025</v>
      </c>
      <c r="Z204">
        <f t="shared" si="193"/>
        <v>54.14663553484975</v>
      </c>
      <c r="AC204">
        <v>1</v>
      </c>
      <c r="AD204">
        <f t="shared" si="176"/>
        <v>36.129886271325006</v>
      </c>
      <c r="AE204">
        <f t="shared" si="177"/>
        <v>-2.8943873214609295E-3</v>
      </c>
      <c r="AF204">
        <f t="shared" si="178"/>
        <v>4.4594907666750004E-3</v>
      </c>
      <c r="AG204">
        <f t="shared" si="194"/>
        <v>5598.0578511525973</v>
      </c>
      <c r="AH204">
        <f t="shared" si="195"/>
        <v>-3857.603607509523</v>
      </c>
      <c r="AJ204">
        <f t="shared" si="179"/>
        <v>20000</v>
      </c>
      <c r="AK204">
        <f t="shared" si="180"/>
        <v>6601.1144761799997</v>
      </c>
      <c r="AL204">
        <v>1</v>
      </c>
      <c r="AM204">
        <f t="shared" si="181"/>
        <v>16.352178238809</v>
      </c>
      <c r="AN204">
        <f t="shared" si="196"/>
        <v>476.69742130667333</v>
      </c>
      <c r="AO204">
        <f t="shared" si="197"/>
        <v>-1193.9267230073497</v>
      </c>
      <c r="AQ204">
        <f t="shared" si="182"/>
        <v>0.34600878862323103</v>
      </c>
      <c r="AR204">
        <f t="shared" si="183"/>
        <v>-58.821494065949274</v>
      </c>
      <c r="AT204">
        <f t="shared" si="156"/>
        <v>-224973.03049218585</v>
      </c>
      <c r="AU204">
        <f t="shared" si="157"/>
        <v>-330620.89142363623</v>
      </c>
      <c r="AV204">
        <f t="shared" si="198"/>
        <v>-2.16828486148655</v>
      </c>
      <c r="AW204">
        <f t="shared" si="199"/>
        <v>-64497.349909408527</v>
      </c>
      <c r="AX204">
        <f t="shared" si="200"/>
        <v>-35741.871404651625</v>
      </c>
      <c r="AY204">
        <f t="shared" si="208"/>
        <v>-2.6355609590763436</v>
      </c>
      <c r="BA204">
        <f t="shared" si="184"/>
        <v>5.4232583461260662</v>
      </c>
      <c r="BB204">
        <f t="shared" si="201"/>
        <v>14.685205865675911</v>
      </c>
      <c r="BC204">
        <f t="shared" si="202"/>
        <v>0.4672760975897936</v>
      </c>
      <c r="BD204">
        <f t="shared" si="185"/>
        <v>-153.22705171016909</v>
      </c>
      <c r="BF204">
        <f t="shared" si="186"/>
        <v>-11.143626971833292</v>
      </c>
      <c r="BG204">
        <f t="shared" si="187"/>
        <v>-132.74454169791906</v>
      </c>
      <c r="BH204">
        <f t="shared" si="203"/>
        <v>47.255458302080939</v>
      </c>
      <c r="BI204">
        <f t="shared" si="204"/>
        <v>47.255458302080939</v>
      </c>
      <c r="BJ204">
        <f t="shared" si="188"/>
        <v>0</v>
      </c>
      <c r="BK204">
        <f t="shared" si="205"/>
        <v>0</v>
      </c>
      <c r="BM204">
        <f t="shared" si="206"/>
        <v>-25.828832837509204</v>
      </c>
      <c r="BN204">
        <f t="shared" si="189"/>
        <v>-159.51748998775</v>
      </c>
      <c r="BQ204" s="66">
        <f t="shared" si="207"/>
        <v>31.58716666596105</v>
      </c>
      <c r="BR204" s="71"/>
      <c r="BS204" s="71"/>
      <c r="BT204" s="71">
        <v>8709.6360000000004</v>
      </c>
      <c r="BU204" s="71">
        <v>-1.62094</v>
      </c>
      <c r="BV204" s="71">
        <v>-218.72200000000001</v>
      </c>
      <c r="BW204" s="75"/>
      <c r="BY204" s="71"/>
      <c r="BZ204" s="71"/>
      <c r="CA204" s="71"/>
      <c r="CC204" s="71"/>
    </row>
    <row r="205" spans="1:81" x14ac:dyDescent="0.15">
      <c r="A205">
        <f t="shared" si="190"/>
        <v>85500</v>
      </c>
      <c r="B205">
        <f t="shared" si="191"/>
        <v>85.5</v>
      </c>
      <c r="C205">
        <f t="shared" si="159"/>
        <v>1.0609961816477993</v>
      </c>
      <c r="D205">
        <f t="shared" si="160"/>
        <v>0.34073152028755932</v>
      </c>
      <c r="F205">
        <f t="shared" si="161"/>
        <v>3.1763343659407029E-3</v>
      </c>
      <c r="G205">
        <f t="shared" si="162"/>
        <v>1.8489375749613561E-2</v>
      </c>
      <c r="H205">
        <f t="shared" si="163"/>
        <v>-3.1231032742503868</v>
      </c>
      <c r="J205">
        <f t="shared" si="164"/>
        <v>15</v>
      </c>
      <c r="M205">
        <f t="shared" si="165"/>
        <v>1.1146474999037459E-2</v>
      </c>
      <c r="N205">
        <f t="shared" si="166"/>
        <v>-1.5707963250000001</v>
      </c>
      <c r="O205">
        <f t="shared" si="167"/>
        <v>36.356170439925322</v>
      </c>
      <c r="P205">
        <f t="shared" si="168"/>
        <v>1.5432872100676738</v>
      </c>
      <c r="Q205">
        <f t="shared" si="169"/>
        <v>16.478737638466942</v>
      </c>
      <c r="R205">
        <f t="shared" si="170"/>
        <v>1.5100747591282211</v>
      </c>
      <c r="S205">
        <f t="shared" si="171"/>
        <v>0.94906302603831971</v>
      </c>
      <c r="T205">
        <f t="shared" si="172"/>
        <v>-0.32054757804582512</v>
      </c>
      <c r="U205">
        <f t="shared" si="173"/>
        <v>0.83734849549871238</v>
      </c>
      <c r="V205">
        <f t="shared" si="174"/>
        <v>-0.57838156438358879</v>
      </c>
      <c r="X205">
        <f t="shared" si="192"/>
        <v>-11.428555832149435</v>
      </c>
      <c r="Y205">
        <f t="shared" si="175"/>
        <v>-125.97825036143446</v>
      </c>
      <c r="Z205">
        <f t="shared" si="193"/>
        <v>54.021749638565538</v>
      </c>
      <c r="AC205">
        <v>1</v>
      </c>
      <c r="AD205">
        <f t="shared" si="176"/>
        <v>36.342415014097504</v>
      </c>
      <c r="AE205">
        <f t="shared" si="177"/>
        <v>-2.9285390888179595E-3</v>
      </c>
      <c r="AF205">
        <f t="shared" si="178"/>
        <v>4.4857230653025E-3</v>
      </c>
      <c r="AG205">
        <f t="shared" si="194"/>
        <v>5578.5482153029434</v>
      </c>
      <c r="AH205">
        <f t="shared" si="195"/>
        <v>-3864.9279625560648</v>
      </c>
      <c r="AJ205">
        <f t="shared" si="179"/>
        <v>20000</v>
      </c>
      <c r="AK205">
        <f t="shared" si="180"/>
        <v>6639.9445613340004</v>
      </c>
      <c r="AL205">
        <v>1</v>
      </c>
      <c r="AM205">
        <f t="shared" si="181"/>
        <v>16.448367522566699</v>
      </c>
      <c r="AN205">
        <f t="shared" si="196"/>
        <v>475.84909693754008</v>
      </c>
      <c r="AO205">
        <f t="shared" si="197"/>
        <v>-1186.9962703761255</v>
      </c>
      <c r="AQ205">
        <f t="shared" si="182"/>
        <v>0.3419738731960878</v>
      </c>
      <c r="AR205">
        <f t="shared" si="183"/>
        <v>-58.477532316531018</v>
      </c>
      <c r="AT205">
        <f t="shared" si="156"/>
        <v>-224103.7320914384</v>
      </c>
      <c r="AU205">
        <f t="shared" si="157"/>
        <v>-327541.43792468344</v>
      </c>
      <c r="AV205">
        <f t="shared" si="198"/>
        <v>-2.1708391213518192</v>
      </c>
      <c r="AW205">
        <f t="shared" si="199"/>
        <v>-63702.928325462002</v>
      </c>
      <c r="AX205">
        <f t="shared" si="200"/>
        <v>-35505.296970616218</v>
      </c>
      <c r="AY205">
        <f t="shared" si="208"/>
        <v>-2.633118339715609</v>
      </c>
      <c r="BA205">
        <f t="shared" si="184"/>
        <v>5.4418438344764066</v>
      </c>
      <c r="BB205">
        <f t="shared" si="201"/>
        <v>14.714921491990182</v>
      </c>
      <c r="BC205">
        <f t="shared" si="202"/>
        <v>0.46227921836378982</v>
      </c>
      <c r="BD205">
        <f t="shared" si="185"/>
        <v>-153.51335180088284</v>
      </c>
      <c r="BF205">
        <f t="shared" si="186"/>
        <v>-11.210452639615745</v>
      </c>
      <c r="BG205">
        <f t="shared" si="187"/>
        <v>-132.93151052152695</v>
      </c>
      <c r="BH205">
        <f t="shared" si="203"/>
        <v>47.068489478473055</v>
      </c>
      <c r="BI205">
        <f t="shared" si="204"/>
        <v>47.068489478473055</v>
      </c>
      <c r="BJ205">
        <f t="shared" si="188"/>
        <v>0</v>
      </c>
      <c r="BK205">
        <f t="shared" si="205"/>
        <v>0</v>
      </c>
      <c r="BM205">
        <f t="shared" si="206"/>
        <v>-25.925374131605928</v>
      </c>
      <c r="BN205">
        <f t="shared" si="189"/>
        <v>-159.4181587206441</v>
      </c>
      <c r="BQ205" s="66">
        <f t="shared" si="207"/>
        <v>31.616882292275321</v>
      </c>
      <c r="BR205" s="71"/>
      <c r="BS205" s="71"/>
      <c r="BT205" s="71">
        <v>8912.509</v>
      </c>
      <c r="BU205" s="71">
        <v>-1.6954</v>
      </c>
      <c r="BV205" s="71">
        <v>-217.619</v>
      </c>
      <c r="BW205" s="75"/>
      <c r="BY205" s="71"/>
      <c r="BZ205" s="71"/>
      <c r="CA205" s="71"/>
      <c r="CC205" s="71"/>
    </row>
    <row r="206" spans="1:81" x14ac:dyDescent="0.15">
      <c r="A206">
        <f t="shared" si="190"/>
        <v>86000</v>
      </c>
      <c r="B206">
        <f t="shared" si="191"/>
        <v>86</v>
      </c>
      <c r="C206">
        <f t="shared" si="159"/>
        <v>1.0616908791908737</v>
      </c>
      <c r="D206">
        <f t="shared" si="160"/>
        <v>0.34257221661415121</v>
      </c>
      <c r="F206">
        <f t="shared" si="161"/>
        <v>3.1393963520962792E-3</v>
      </c>
      <c r="G206">
        <f t="shared" si="162"/>
        <v>1.8381215732392337E-2</v>
      </c>
      <c r="H206">
        <f t="shared" si="163"/>
        <v>-3.1232114342676081</v>
      </c>
      <c r="J206">
        <f t="shared" si="164"/>
        <v>15</v>
      </c>
      <c r="M206">
        <f t="shared" si="165"/>
        <v>1.1081669911833753E-2</v>
      </c>
      <c r="N206">
        <f t="shared" si="166"/>
        <v>-1.5707963250000001</v>
      </c>
      <c r="O206">
        <f t="shared" si="167"/>
        <v>36.568619239286697</v>
      </c>
      <c r="P206">
        <f t="shared" si="168"/>
        <v>1.5434470668185909</v>
      </c>
      <c r="Q206">
        <f t="shared" si="169"/>
        <v>16.574750674375018</v>
      </c>
      <c r="R206">
        <f t="shared" si="170"/>
        <v>1.5104269318844841</v>
      </c>
      <c r="S206">
        <f t="shared" si="171"/>
        <v>0.94851088902262926</v>
      </c>
      <c r="T206">
        <f t="shared" si="172"/>
        <v>-0.32229531449553978</v>
      </c>
      <c r="U206">
        <f t="shared" si="173"/>
        <v>0.835884675140947</v>
      </c>
      <c r="V206">
        <f t="shared" si="174"/>
        <v>-0.58105380512477867</v>
      </c>
      <c r="X206">
        <f t="shared" si="192"/>
        <v>-11.49430089229833</v>
      </c>
      <c r="Y206">
        <f t="shared" si="175"/>
        <v>-126.10289225203209</v>
      </c>
      <c r="Z206">
        <f t="shared" si="193"/>
        <v>53.897107747967908</v>
      </c>
      <c r="AC206">
        <v>1</v>
      </c>
      <c r="AD206">
        <f t="shared" si="176"/>
        <v>36.55494375687001</v>
      </c>
      <c r="AE206">
        <f t="shared" si="177"/>
        <v>-2.9628911597958524E-3</v>
      </c>
      <c r="AF206">
        <f t="shared" si="178"/>
        <v>4.5119553639300005E-3</v>
      </c>
      <c r="AG206">
        <f t="shared" si="194"/>
        <v>5559.0608578845922</v>
      </c>
      <c r="AH206">
        <f t="shared" si="195"/>
        <v>-3872.1332246017432</v>
      </c>
      <c r="AJ206">
        <f t="shared" si="179"/>
        <v>20000</v>
      </c>
      <c r="AK206">
        <f t="shared" si="180"/>
        <v>6678.7746464880011</v>
      </c>
      <c r="AL206">
        <v>1</v>
      </c>
      <c r="AM206">
        <f t="shared" si="181"/>
        <v>16.544556806324401</v>
      </c>
      <c r="AN206">
        <f t="shared" si="196"/>
        <v>475.01545405534523</v>
      </c>
      <c r="AO206">
        <f t="shared" si="197"/>
        <v>-1180.1455170126369</v>
      </c>
      <c r="AQ206">
        <f t="shared" si="182"/>
        <v>0.33800912624640866</v>
      </c>
      <c r="AR206">
        <f t="shared" si="183"/>
        <v>-58.137569714382288</v>
      </c>
      <c r="AT206">
        <f t="shared" si="156"/>
        <v>-223237.40198533557</v>
      </c>
      <c r="AU206">
        <f t="shared" si="157"/>
        <v>-324499.10453971662</v>
      </c>
      <c r="AV206">
        <f t="shared" si="198"/>
        <v>-2.173385503914139</v>
      </c>
      <c r="AW206">
        <f t="shared" si="199"/>
        <v>-62922.529620718698</v>
      </c>
      <c r="AX206">
        <f t="shared" si="200"/>
        <v>-35272.376538636003</v>
      </c>
      <c r="AY206">
        <f t="shared" si="208"/>
        <v>-2.6306717955660606</v>
      </c>
      <c r="BA206">
        <f t="shared" si="184"/>
        <v>5.4602352225812476</v>
      </c>
      <c r="BB206">
        <f t="shared" si="201"/>
        <v>14.744227043357112</v>
      </c>
      <c r="BC206">
        <f t="shared" si="202"/>
        <v>0.45728629165192158</v>
      </c>
      <c r="BD206">
        <f t="shared" si="185"/>
        <v>-153.79942542921793</v>
      </c>
      <c r="BF206">
        <f t="shared" si="186"/>
        <v>-11.277063061147004</v>
      </c>
      <c r="BG206">
        <f t="shared" si="187"/>
        <v>-133.11831713136849</v>
      </c>
      <c r="BH206">
        <f t="shared" si="203"/>
        <v>46.881682868631515</v>
      </c>
      <c r="BI206">
        <f t="shared" si="204"/>
        <v>46.881682868631515</v>
      </c>
      <c r="BJ206">
        <f t="shared" si="188"/>
        <v>0</v>
      </c>
      <c r="BK206">
        <f t="shared" si="205"/>
        <v>0</v>
      </c>
      <c r="BM206">
        <f t="shared" si="206"/>
        <v>-26.021290104504118</v>
      </c>
      <c r="BN206">
        <f t="shared" si="189"/>
        <v>-159.31889170215055</v>
      </c>
      <c r="BQ206" s="66">
        <f t="shared" si="207"/>
        <v>31.646187843642252</v>
      </c>
      <c r="BR206" s="71"/>
      <c r="BS206" s="71"/>
      <c r="BT206" s="71">
        <v>9120.1080000000002</v>
      </c>
      <c r="BU206" s="71">
        <v>-1.76502</v>
      </c>
      <c r="BV206" s="71">
        <v>-216.501</v>
      </c>
      <c r="BW206" s="75"/>
      <c r="BY206" s="71"/>
      <c r="BZ206" s="71"/>
      <c r="CA206" s="71"/>
      <c r="CC206" s="71"/>
    </row>
    <row r="207" spans="1:81" x14ac:dyDescent="0.15">
      <c r="A207">
        <f t="shared" si="190"/>
        <v>86500</v>
      </c>
      <c r="B207">
        <f t="shared" si="191"/>
        <v>86.5</v>
      </c>
      <c r="C207">
        <f t="shared" si="159"/>
        <v>1.06238916920416</v>
      </c>
      <c r="D207">
        <f t="shared" si="160"/>
        <v>0.34441049944666541</v>
      </c>
      <c r="F207">
        <f t="shared" si="161"/>
        <v>3.1030995787924244E-3</v>
      </c>
      <c r="G207">
        <f t="shared" si="162"/>
        <v>1.8274317573390316E-2</v>
      </c>
      <c r="H207">
        <f t="shared" si="163"/>
        <v>-3.1233183324266101</v>
      </c>
      <c r="J207">
        <f t="shared" si="164"/>
        <v>15</v>
      </c>
      <c r="M207">
        <f t="shared" si="165"/>
        <v>1.1017614016389628E-2</v>
      </c>
      <c r="N207">
        <f t="shared" si="166"/>
        <v>-1.5707963250000001</v>
      </c>
      <c r="O207">
        <f t="shared" si="167"/>
        <v>36.781068962333975</v>
      </c>
      <c r="P207">
        <f t="shared" si="168"/>
        <v>1.5436050768885998</v>
      </c>
      <c r="Q207">
        <f t="shared" si="169"/>
        <v>16.670765742298187</v>
      </c>
      <c r="R207">
        <f t="shared" si="170"/>
        <v>1.5107750480142912</v>
      </c>
      <c r="S207">
        <f t="shared" si="171"/>
        <v>0.94795650351008853</v>
      </c>
      <c r="T207">
        <f t="shared" si="172"/>
        <v>-0.32404101323894036</v>
      </c>
      <c r="U207">
        <f t="shared" si="173"/>
        <v>0.83442003653780372</v>
      </c>
      <c r="V207">
        <f t="shared" si="174"/>
        <v>-0.58371670021607991</v>
      </c>
      <c r="X207">
        <f t="shared" si="192"/>
        <v>-11.559776206096057</v>
      </c>
      <c r="Y207">
        <f t="shared" si="175"/>
        <v>-126.22728614283372</v>
      </c>
      <c r="Z207">
        <f t="shared" si="193"/>
        <v>53.772713857166281</v>
      </c>
      <c r="AC207">
        <v>1</v>
      </c>
      <c r="AD207">
        <f t="shared" si="176"/>
        <v>36.767472499642501</v>
      </c>
      <c r="AE207">
        <f t="shared" si="177"/>
        <v>-2.9974435343946061E-3</v>
      </c>
      <c r="AF207">
        <f t="shared" si="178"/>
        <v>4.5381876625575001E-3</v>
      </c>
      <c r="AG207">
        <f t="shared" si="194"/>
        <v>5539.5967328803436</v>
      </c>
      <c r="AH207">
        <f t="shared" si="195"/>
        <v>-3879.2200144946328</v>
      </c>
      <c r="AJ207">
        <f t="shared" si="179"/>
        <v>20000</v>
      </c>
      <c r="AK207">
        <f t="shared" si="180"/>
        <v>6717.6047316419999</v>
      </c>
      <c r="AL207">
        <v>1</v>
      </c>
      <c r="AM207">
        <f t="shared" si="181"/>
        <v>16.6407460900821</v>
      </c>
      <c r="AN207">
        <f t="shared" si="196"/>
        <v>474.19615622949544</v>
      </c>
      <c r="AO207">
        <f t="shared" si="197"/>
        <v>-1173.3731010659374</v>
      </c>
      <c r="AQ207">
        <f t="shared" si="182"/>
        <v>0.33411293017039762</v>
      </c>
      <c r="AR207">
        <f t="shared" si="183"/>
        <v>-57.801536919478785</v>
      </c>
      <c r="AT207">
        <f t="shared" si="156"/>
        <v>-222374.02799020754</v>
      </c>
      <c r="AU207">
        <f t="shared" si="157"/>
        <v>-321493.30264042568</v>
      </c>
      <c r="AV207">
        <f t="shared" si="198"/>
        <v>-2.1759239944736111</v>
      </c>
      <c r="AW207">
        <f t="shared" si="199"/>
        <v>-62155.831362079836</v>
      </c>
      <c r="AX207">
        <f t="shared" si="200"/>
        <v>-35043.024188918505</v>
      </c>
      <c r="AY207">
        <f t="shared" si="208"/>
        <v>-2.6282214973672882</v>
      </c>
      <c r="BA207">
        <f t="shared" si="184"/>
        <v>5.4784325564555862</v>
      </c>
      <c r="BB207">
        <f t="shared" si="201"/>
        <v>14.773126390652902</v>
      </c>
      <c r="BC207">
        <f t="shared" si="202"/>
        <v>0.45229750289367709</v>
      </c>
      <c r="BD207">
        <f t="shared" si="185"/>
        <v>-154.08526197027425</v>
      </c>
      <c r="BF207">
        <f t="shared" si="186"/>
        <v>-11.343461490538886</v>
      </c>
      <c r="BG207">
        <f t="shared" si="187"/>
        <v>-133.3049526378056</v>
      </c>
      <c r="BH207">
        <f t="shared" si="203"/>
        <v>46.695047362194401</v>
      </c>
      <c r="BI207">
        <f t="shared" si="204"/>
        <v>46.695047362194401</v>
      </c>
      <c r="BJ207">
        <f t="shared" si="188"/>
        <v>0</v>
      </c>
      <c r="BK207">
        <f t="shared" si="205"/>
        <v>0</v>
      </c>
      <c r="BM207">
        <f t="shared" si="206"/>
        <v>-26.116587881191791</v>
      </c>
      <c r="BN207">
        <f t="shared" si="189"/>
        <v>-159.21969066753132</v>
      </c>
      <c r="BQ207" s="66">
        <f t="shared" si="207"/>
        <v>31.675087190938036</v>
      </c>
      <c r="BR207" s="71"/>
      <c r="BS207" s="71"/>
      <c r="BT207" s="71">
        <v>9332.5429999999997</v>
      </c>
      <c r="BU207" s="71">
        <v>-1.99203</v>
      </c>
      <c r="BV207" s="71">
        <v>-215.83600000000001</v>
      </c>
      <c r="BW207" s="75"/>
      <c r="BY207" s="71"/>
      <c r="BZ207" s="71"/>
      <c r="CA207" s="71"/>
      <c r="CC207" s="71"/>
    </row>
    <row r="208" spans="1:81" x14ac:dyDescent="0.15">
      <c r="A208">
        <f t="shared" si="190"/>
        <v>87000</v>
      </c>
      <c r="B208">
        <f t="shared" si="191"/>
        <v>87</v>
      </c>
      <c r="C208">
        <f t="shared" si="159"/>
        <v>1.0630910446085295</v>
      </c>
      <c r="D208">
        <f t="shared" si="160"/>
        <v>0.34624636112912227</v>
      </c>
      <c r="F208">
        <f t="shared" si="161"/>
        <v>3.0674292746289216E-3</v>
      </c>
      <c r="G208">
        <f t="shared" si="162"/>
        <v>1.8168659254135158E-2</v>
      </c>
      <c r="H208">
        <f t="shared" si="163"/>
        <v>-3.1234239907458652</v>
      </c>
      <c r="J208">
        <f t="shared" si="164"/>
        <v>15</v>
      </c>
      <c r="M208">
        <f t="shared" si="165"/>
        <v>1.0954294395605779E-2</v>
      </c>
      <c r="N208">
        <f t="shared" si="166"/>
        <v>-1.5707963250000001</v>
      </c>
      <c r="O208">
        <f t="shared" si="167"/>
        <v>36.993519593153273</v>
      </c>
      <c r="P208">
        <f t="shared" si="168"/>
        <v>1.5437612720857352</v>
      </c>
      <c r="Q208">
        <f t="shared" si="169"/>
        <v>16.766782807327413</v>
      </c>
      <c r="R208">
        <f t="shared" si="170"/>
        <v>1.5111191771248624</v>
      </c>
      <c r="S208">
        <f t="shared" si="171"/>
        <v>0.94739988356885418</v>
      </c>
      <c r="T208">
        <f t="shared" si="172"/>
        <v>-0.32578466721636751</v>
      </c>
      <c r="U208">
        <f t="shared" si="173"/>
        <v>0.83295464613346726</v>
      </c>
      <c r="V208">
        <f t="shared" si="174"/>
        <v>-0.58637026103144707</v>
      </c>
      <c r="X208">
        <f t="shared" si="192"/>
        <v>-11.624984835826055</v>
      </c>
      <c r="Y208">
        <f t="shared" si="175"/>
        <v>-126.35142817058497</v>
      </c>
      <c r="Z208">
        <f t="shared" si="193"/>
        <v>53.648571829415033</v>
      </c>
      <c r="AC208">
        <v>1</v>
      </c>
      <c r="AD208">
        <f t="shared" si="176"/>
        <v>36.980001242415007</v>
      </c>
      <c r="AE208">
        <f t="shared" si="177"/>
        <v>-3.0321962126142236E-3</v>
      </c>
      <c r="AF208">
        <f t="shared" si="178"/>
        <v>4.5644199611850006E-3</v>
      </c>
      <c r="AG208">
        <f t="shared" si="194"/>
        <v>5520.1567781781905</v>
      </c>
      <c r="AH208">
        <f t="shared" si="195"/>
        <v>-3886.1889630382539</v>
      </c>
      <c r="AJ208">
        <f t="shared" si="179"/>
        <v>20000</v>
      </c>
      <c r="AK208">
        <f t="shared" si="180"/>
        <v>6756.4348167959997</v>
      </c>
      <c r="AL208">
        <v>1</v>
      </c>
      <c r="AM208">
        <f t="shared" si="181"/>
        <v>16.736935373839799</v>
      </c>
      <c r="AN208">
        <f t="shared" si="196"/>
        <v>473.39087659979748</v>
      </c>
      <c r="AO208">
        <f t="shared" si="197"/>
        <v>-1166.6776914201823</v>
      </c>
      <c r="AQ208">
        <f t="shared" si="182"/>
        <v>0.33028371371007698</v>
      </c>
      <c r="AR208">
        <f t="shared" si="183"/>
        <v>-57.46936618555339</v>
      </c>
      <c r="AT208">
        <f t="shared" si="156"/>
        <v>-221513.59870214289</v>
      </c>
      <c r="AU208">
        <f t="shared" si="157"/>
        <v>-318523.45620967844</v>
      </c>
      <c r="AV208">
        <f t="shared" si="198"/>
        <v>-2.1784545793723011</v>
      </c>
      <c r="AW208">
        <f t="shared" si="199"/>
        <v>-61402.52027150755</v>
      </c>
      <c r="AX208">
        <f t="shared" si="200"/>
        <v>-34817.15659989525</v>
      </c>
      <c r="AY208">
        <f t="shared" si="208"/>
        <v>-2.6257676139210337</v>
      </c>
      <c r="BA208">
        <f t="shared" si="184"/>
        <v>5.4964359033409096</v>
      </c>
      <c r="BB208">
        <f t="shared" si="201"/>
        <v>14.801623356243214</v>
      </c>
      <c r="BC208">
        <f t="shared" si="202"/>
        <v>0.44731303454873261</v>
      </c>
      <c r="BD208">
        <f t="shared" si="185"/>
        <v>-154.37085096988247</v>
      </c>
      <c r="BF208">
        <f t="shared" si="186"/>
        <v>-11.409651107836643</v>
      </c>
      <c r="BG208">
        <f t="shared" si="187"/>
        <v>-133.49140828688971</v>
      </c>
      <c r="BH208">
        <f t="shared" si="203"/>
        <v>46.508591713110292</v>
      </c>
      <c r="BI208">
        <f t="shared" si="204"/>
        <v>46.508591713110292</v>
      </c>
      <c r="BJ208">
        <f t="shared" si="188"/>
        <v>0</v>
      </c>
      <c r="BK208">
        <f t="shared" si="205"/>
        <v>0</v>
      </c>
      <c r="BM208">
        <f t="shared" si="206"/>
        <v>-26.211274464079857</v>
      </c>
      <c r="BN208">
        <f t="shared" si="189"/>
        <v>-159.12055731700724</v>
      </c>
      <c r="BQ208" s="66">
        <f t="shared" si="207"/>
        <v>31.70358415652835</v>
      </c>
      <c r="BR208" s="71"/>
      <c r="BS208" s="71"/>
      <c r="BT208" s="71">
        <v>9549.9259999999995</v>
      </c>
      <c r="BU208" s="71">
        <v>-2.1278299999999999</v>
      </c>
      <c r="BV208" s="71">
        <v>-215.499</v>
      </c>
      <c r="BW208" s="75"/>
      <c r="BY208" s="71"/>
      <c r="BZ208" s="71"/>
      <c r="CA208" s="71"/>
      <c r="CC208" s="71"/>
    </row>
    <row r="209" spans="1:81" x14ac:dyDescent="0.15">
      <c r="A209">
        <f t="shared" si="190"/>
        <v>87500</v>
      </c>
      <c r="B209">
        <f t="shared" si="191"/>
        <v>87.5</v>
      </c>
      <c r="C209">
        <f t="shared" si="159"/>
        <v>1.0637964983072365</v>
      </c>
      <c r="D209">
        <f t="shared" si="160"/>
        <v>0.34807979409097706</v>
      </c>
      <c r="F209">
        <f t="shared" si="161"/>
        <v>3.0323710915092766E-3</v>
      </c>
      <c r="G209">
        <f t="shared" si="162"/>
        <v>1.8064219266906736E-2</v>
      </c>
      <c r="H209">
        <f t="shared" si="163"/>
        <v>-3.1235284307330935</v>
      </c>
      <c r="J209">
        <f t="shared" si="164"/>
        <v>15</v>
      </c>
      <c r="M209">
        <f t="shared" si="165"/>
        <v>1.0891698427630889E-2</v>
      </c>
      <c r="N209">
        <f t="shared" si="166"/>
        <v>-1.5707963250000001</v>
      </c>
      <c r="O209">
        <f t="shared" si="167"/>
        <v>37.205971116194128</v>
      </c>
      <c r="P209">
        <f t="shared" si="168"/>
        <v>1.5439156834918761</v>
      </c>
      <c r="Q209">
        <f t="shared" si="169"/>
        <v>16.862801835348034</v>
      </c>
      <c r="R209">
        <f t="shared" si="170"/>
        <v>1.511459387241834</v>
      </c>
      <c r="S209">
        <f t="shared" si="171"/>
        <v>0.94684104327747187</v>
      </c>
      <c r="T209">
        <f t="shared" si="172"/>
        <v>-0.32752626943442414</v>
      </c>
      <c r="U209">
        <f t="shared" si="173"/>
        <v>0.83148856962877271</v>
      </c>
      <c r="V209">
        <f t="shared" si="174"/>
        <v>-0.58901449939104555</v>
      </c>
      <c r="X209">
        <f t="shared" si="192"/>
        <v>-11.689929783277609</v>
      </c>
      <c r="Y209">
        <f t="shared" si="175"/>
        <v>-126.47531459945884</v>
      </c>
      <c r="Z209">
        <f t="shared" si="193"/>
        <v>53.524685400541159</v>
      </c>
      <c r="AC209">
        <v>1</v>
      </c>
      <c r="AD209">
        <f t="shared" si="176"/>
        <v>37.192529985187505</v>
      </c>
      <c r="AE209">
        <f t="shared" si="177"/>
        <v>-3.0671491944547036E-3</v>
      </c>
      <c r="AF209">
        <f t="shared" si="178"/>
        <v>4.5906522598125003E-3</v>
      </c>
      <c r="AG209">
        <f t="shared" si="194"/>
        <v>5500.7419156620681</v>
      </c>
      <c r="AH209">
        <f t="shared" si="195"/>
        <v>-3893.0407105712857</v>
      </c>
      <c r="AJ209">
        <f t="shared" si="179"/>
        <v>20000</v>
      </c>
      <c r="AK209">
        <f t="shared" si="180"/>
        <v>6795.2649019500004</v>
      </c>
      <c r="AL209">
        <v>1</v>
      </c>
      <c r="AM209">
        <f t="shared" si="181"/>
        <v>16.833124657597498</v>
      </c>
      <c r="AN209">
        <f t="shared" si="196"/>
        <v>472.59929755199613</v>
      </c>
      <c r="AO209">
        <f t="shared" si="197"/>
        <v>-1160.0579868357634</v>
      </c>
      <c r="AQ209">
        <f t="shared" si="182"/>
        <v>0.32651995036896753</v>
      </c>
      <c r="AR209">
        <f t="shared" si="183"/>
        <v>-57.14099131456932</v>
      </c>
      <c r="AT209">
        <f t="shared" si="156"/>
        <v>-220656.10345272411</v>
      </c>
      <c r="AU209">
        <f t="shared" si="157"/>
        <v>-315589.00148613373</v>
      </c>
      <c r="AV209">
        <f t="shared" si="198"/>
        <v>-2.1809772459697649</v>
      </c>
      <c r="AW209">
        <f t="shared" si="199"/>
        <v>-60662.291916338771</v>
      </c>
      <c r="AX209">
        <f t="shared" si="200"/>
        <v>-34594.692953594087</v>
      </c>
      <c r="AY209">
        <f t="shared" si="208"/>
        <v>-2.6233103121181505</v>
      </c>
      <c r="BA209">
        <f t="shared" si="184"/>
        <v>5.514245351592602</v>
      </c>
      <c r="BB209">
        <f t="shared" si="201"/>
        <v>14.829721715163778</v>
      </c>
      <c r="BC209">
        <f t="shared" si="202"/>
        <v>0.44233306614838552</v>
      </c>
      <c r="BD209">
        <f t="shared" si="185"/>
        <v>-154.65618214165693</v>
      </c>
      <c r="BF209">
        <f t="shared" si="186"/>
        <v>-11.47563502068695</v>
      </c>
      <c r="BG209">
        <f t="shared" si="187"/>
        <v>-133.67767545829707</v>
      </c>
      <c r="BH209">
        <f t="shared" si="203"/>
        <v>46.322324541702926</v>
      </c>
      <c r="BI209">
        <f t="shared" si="204"/>
        <v>46.322324541702926</v>
      </c>
      <c r="BJ209">
        <f t="shared" si="188"/>
        <v>0</v>
      </c>
      <c r="BK209">
        <f t="shared" si="205"/>
        <v>0</v>
      </c>
      <c r="BM209">
        <f t="shared" si="206"/>
        <v>-26.305356735850726</v>
      </c>
      <c r="BN209">
        <f t="shared" si="189"/>
        <v>-159.02149331664017</v>
      </c>
      <c r="BQ209" s="66">
        <f t="shared" si="207"/>
        <v>31.731682515448917</v>
      </c>
      <c r="BR209" s="71"/>
      <c r="BS209" s="71"/>
      <c r="BT209" s="71">
        <v>9772.3719999999994</v>
      </c>
      <c r="BU209" s="71">
        <v>-1.9944299999999999</v>
      </c>
      <c r="BV209" s="71">
        <v>-212.98699999999999</v>
      </c>
      <c r="BW209" s="75"/>
      <c r="BY209" s="71"/>
      <c r="BZ209" s="71"/>
      <c r="CA209" s="71"/>
      <c r="CC209" s="71"/>
    </row>
    <row r="210" spans="1:81" x14ac:dyDescent="0.15">
      <c r="A210">
        <f t="shared" si="190"/>
        <v>88000</v>
      </c>
      <c r="B210">
        <f t="shared" si="191"/>
        <v>88</v>
      </c>
      <c r="C210">
        <f t="shared" si="159"/>
        <v>1.0645055231862148</v>
      </c>
      <c r="D210">
        <f t="shared" si="160"/>
        <v>0.34991079084701454</v>
      </c>
      <c r="F210">
        <f t="shared" si="161"/>
        <v>2.9979110901533924E-3</v>
      </c>
      <c r="G210">
        <f t="shared" si="162"/>
        <v>1.7960976599972867E-2</v>
      </c>
      <c r="H210">
        <f t="shared" si="163"/>
        <v>-3.1236316734000273</v>
      </c>
      <c r="J210">
        <f t="shared" si="164"/>
        <v>15</v>
      </c>
      <c r="M210">
        <f t="shared" si="165"/>
        <v>1.0829813777473897E-2</v>
      </c>
      <c r="N210">
        <f t="shared" si="166"/>
        <v>-1.5707963250000001</v>
      </c>
      <c r="O210">
        <f t="shared" si="167"/>
        <v>37.418423516259161</v>
      </c>
      <c r="P210">
        <f t="shared" si="168"/>
        <v>1.5440683414833463</v>
      </c>
      <c r="Q210">
        <f t="shared" si="169"/>
        <v>16.958822793017315</v>
      </c>
      <c r="R210">
        <f t="shared" si="170"/>
        <v>1.5117957448538724</v>
      </c>
      <c r="S210">
        <f t="shared" si="171"/>
        <v>0.94627999672406105</v>
      </c>
      <c r="T210">
        <f t="shared" si="172"/>
        <v>-0.32926581296594815</v>
      </c>
      <c r="U210">
        <f t="shared" si="173"/>
        <v>0.83002187198230726</v>
      </c>
      <c r="V210">
        <f t="shared" si="174"/>
        <v>-0.59164942755359362</v>
      </c>
      <c r="X210">
        <f t="shared" si="192"/>
        <v>-11.754613991289419</v>
      </c>
      <c r="Y210">
        <f t="shared" si="175"/>
        <v>-126.5989418177307</v>
      </c>
      <c r="Z210">
        <f t="shared" si="193"/>
        <v>53.401058182269296</v>
      </c>
      <c r="AC210">
        <v>1</v>
      </c>
      <c r="AD210">
        <f t="shared" si="176"/>
        <v>37.405058727960004</v>
      </c>
      <c r="AE210">
        <f t="shared" si="177"/>
        <v>-3.1023024799160461E-3</v>
      </c>
      <c r="AF210">
        <f t="shared" si="178"/>
        <v>4.6168845584400008E-3</v>
      </c>
      <c r="AG210">
        <f t="shared" si="194"/>
        <v>5481.3530513055466</v>
      </c>
      <c r="AH210">
        <f t="shared" si="195"/>
        <v>-3899.7759065572632</v>
      </c>
      <c r="AJ210">
        <f t="shared" si="179"/>
        <v>20000</v>
      </c>
      <c r="AK210">
        <f t="shared" si="180"/>
        <v>6834.0949871040011</v>
      </c>
      <c r="AL210">
        <v>1</v>
      </c>
      <c r="AM210">
        <f t="shared" si="181"/>
        <v>16.929313941355201</v>
      </c>
      <c r="AN210">
        <f t="shared" si="196"/>
        <v>471.82111040605776</v>
      </c>
      <c r="AO210">
        <f t="shared" si="197"/>
        <v>-1153.5127151189627</v>
      </c>
      <c r="AQ210">
        <f t="shared" si="182"/>
        <v>0.32282015689059623</v>
      </c>
      <c r="AR210">
        <f t="shared" si="183"/>
        <v>-56.816347612744941</v>
      </c>
      <c r="AT210">
        <f t="shared" si="156"/>
        <v>-219801.53226676979</v>
      </c>
      <c r="AU210">
        <f t="shared" si="157"/>
        <v>-312689.38662114908</v>
      </c>
      <c r="AV210">
        <f t="shared" si="198"/>
        <v>-2.1834919826191932</v>
      </c>
      <c r="AW210">
        <f t="shared" si="199"/>
        <v>-59934.850411745647</v>
      </c>
      <c r="AX210">
        <f t="shared" si="200"/>
        <v>-34375.554845025341</v>
      </c>
      <c r="AY210">
        <f t="shared" si="208"/>
        <v>-2.6208497569641596</v>
      </c>
      <c r="BA210">
        <f t="shared" si="184"/>
        <v>5.5318610105611841</v>
      </c>
      <c r="BB210">
        <f t="shared" si="201"/>
        <v>14.857425196263087</v>
      </c>
      <c r="BC210">
        <f t="shared" si="202"/>
        <v>0.43735777434496637</v>
      </c>
      <c r="BD210">
        <f t="shared" si="185"/>
        <v>-154.94124536416459</v>
      </c>
      <c r="BF210">
        <f t="shared" si="186"/>
        <v>-11.54141626596115</v>
      </c>
      <c r="BG210">
        <f t="shared" si="187"/>
        <v>-133.86374566334956</v>
      </c>
      <c r="BH210">
        <f t="shared" si="203"/>
        <v>46.136254336650438</v>
      </c>
      <c r="BI210">
        <f t="shared" si="204"/>
        <v>46.136254336650438</v>
      </c>
      <c r="BJ210">
        <f t="shared" si="188"/>
        <v>0</v>
      </c>
      <c r="BK210">
        <f t="shared" si="205"/>
        <v>0</v>
      </c>
      <c r="BM210">
        <f t="shared" si="206"/>
        <v>-26.39884146222424</v>
      </c>
      <c r="BN210">
        <f t="shared" si="189"/>
        <v>-158.92250029918497</v>
      </c>
      <c r="BQ210" s="66">
        <f t="shared" si="207"/>
        <v>31.759385996548222</v>
      </c>
      <c r="BR210" s="71"/>
      <c r="BS210" s="71"/>
      <c r="BT210" s="71">
        <v>10000</v>
      </c>
      <c r="BU210" s="71">
        <v>-2.2209699999999999</v>
      </c>
      <c r="BV210" s="71">
        <v>-213.047</v>
      </c>
      <c r="BW210" s="75"/>
      <c r="BY210" s="71"/>
      <c r="BZ210" s="71"/>
      <c r="CA210" s="71"/>
      <c r="CC210" s="71"/>
    </row>
    <row r="211" spans="1:81" x14ac:dyDescent="0.15">
      <c r="A211">
        <f t="shared" si="190"/>
        <v>88500</v>
      </c>
      <c r="B211">
        <f t="shared" si="191"/>
        <v>88.5</v>
      </c>
      <c r="C211">
        <f t="shared" si="159"/>
        <v>1.0652181121143736</v>
      </c>
      <c r="D211">
        <f t="shared" si="160"/>
        <v>0.35173934399723772</v>
      </c>
      <c r="F211">
        <f t="shared" si="161"/>
        <v>2.9640357261859454E-3</v>
      </c>
      <c r="G211">
        <f t="shared" si="162"/>
        <v>1.7858910723335567E-2</v>
      </c>
      <c r="H211">
        <f t="shared" si="163"/>
        <v>-3.1237337392766644</v>
      </c>
      <c r="J211">
        <f t="shared" si="164"/>
        <v>15</v>
      </c>
      <c r="M211">
        <f t="shared" si="165"/>
        <v>1.0768628388900596E-2</v>
      </c>
      <c r="N211">
        <f t="shared" si="166"/>
        <v>-1.5707963250000001</v>
      </c>
      <c r="O211">
        <f t="shared" si="167"/>
        <v>37.630876778494162</v>
      </c>
      <c r="P211">
        <f t="shared" si="168"/>
        <v>1.5442192757508157</v>
      </c>
      <c r="Q211">
        <f t="shared" si="169"/>
        <v>17.054845647742752</v>
      </c>
      <c r="R211">
        <f t="shared" si="170"/>
        <v>1.5121283149557876</v>
      </c>
      <c r="S211">
        <f t="shared" si="171"/>
        <v>0.94571675800550337</v>
      </c>
      <c r="T211">
        <f t="shared" si="172"/>
        <v>-0.33100329094998071</v>
      </c>
      <c r="U211">
        <f t="shared" si="173"/>
        <v>0.82855461741167546</v>
      </c>
      <c r="V211">
        <f t="shared" si="174"/>
        <v>-0.59427505820875159</v>
      </c>
      <c r="X211">
        <f t="shared" si="192"/>
        <v>-11.819040345246536</v>
      </c>
      <c r="Y211">
        <f t="shared" si="175"/>
        <v>-126.72230633455297</v>
      </c>
      <c r="Z211">
        <f t="shared" si="193"/>
        <v>53.277693665447032</v>
      </c>
      <c r="AC211">
        <v>1</v>
      </c>
      <c r="AD211">
        <f t="shared" si="176"/>
        <v>37.617587470732502</v>
      </c>
      <c r="AE211">
        <f t="shared" si="177"/>
        <v>-3.1376560689982502E-3</v>
      </c>
      <c r="AF211">
        <f t="shared" si="178"/>
        <v>4.6431168570675004E-3</v>
      </c>
      <c r="AG211">
        <f t="shared" si="194"/>
        <v>5461.9910752683309</v>
      </c>
      <c r="AH211">
        <f t="shared" si="195"/>
        <v>-3906.3952091840006</v>
      </c>
      <c r="AJ211">
        <f t="shared" si="179"/>
        <v>20000</v>
      </c>
      <c r="AK211">
        <f t="shared" si="180"/>
        <v>6872.925072258</v>
      </c>
      <c r="AL211">
        <v>1</v>
      </c>
      <c r="AM211">
        <f t="shared" si="181"/>
        <v>17.025503225112899</v>
      </c>
      <c r="AN211">
        <f t="shared" si="196"/>
        <v>471.05601511663156</v>
      </c>
      <c r="AO211">
        <f t="shared" si="197"/>
        <v>-1147.0406323190407</v>
      </c>
      <c r="AQ211">
        <f t="shared" si="182"/>
        <v>0.31918289179699966</v>
      </c>
      <c r="AR211">
        <f t="shared" si="183"/>
        <v>-56.495371848068942</v>
      </c>
      <c r="AT211">
        <f t="shared" si="156"/>
        <v>-218949.87582199162</v>
      </c>
      <c r="AU211">
        <f t="shared" si="157"/>
        <v>-309824.07134748757</v>
      </c>
      <c r="AV211">
        <f t="shared" si="198"/>
        <v>-2.1859987786441444</v>
      </c>
      <c r="AW211">
        <f t="shared" si="199"/>
        <v>-59219.908134801961</v>
      </c>
      <c r="AX211">
        <f t="shared" si="200"/>
        <v>-34159.666195387959</v>
      </c>
      <c r="AY211">
        <f t="shared" si="208"/>
        <v>-2.6183861116034932</v>
      </c>
      <c r="BA211">
        <f t="shared" si="184"/>
        <v>5.5492830104673638</v>
      </c>
      <c r="BB211">
        <f t="shared" si="201"/>
        <v>14.884737483308275</v>
      </c>
      <c r="BC211">
        <f t="shared" si="202"/>
        <v>0.43238733295934884</v>
      </c>
      <c r="BD211">
        <f t="shared" si="185"/>
        <v>-155.22603067820305</v>
      </c>
      <c r="BF211">
        <f t="shared" si="186"/>
        <v>-11.606997811335493</v>
      </c>
      <c r="BG211">
        <f t="shared" si="187"/>
        <v>-134.04961054311545</v>
      </c>
      <c r="BH211">
        <f t="shared" si="203"/>
        <v>45.950389456884551</v>
      </c>
      <c r="BI211">
        <f t="shared" si="204"/>
        <v>45.950389456884551</v>
      </c>
      <c r="BJ211">
        <f t="shared" si="188"/>
        <v>0</v>
      </c>
      <c r="BK211">
        <f t="shared" si="205"/>
        <v>0</v>
      </c>
      <c r="BM211">
        <f t="shared" si="206"/>
        <v>-26.491735294643771</v>
      </c>
      <c r="BN211">
        <f t="shared" si="189"/>
        <v>-158.8235798649124</v>
      </c>
      <c r="BQ211" s="66">
        <f t="shared" si="207"/>
        <v>31.786698283593413</v>
      </c>
      <c r="BR211" s="71"/>
      <c r="BS211" s="71"/>
      <c r="BT211" s="71">
        <v>10232.93</v>
      </c>
      <c r="BU211" s="71">
        <v>-2.4867400000000002</v>
      </c>
      <c r="BV211" s="71">
        <v>-211.715</v>
      </c>
      <c r="BW211" s="75"/>
      <c r="BY211" s="71"/>
      <c r="BZ211" s="71"/>
      <c r="CA211" s="71"/>
      <c r="CC211" s="71"/>
    </row>
    <row r="212" spans="1:81" x14ac:dyDescent="0.15">
      <c r="A212">
        <f t="shared" si="190"/>
        <v>89000</v>
      </c>
      <c r="B212">
        <f t="shared" si="191"/>
        <v>89</v>
      </c>
      <c r="C212">
        <f t="shared" si="159"/>
        <v>1.0659342579438931</v>
      </c>
      <c r="D212">
        <f t="shared" si="160"/>
        <v>0.35356544622675123</v>
      </c>
      <c r="F212">
        <f t="shared" si="161"/>
        <v>2.9307318367744555E-3</v>
      </c>
      <c r="G212">
        <f t="shared" si="162"/>
        <v>1.7758001574967309E-2</v>
      </c>
      <c r="H212">
        <f t="shared" si="163"/>
        <v>-3.1238346484250328</v>
      </c>
      <c r="J212">
        <f t="shared" si="164"/>
        <v>15</v>
      </c>
      <c r="M212">
        <f t="shared" si="165"/>
        <v>1.0708130476603402E-2</v>
      </c>
      <c r="N212">
        <f t="shared" si="166"/>
        <v>-1.5707963250000001</v>
      </c>
      <c r="O212">
        <f t="shared" si="167"/>
        <v>37.843330888378389</v>
      </c>
      <c r="P212">
        <f t="shared" si="168"/>
        <v>1.544368515318534</v>
      </c>
      <c r="Q212">
        <f t="shared" si="169"/>
        <v>17.150870367661103</v>
      </c>
      <c r="R212">
        <f t="shared" si="170"/>
        <v>1.5124571610902062</v>
      </c>
      <c r="S212">
        <f t="shared" si="171"/>
        <v>0.94515134122663702</v>
      </c>
      <c r="T212">
        <f t="shared" si="172"/>
        <v>-0.33273869659173105</v>
      </c>
      <c r="U212">
        <f t="shared" si="173"/>
        <v>0.82708686939492548</v>
      </c>
      <c r="V212">
        <f t="shared" si="174"/>
        <v>-0.59689140446955613</v>
      </c>
      <c r="X212">
        <f t="shared" si="192"/>
        <v>-11.883211674532317</v>
      </c>
      <c r="Y212">
        <f t="shared" si="175"/>
        <v>-126.84540477682528</v>
      </c>
      <c r="Z212">
        <f t="shared" si="193"/>
        <v>53.154595223174724</v>
      </c>
      <c r="AC212">
        <v>1</v>
      </c>
      <c r="AD212">
        <f t="shared" si="176"/>
        <v>37.830116213505001</v>
      </c>
      <c r="AE212">
        <f t="shared" si="177"/>
        <v>-3.1732099617013169E-3</v>
      </c>
      <c r="AF212">
        <f t="shared" si="178"/>
        <v>4.6693491556950009E-3</v>
      </c>
      <c r="AG212">
        <f t="shared" si="194"/>
        <v>5442.6568619954778</v>
      </c>
      <c r="AH212">
        <f t="shared" si="195"/>
        <v>-3912.899284972535</v>
      </c>
      <c r="AJ212">
        <f t="shared" si="179"/>
        <v>20000</v>
      </c>
      <c r="AK212">
        <f t="shared" si="180"/>
        <v>6911.7551574119998</v>
      </c>
      <c r="AL212">
        <v>1</v>
      </c>
      <c r="AM212">
        <f t="shared" si="181"/>
        <v>17.121692508870602</v>
      </c>
      <c r="AN212">
        <f t="shared" si="196"/>
        <v>470.30371998514937</v>
      </c>
      <c r="AO212">
        <f t="shared" si="197"/>
        <v>-1140.6405219517103</v>
      </c>
      <c r="AQ212">
        <f t="shared" si="182"/>
        <v>0.31560675398453525</v>
      </c>
      <c r="AR212">
        <f t="shared" si="183"/>
        <v>-56.178002209247275</v>
      </c>
      <c r="AT212">
        <f t="shared" si="156"/>
        <v>-218101.1254104831</v>
      </c>
      <c r="AU212">
        <f t="shared" si="157"/>
        <v>-306992.52665935538</v>
      </c>
      <c r="AV212">
        <f t="shared" si="198"/>
        <v>-2.1884976243158594</v>
      </c>
      <c r="AW212">
        <f t="shared" si="199"/>
        <v>-58517.1854496417</v>
      </c>
      <c r="AX212">
        <f t="shared" si="200"/>
        <v>-33946.953168912689</v>
      </c>
      <c r="AY212">
        <f t="shared" si="208"/>
        <v>-2.6159195373424904</v>
      </c>
      <c r="BA212">
        <f t="shared" si="184"/>
        <v>5.5665115022710117</v>
      </c>
      <c r="BB212">
        <f t="shared" si="201"/>
        <v>14.911662216055401</v>
      </c>
      <c r="BC212">
        <f t="shared" si="202"/>
        <v>0.42742191302663102</v>
      </c>
      <c r="BD212">
        <f t="shared" si="185"/>
        <v>-155.51052828418301</v>
      </c>
      <c r="BF212">
        <f t="shared" si="186"/>
        <v>-11.67238255682981</v>
      </c>
      <c r="BG212">
        <f t="shared" si="187"/>
        <v>-134.23526186658765</v>
      </c>
      <c r="BH212">
        <f t="shared" si="203"/>
        <v>45.764738133412351</v>
      </c>
      <c r="BI212">
        <f t="shared" si="204"/>
        <v>45.764738133412351</v>
      </c>
      <c r="BJ212">
        <f t="shared" si="188"/>
        <v>0</v>
      </c>
      <c r="BK212">
        <f t="shared" si="205"/>
        <v>0</v>
      </c>
      <c r="BM212">
        <f t="shared" si="206"/>
        <v>-26.584044772885207</v>
      </c>
      <c r="BN212">
        <f t="shared" si="189"/>
        <v>-158.72473358240467</v>
      </c>
      <c r="BQ212" s="66">
        <f t="shared" si="207"/>
        <v>31.813623016340536</v>
      </c>
      <c r="BR212" s="71"/>
      <c r="BS212" s="71"/>
      <c r="BT212" s="71">
        <v>10471.285</v>
      </c>
      <c r="BU212" s="71">
        <v>-2.3517399999999999</v>
      </c>
      <c r="BV212" s="71">
        <v>-211.89099999999999</v>
      </c>
      <c r="BW212" s="75"/>
      <c r="BY212" s="71"/>
      <c r="BZ212" s="71"/>
      <c r="CA212" s="71"/>
      <c r="CC212" s="71"/>
    </row>
    <row r="213" spans="1:81" x14ac:dyDescent="0.15">
      <c r="A213">
        <f t="shared" si="190"/>
        <v>89500</v>
      </c>
      <c r="B213">
        <f t="shared" si="191"/>
        <v>89.5</v>
      </c>
      <c r="C213">
        <f t="shared" si="159"/>
        <v>1.0666539535105188</v>
      </c>
      <c r="D213">
        <f t="shared" si="160"/>
        <v>0.35538909030563903</v>
      </c>
      <c r="F213">
        <f t="shared" si="161"/>
        <v>2.8979866277923194E-3</v>
      </c>
      <c r="G213">
        <f t="shared" si="162"/>
        <v>1.7658229547517692E-2</v>
      </c>
      <c r="H213">
        <f t="shared" si="163"/>
        <v>-3.1239344204524824</v>
      </c>
      <c r="J213">
        <f t="shared" si="164"/>
        <v>15</v>
      </c>
      <c r="M213">
        <f t="shared" si="165"/>
        <v>1.064830851863355E-2</v>
      </c>
      <c r="N213">
        <f t="shared" si="166"/>
        <v>-1.5707963250000001</v>
      </c>
      <c r="O213">
        <f t="shared" si="167"/>
        <v>38.055785831715347</v>
      </c>
      <c r="P213">
        <f t="shared" si="168"/>
        <v>1.5445160885629197</v>
      </c>
      <c r="Q213">
        <f t="shared" si="169"/>
        <v>17.246896921618134</v>
      </c>
      <c r="R213">
        <f t="shared" si="170"/>
        <v>1.5127823453878579</v>
      </c>
      <c r="S213">
        <f t="shared" si="171"/>
        <v>0.94458376049945514</v>
      </c>
      <c r="T213">
        <f t="shared" si="172"/>
        <v>-0.33447202316253577</v>
      </c>
      <c r="U213">
        <f t="shared" si="173"/>
        <v>0.82561869067213078</v>
      </c>
      <c r="V213">
        <f t="shared" si="174"/>
        <v>-0.59949847986490457</v>
      </c>
      <c r="X213">
        <f t="shared" si="192"/>
        <v>-11.947130753937024</v>
      </c>
      <c r="Y213">
        <f t="shared" si="175"/>
        <v>-126.96823388615678</v>
      </c>
      <c r="Z213">
        <f t="shared" si="193"/>
        <v>53.031766113843219</v>
      </c>
      <c r="AC213">
        <v>1</v>
      </c>
      <c r="AD213">
        <f t="shared" si="176"/>
        <v>38.042644956277506</v>
      </c>
      <c r="AE213">
        <f t="shared" si="177"/>
        <v>-3.2089641580252464E-3</v>
      </c>
      <c r="AF213">
        <f t="shared" si="178"/>
        <v>4.6955814543225005E-3</v>
      </c>
      <c r="AG213">
        <f t="shared" si="194"/>
        <v>5423.3512703192146</v>
      </c>
      <c r="AH213">
        <f t="shared" si="195"/>
        <v>-3919.2888083953735</v>
      </c>
      <c r="AJ213">
        <f t="shared" si="179"/>
        <v>20000</v>
      </c>
      <c r="AK213">
        <f t="shared" si="180"/>
        <v>6950.5852425660005</v>
      </c>
      <c r="AL213">
        <v>1</v>
      </c>
      <c r="AM213">
        <f t="shared" si="181"/>
        <v>17.217881792628301</v>
      </c>
      <c r="AN213">
        <f t="shared" si="196"/>
        <v>469.56394138304955</v>
      </c>
      <c r="AO213">
        <f t="shared" si="197"/>
        <v>-1134.3111942479914</v>
      </c>
      <c r="AQ213">
        <f t="shared" si="182"/>
        <v>0.31209038137444606</v>
      </c>
      <c r="AR213">
        <f t="shared" si="183"/>
        <v>-55.864178266025839</v>
      </c>
      <c r="AT213">
        <f t="shared" si="156"/>
        <v>-217255.27290195762</v>
      </c>
      <c r="AU213">
        <f t="shared" si="157"/>
        <v>-304194.23450331902</v>
      </c>
      <c r="AV213">
        <f t="shared" si="198"/>
        <v>-2.1909885108311218</v>
      </c>
      <c r="AW213">
        <f t="shared" si="199"/>
        <v>-57826.410443220462</v>
      </c>
      <c r="AX213">
        <f t="shared" si="200"/>
        <v>-33737.344093168489</v>
      </c>
      <c r="AY213">
        <f t="shared" si="208"/>
        <v>-2.6134501936712065</v>
      </c>
      <c r="BA213">
        <f t="shared" si="184"/>
        <v>5.5835466575341535</v>
      </c>
      <c r="BB213">
        <f t="shared" si="201"/>
        <v>14.938202991285344</v>
      </c>
      <c r="BC213">
        <f t="shared" si="202"/>
        <v>0.42246168284008467</v>
      </c>
      <c r="BD213">
        <f t="shared" si="185"/>
        <v>-155.79472853961025</v>
      </c>
      <c r="BF213">
        <f t="shared" si="186"/>
        <v>-11.737573336306237</v>
      </c>
      <c r="BG213">
        <f t="shared" si="187"/>
        <v>-134.42069152893404</v>
      </c>
      <c r="BH213">
        <f t="shared" si="203"/>
        <v>45.579308471065957</v>
      </c>
      <c r="BI213">
        <f t="shared" si="204"/>
        <v>45.579308471065957</v>
      </c>
      <c r="BJ213">
        <f t="shared" si="188"/>
        <v>0</v>
      </c>
      <c r="BK213">
        <f t="shared" si="205"/>
        <v>0</v>
      </c>
      <c r="BM213">
        <f t="shared" si="206"/>
        <v>-26.675776327591581</v>
      </c>
      <c r="BN213">
        <f t="shared" si="189"/>
        <v>-158.62596298932382</v>
      </c>
      <c r="BQ213" s="66">
        <f t="shared" si="207"/>
        <v>31.840163791570475</v>
      </c>
      <c r="BR213" s="71"/>
      <c r="BS213" s="71"/>
      <c r="BT213" s="71">
        <v>10715.192999999999</v>
      </c>
      <c r="BU213" s="71">
        <v>-2.5136799999999999</v>
      </c>
      <c r="BV213" s="71">
        <v>-209.68</v>
      </c>
      <c r="BW213" s="75"/>
      <c r="BY213" s="71"/>
      <c r="BZ213" s="71"/>
      <c r="CA213" s="71"/>
      <c r="CC213" s="71"/>
    </row>
    <row r="214" spans="1:81" x14ac:dyDescent="0.15">
      <c r="A214">
        <f t="shared" si="190"/>
        <v>90000</v>
      </c>
      <c r="B214">
        <f t="shared" si="191"/>
        <v>90</v>
      </c>
      <c r="C214">
        <f t="shared" si="159"/>
        <v>1.0673771916338559</v>
      </c>
      <c r="D214">
        <f t="shared" si="160"/>
        <v>0.35721026908883591</v>
      </c>
      <c r="F214">
        <f t="shared" si="161"/>
        <v>2.8657876614833736E-3</v>
      </c>
      <c r="G214">
        <f t="shared" si="162"/>
        <v>1.7559575475471812E-2</v>
      </c>
      <c r="H214">
        <f t="shared" si="163"/>
        <v>-3.1240330745245286</v>
      </c>
      <c r="J214">
        <f t="shared" si="164"/>
        <v>15</v>
      </c>
      <c r="M214">
        <f t="shared" si="165"/>
        <v>1.0589151249085587E-2</v>
      </c>
      <c r="N214">
        <f t="shared" si="166"/>
        <v>-1.5707963250000001</v>
      </c>
      <c r="O214">
        <f t="shared" si="167"/>
        <v>38.268241594623696</v>
      </c>
      <c r="P214">
        <f t="shared" si="168"/>
        <v>1.544662023230529</v>
      </c>
      <c r="Q214">
        <f t="shared" si="169"/>
        <v>17.342925279149028</v>
      </c>
      <c r="R214">
        <f t="shared" si="170"/>
        <v>1.51310392860653</v>
      </c>
      <c r="S214">
        <f t="shared" si="171"/>
        <v>0.94401402994230765</v>
      </c>
      <c r="T214">
        <f t="shared" si="172"/>
        <v>-0.33620326399981493</v>
      </c>
      <c r="U214">
        <f t="shared" si="173"/>
        <v>0.82415014324712665</v>
      </c>
      <c r="V214">
        <f t="shared" si="174"/>
        <v>-0.60209629833208744</v>
      </c>
      <c r="X214">
        <f t="shared" si="192"/>
        <v>-12.010800305024528</v>
      </c>
      <c r="Y214">
        <f t="shared" si="175"/>
        <v>-127.09079051591756</v>
      </c>
      <c r="Z214">
        <f t="shared" si="193"/>
        <v>52.909209484082439</v>
      </c>
      <c r="AC214">
        <v>1</v>
      </c>
      <c r="AD214">
        <f t="shared" si="176"/>
        <v>38.255173699050005</v>
      </c>
      <c r="AE214">
        <f t="shared" si="177"/>
        <v>-3.2449186579700381E-3</v>
      </c>
      <c r="AF214">
        <f t="shared" si="178"/>
        <v>4.7218137529500001E-3</v>
      </c>
      <c r="AG214">
        <f t="shared" si="194"/>
        <v>5404.0751435632428</v>
      </c>
      <c r="AH214">
        <f t="shared" si="195"/>
        <v>-3925.5644615038154</v>
      </c>
      <c r="AJ214">
        <f t="shared" si="179"/>
        <v>20000</v>
      </c>
      <c r="AK214">
        <f t="shared" si="180"/>
        <v>6989.4153277199994</v>
      </c>
      <c r="AL214">
        <v>1</v>
      </c>
      <c r="AM214">
        <f t="shared" si="181"/>
        <v>17.314071076386</v>
      </c>
      <c r="AN214">
        <f t="shared" si="196"/>
        <v>468.83640348563614</v>
      </c>
      <c r="AO214">
        <f t="shared" si="197"/>
        <v>-1128.0514854274898</v>
      </c>
      <c r="AQ214">
        <f t="shared" si="182"/>
        <v>0.30863244961575259</v>
      </c>
      <c r="AR214">
        <f t="shared" si="183"/>
        <v>-55.55384093083547</v>
      </c>
      <c r="AT214">
        <f t="shared" ref="AT214:AT277" si="209">-AR214*AH214+AG214*AQ214</f>
        <v>-216412.31070865825</v>
      </c>
      <c r="AU214">
        <f t="shared" ref="AU214:AU277" si="210">AQ214*AH214+AG214*AR214</f>
        <v>-301428.68747967272</v>
      </c>
      <c r="AV214">
        <f t="shared" si="198"/>
        <v>-2.1934714302906588</v>
      </c>
      <c r="AW214">
        <f t="shared" si="199"/>
        <v>-57147.318671215682</v>
      </c>
      <c r="AX214">
        <f t="shared" si="200"/>
        <v>-33530.769382668208</v>
      </c>
      <c r="AY214">
        <f t="shared" si="208"/>
        <v>-2.6109782382841198</v>
      </c>
      <c r="BA214">
        <f t="shared" si="184"/>
        <v>5.6003886682780326</v>
      </c>
      <c r="BB214">
        <f t="shared" si="201"/>
        <v>14.964363363806319</v>
      </c>
      <c r="BC214">
        <f t="shared" si="202"/>
        <v>0.41750680799346096</v>
      </c>
      <c r="BD214">
        <f t="shared" si="185"/>
        <v>-156.07862195666169</v>
      </c>
      <c r="BF214">
        <f t="shared" si="186"/>
        <v>-11.802572918929348</v>
      </c>
      <c r="BG214">
        <f t="shared" si="187"/>
        <v>-134.60589154981682</v>
      </c>
      <c r="BH214">
        <f t="shared" si="203"/>
        <v>45.394108450183182</v>
      </c>
      <c r="BI214">
        <f t="shared" si="204"/>
        <v>45.394108450183182</v>
      </c>
      <c r="BJ214">
        <f t="shared" si="188"/>
        <v>0</v>
      </c>
      <c r="BK214">
        <f t="shared" si="205"/>
        <v>0</v>
      </c>
      <c r="BM214">
        <f t="shared" si="206"/>
        <v>-26.766936282735667</v>
      </c>
      <c r="BN214">
        <f t="shared" si="189"/>
        <v>-158.52726959315513</v>
      </c>
      <c r="BQ214" s="66">
        <f t="shared" si="207"/>
        <v>31.866324164091459</v>
      </c>
      <c r="BR214" s="71"/>
      <c r="BS214" s="71"/>
      <c r="BT214" s="71">
        <v>10964.781999999999</v>
      </c>
      <c r="BU214" s="71">
        <v>-2.5043700000000002</v>
      </c>
      <c r="BV214" s="71">
        <v>-209.52500000000001</v>
      </c>
      <c r="BW214" s="75"/>
      <c r="BY214" s="71"/>
      <c r="BZ214" s="71"/>
      <c r="CA214" s="71"/>
      <c r="CC214" s="71"/>
    </row>
    <row r="215" spans="1:81" x14ac:dyDescent="0.15">
      <c r="A215">
        <f t="shared" si="190"/>
        <v>90500</v>
      </c>
      <c r="B215">
        <f t="shared" si="191"/>
        <v>90.5</v>
      </c>
      <c r="C215">
        <f t="shared" si="159"/>
        <v>1.0681039651176605</v>
      </c>
      <c r="D215">
        <f t="shared" si="160"/>
        <v>0.35902897551599428</v>
      </c>
      <c r="F215">
        <f t="shared" si="161"/>
        <v>2.8341228446056776E-3</v>
      </c>
      <c r="G215">
        <f t="shared" si="162"/>
        <v>1.7462020622742533E-2</v>
      </c>
      <c r="H215">
        <f t="shared" si="163"/>
        <v>-3.1241306293772575</v>
      </c>
      <c r="J215">
        <f t="shared" si="164"/>
        <v>15</v>
      </c>
      <c r="M215">
        <f t="shared" si="165"/>
        <v>1.0530647651024339E-2</v>
      </c>
      <c r="N215">
        <f t="shared" si="166"/>
        <v>-1.5707963250000001</v>
      </c>
      <c r="O215">
        <f t="shared" si="167"/>
        <v>38.480698163528643</v>
      </c>
      <c r="P215">
        <f t="shared" si="168"/>
        <v>1.5448063464554334</v>
      </c>
      <c r="Q215">
        <f t="shared" si="169"/>
        <v>17.4389554104594</v>
      </c>
      <c r="R215">
        <f t="shared" si="170"/>
        <v>1.5134219701687408</v>
      </c>
      <c r="S215">
        <f t="shared" si="171"/>
        <v>0.94344216367911038</v>
      </c>
      <c r="T215">
        <f t="shared" si="172"/>
        <v>-0.33793241250702377</v>
      </c>
      <c r="U215">
        <f t="shared" si="173"/>
        <v>0.82268128838939159</v>
      </c>
      <c r="V215">
        <f t="shared" si="174"/>
        <v>-0.604684874209372</v>
      </c>
      <c r="X215">
        <f t="shared" si="192"/>
        <v>-12.07422299745863</v>
      </c>
      <c r="Y215">
        <f t="shared" si="175"/>
        <v>-127.21307162837523</v>
      </c>
      <c r="Z215">
        <f t="shared" si="193"/>
        <v>52.786928371624768</v>
      </c>
      <c r="AC215">
        <v>1</v>
      </c>
      <c r="AD215">
        <f t="shared" si="176"/>
        <v>38.467702441822503</v>
      </c>
      <c r="AE215">
        <f t="shared" si="177"/>
        <v>-3.2810734615356914E-3</v>
      </c>
      <c r="AF215">
        <f t="shared" si="178"/>
        <v>4.7480460515775006E-3</v>
      </c>
      <c r="AG215">
        <f t="shared" si="194"/>
        <v>5384.8293096494599</v>
      </c>
      <c r="AH215">
        <f t="shared" si="195"/>
        <v>-3931.7269335641972</v>
      </c>
      <c r="AJ215">
        <f t="shared" si="179"/>
        <v>20000</v>
      </c>
      <c r="AK215">
        <f t="shared" si="180"/>
        <v>7028.2454128740001</v>
      </c>
      <c r="AL215">
        <v>1</v>
      </c>
      <c r="AM215">
        <f t="shared" si="181"/>
        <v>17.410260360143699</v>
      </c>
      <c r="AN215">
        <f t="shared" si="196"/>
        <v>468.12083801611317</v>
      </c>
      <c r="AO215">
        <f t="shared" si="197"/>
        <v>-1121.8602569951847</v>
      </c>
      <c r="AQ215">
        <f t="shared" si="182"/>
        <v>0.30523167083816616</v>
      </c>
      <c r="AR215">
        <f t="shared" si="183"/>
        <v>-55.246932421708074</v>
      </c>
      <c r="AT215">
        <f t="shared" si="209"/>
        <v>-215572.23175186809</v>
      </c>
      <c r="AU215">
        <f t="shared" si="210"/>
        <v>-298695.38855384791</v>
      </c>
      <c r="AV215">
        <f t="shared" si="198"/>
        <v>-2.1959463756780591</v>
      </c>
      <c r="AW215">
        <f t="shared" si="199"/>
        <v>-56479.652913623679</v>
      </c>
      <c r="AX215">
        <f t="shared" si="200"/>
        <v>-33327.161465618163</v>
      </c>
      <c r="AY215">
        <f t="shared" si="208"/>
        <v>-2.6085038270997738</v>
      </c>
      <c r="BA215">
        <f t="shared" si="184"/>
        <v>5.6170377468343666</v>
      </c>
      <c r="BB215">
        <f t="shared" si="201"/>
        <v>14.990146847424191</v>
      </c>
      <c r="BC215">
        <f t="shared" si="202"/>
        <v>0.41255745142171474</v>
      </c>
      <c r="BD215">
        <f t="shared" si="185"/>
        <v>-156.36219919985214</v>
      </c>
      <c r="BF215">
        <f t="shared" si="186"/>
        <v>-11.86738401058906</v>
      </c>
      <c r="BG215">
        <f t="shared" si="187"/>
        <v>-134.79085407177749</v>
      </c>
      <c r="BH215">
        <f t="shared" si="203"/>
        <v>45.209145928222512</v>
      </c>
      <c r="BI215">
        <f t="shared" si="204"/>
        <v>45.209145928222512</v>
      </c>
      <c r="BJ215">
        <f t="shared" si="188"/>
        <v>0</v>
      </c>
      <c r="BK215">
        <f t="shared" si="205"/>
        <v>0</v>
      </c>
      <c r="BM215">
        <f t="shared" si="206"/>
        <v>-26.857530858013252</v>
      </c>
      <c r="BN215">
        <f t="shared" si="189"/>
        <v>-158.42865487192535</v>
      </c>
      <c r="BQ215" s="66">
        <f t="shared" si="207"/>
        <v>31.892107647709324</v>
      </c>
      <c r="BR215" s="71"/>
      <c r="BS215" s="71"/>
      <c r="BT215" s="71">
        <v>11220.184999999999</v>
      </c>
      <c r="BU215" s="71">
        <v>-2.7486899999999999</v>
      </c>
      <c r="BV215" s="71">
        <v>-207.815</v>
      </c>
      <c r="BW215" s="75"/>
      <c r="BY215" s="71"/>
      <c r="BZ215" s="71"/>
      <c r="CA215" s="71"/>
      <c r="CC215" s="71"/>
    </row>
    <row r="216" spans="1:81" x14ac:dyDescent="0.15">
      <c r="A216">
        <f t="shared" si="190"/>
        <v>91000</v>
      </c>
      <c r="B216">
        <f t="shared" si="191"/>
        <v>91</v>
      </c>
      <c r="C216">
        <f t="shared" si="159"/>
        <v>1.0688342667501332</v>
      </c>
      <c r="D216">
        <f t="shared" si="160"/>
        <v>0.36084520261134512</v>
      </c>
      <c r="F216">
        <f t="shared" si="161"/>
        <v>2.8029804170333567E-3</v>
      </c>
      <c r="G216">
        <f t="shared" si="162"/>
        <v>1.7365546670679556E-2</v>
      </c>
      <c r="H216">
        <f t="shared" si="163"/>
        <v>-3.1242271033293205</v>
      </c>
      <c r="J216">
        <f t="shared" si="164"/>
        <v>15</v>
      </c>
      <c r="M216">
        <f t="shared" si="165"/>
        <v>1.0472786949645084E-2</v>
      </c>
      <c r="N216">
        <f t="shared" si="166"/>
        <v>-1.5707963250000001</v>
      </c>
      <c r="O216">
        <f t="shared" si="167"/>
        <v>38.693155525153486</v>
      </c>
      <c r="P216">
        <f t="shared" si="168"/>
        <v>1.5449490847760221</v>
      </c>
      <c r="Q216">
        <f t="shared" si="169"/>
        <v>17.534987286407009</v>
      </c>
      <c r="R216">
        <f t="shared" si="170"/>
        <v>1.5137365281981803</v>
      </c>
      <c r="S216">
        <f t="shared" si="171"/>
        <v>0.9428681758385562</v>
      </c>
      <c r="T216">
        <f t="shared" si="172"/>
        <v>-0.33965946215359993</v>
      </c>
      <c r="U216">
        <f t="shared" si="173"/>
        <v>0.82121218663607498</v>
      </c>
      <c r="V216">
        <f t="shared" si="174"/>
        <v>-0.60726422222863818</v>
      </c>
      <c r="X216">
        <f t="shared" si="192"/>
        <v>-12.137401450290316</v>
      </c>
      <c r="Y216">
        <f t="shared" si="175"/>
        <v>-127.33507429191432</v>
      </c>
      <c r="Z216">
        <f t="shared" si="193"/>
        <v>52.664925708085676</v>
      </c>
      <c r="AC216">
        <v>1</v>
      </c>
      <c r="AD216">
        <f t="shared" si="176"/>
        <v>38.680231184595002</v>
      </c>
      <c r="AE216">
        <f t="shared" si="177"/>
        <v>-3.3174285687222077E-3</v>
      </c>
      <c r="AF216">
        <f t="shared" si="178"/>
        <v>4.7742783502050011E-3</v>
      </c>
      <c r="AG216">
        <f t="shared" si="194"/>
        <v>5365.6145812069344</v>
      </c>
      <c r="AH216">
        <f t="shared" si="195"/>
        <v>-3937.7769207028073</v>
      </c>
      <c r="AJ216">
        <f t="shared" si="179"/>
        <v>20000</v>
      </c>
      <c r="AK216">
        <f t="shared" si="180"/>
        <v>7067.0754980280008</v>
      </c>
      <c r="AL216">
        <v>1</v>
      </c>
      <c r="AM216">
        <f t="shared" si="181"/>
        <v>17.506449643901398</v>
      </c>
      <c r="AN216">
        <f t="shared" si="196"/>
        <v>467.41698399934739</v>
      </c>
      <c r="AO216">
        <f t="shared" si="197"/>
        <v>-1115.736395060839</v>
      </c>
      <c r="AQ216">
        <f t="shared" si="182"/>
        <v>0.30188679245283018</v>
      </c>
      <c r="AR216">
        <f t="shared" si="183"/>
        <v>-54.943396226415096</v>
      </c>
      <c r="AT216">
        <f t="shared" si="209"/>
        <v>-214735.02942994839</v>
      </c>
      <c r="AU216">
        <f t="shared" si="210"/>
        <v>-295993.85077746864</v>
      </c>
      <c r="AV216">
        <f t="shared" si="198"/>
        <v>-2.1984133408391928</v>
      </c>
      <c r="AW216">
        <f t="shared" si="199"/>
        <v>-55823.162939632981</v>
      </c>
      <c r="AX216">
        <f t="shared" si="200"/>
        <v>-33126.454713663959</v>
      </c>
      <c r="AY216">
        <f t="shared" si="208"/>
        <v>-2.6060271142794345</v>
      </c>
      <c r="BA216">
        <f t="shared" si="184"/>
        <v>5.6334941256908619</v>
      </c>
      <c r="BB216">
        <f t="shared" si="201"/>
        <v>15.015556915881508</v>
      </c>
      <c r="BC216">
        <f t="shared" si="202"/>
        <v>0.40761377344024163</v>
      </c>
      <c r="BD216">
        <f t="shared" si="185"/>
        <v>-156.64545108378596</v>
      </c>
      <c r="BF216">
        <f t="shared" si="186"/>
        <v>-11.932009255287657</v>
      </c>
      <c r="BG216">
        <f t="shared" si="187"/>
        <v>-134.97557135868396</v>
      </c>
      <c r="BH216">
        <f t="shared" si="203"/>
        <v>45.024428641316035</v>
      </c>
      <c r="BI216">
        <f t="shared" si="204"/>
        <v>45.024428641316035</v>
      </c>
      <c r="BJ216">
        <f t="shared" si="188"/>
        <v>0</v>
      </c>
      <c r="BK216">
        <f t="shared" si="205"/>
        <v>0</v>
      </c>
      <c r="BM216">
        <f t="shared" si="206"/>
        <v>-26.947566171169161</v>
      </c>
      <c r="BN216">
        <f t="shared" si="189"/>
        <v>-158.33012027489801</v>
      </c>
      <c r="BQ216" s="66">
        <f t="shared" si="207"/>
        <v>31.917517716166643</v>
      </c>
      <c r="BR216" s="71"/>
      <c r="BS216" s="71"/>
      <c r="BT216" s="71">
        <v>11481.536</v>
      </c>
      <c r="BU216" s="71">
        <v>-2.86917</v>
      </c>
      <c r="BV216" s="71">
        <v>-207.916</v>
      </c>
      <c r="BW216" s="75"/>
      <c r="BY216" s="71"/>
      <c r="BZ216" s="71"/>
      <c r="CA216" s="71"/>
      <c r="CC216" s="71"/>
    </row>
    <row r="217" spans="1:81" x14ac:dyDescent="0.15">
      <c r="A217">
        <f t="shared" si="190"/>
        <v>91500</v>
      </c>
      <c r="B217">
        <f t="shared" si="191"/>
        <v>91.5</v>
      </c>
      <c r="C217">
        <f t="shared" si="159"/>
        <v>1.0695680893042085</v>
      </c>
      <c r="D217">
        <f t="shared" si="160"/>
        <v>0.36265894348355299</v>
      </c>
      <c r="F217">
        <f t="shared" si="161"/>
        <v>2.7723489407963531E-3</v>
      </c>
      <c r="G217">
        <f t="shared" si="162"/>
        <v>1.7270135706479003E-2</v>
      </c>
      <c r="H217">
        <f t="shared" si="163"/>
        <v>-3.1243225142935214</v>
      </c>
      <c r="J217">
        <f t="shared" si="164"/>
        <v>15</v>
      </c>
      <c r="M217">
        <f t="shared" si="165"/>
        <v>1.0415558605657954E-2</v>
      </c>
      <c r="N217">
        <f t="shared" si="166"/>
        <v>-1.5707963250000001</v>
      </c>
      <c r="O217">
        <f t="shared" si="167"/>
        <v>38.905613666511456</v>
      </c>
      <c r="P217">
        <f t="shared" si="168"/>
        <v>1.5450902641512561</v>
      </c>
      <c r="Q217">
        <f t="shared" si="169"/>
        <v>17.631020878484026</v>
      </c>
      <c r="R217">
        <f t="shared" si="170"/>
        <v>1.5140476595549659</v>
      </c>
      <c r="S217">
        <f t="shared" si="171"/>
        <v>0.94229208055333236</v>
      </c>
      <c r="T217">
        <f t="shared" si="172"/>
        <v>-0.34138440647490709</v>
      </c>
      <c r="U217">
        <f t="shared" si="173"/>
        <v>0.81974289779416498</v>
      </c>
      <c r="V217">
        <f t="shared" si="174"/>
        <v>-0.60983435750806592</v>
      </c>
      <c r="X217">
        <f t="shared" si="192"/>
        <v>-12.20033823320737</v>
      </c>
      <c r="Y217">
        <f t="shared" si="175"/>
        <v>-127.45679567833515</v>
      </c>
      <c r="Z217">
        <f t="shared" si="193"/>
        <v>52.543204321664845</v>
      </c>
      <c r="AC217">
        <v>1</v>
      </c>
      <c r="AD217">
        <f t="shared" si="176"/>
        <v>38.892759927367507</v>
      </c>
      <c r="AE217">
        <f t="shared" si="177"/>
        <v>-3.3539839795295868E-3</v>
      </c>
      <c r="AF217">
        <f t="shared" si="178"/>
        <v>4.8005106488324999E-3</v>
      </c>
      <c r="AG217">
        <f t="shared" si="194"/>
        <v>5346.4317556831056</v>
      </c>
      <c r="AH217">
        <f t="shared" si="195"/>
        <v>-3943.715125559333</v>
      </c>
      <c r="AJ217">
        <f t="shared" si="179"/>
        <v>20000</v>
      </c>
      <c r="AK217">
        <f t="shared" si="180"/>
        <v>7105.9055831820006</v>
      </c>
      <c r="AL217">
        <v>1</v>
      </c>
      <c r="AM217">
        <f t="shared" si="181"/>
        <v>17.6026389276591</v>
      </c>
      <c r="AN217">
        <f t="shared" si="196"/>
        <v>466.72458752494299</v>
      </c>
      <c r="AO217">
        <f t="shared" si="197"/>
        <v>-1109.6788096801974</v>
      </c>
      <c r="AQ217">
        <f t="shared" si="182"/>
        <v>0.29859659599880561</v>
      </c>
      <c r="AR217">
        <f t="shared" si="183"/>
        <v>-54.64317706778143</v>
      </c>
      <c r="AT217">
        <f t="shared" si="209"/>
        <v>-213900.69758783962</v>
      </c>
      <c r="AU217">
        <f t="shared" si="210"/>
        <v>-293323.59701868251</v>
      </c>
      <c r="AV217">
        <f t="shared" si="198"/>
        <v>-2.200872320462115</v>
      </c>
      <c r="AW217">
        <f t="shared" si="199"/>
        <v>-55177.605281374112</v>
      </c>
      <c r="AX217">
        <f t="shared" si="200"/>
        <v>-32928.585374493297</v>
      </c>
      <c r="AY217">
        <f t="shared" si="208"/>
        <v>-2.6035482522448112</v>
      </c>
      <c r="BA217">
        <f t="shared" si="184"/>
        <v>5.6497580573311481</v>
      </c>
      <c r="BB217">
        <f t="shared" si="201"/>
        <v>15.040597003766415</v>
      </c>
      <c r="BC217">
        <f t="shared" si="202"/>
        <v>0.40267593178269623</v>
      </c>
      <c r="BD217">
        <f t="shared" si="185"/>
        <v>-156.92836857099047</v>
      </c>
      <c r="BF217">
        <f t="shared" si="186"/>
        <v>-11.996451236492117</v>
      </c>
      <c r="BG217">
        <f t="shared" si="187"/>
        <v>-135.16003579423608</v>
      </c>
      <c r="BH217">
        <f t="shared" si="203"/>
        <v>44.83996420576392</v>
      </c>
      <c r="BI217">
        <f t="shared" si="204"/>
        <v>44.83996420576392</v>
      </c>
      <c r="BJ217">
        <f t="shared" si="188"/>
        <v>0</v>
      </c>
      <c r="BK217">
        <f t="shared" si="205"/>
        <v>0</v>
      </c>
      <c r="BM217">
        <f t="shared" si="206"/>
        <v>-27.037048240258528</v>
      </c>
      <c r="BN217">
        <f t="shared" si="189"/>
        <v>-158.23166722324561</v>
      </c>
      <c r="BQ217" s="66">
        <f t="shared" si="207"/>
        <v>31.942557804051553</v>
      </c>
      <c r="BR217" s="71"/>
      <c r="BS217" s="71"/>
      <c r="BT217" s="71">
        <v>11748.976000000001</v>
      </c>
      <c r="BU217" s="71">
        <v>-3.0396299999999998</v>
      </c>
      <c r="BV217" s="71">
        <v>-206.25700000000001</v>
      </c>
      <c r="BW217" s="75"/>
      <c r="BY217" s="71"/>
      <c r="BZ217" s="71"/>
      <c r="CA217" s="71"/>
      <c r="CC217" s="71"/>
    </row>
    <row r="218" spans="1:81" x14ac:dyDescent="0.15">
      <c r="A218">
        <f t="shared" si="190"/>
        <v>92000</v>
      </c>
      <c r="B218">
        <f t="shared" si="191"/>
        <v>92</v>
      </c>
      <c r="C218">
        <f t="shared" si="159"/>
        <v>1.0703054255378466</v>
      </c>
      <c r="D218">
        <f t="shared" si="160"/>
        <v>0.36447019132556685</v>
      </c>
      <c r="F218">
        <f t="shared" si="161"/>
        <v>2.7422172895389721E-3</v>
      </c>
      <c r="G218">
        <f t="shared" si="162"/>
        <v>1.7175770211978043E-2</v>
      </c>
      <c r="H218">
        <f t="shared" si="163"/>
        <v>-3.1244168797880221</v>
      </c>
      <c r="J218">
        <f t="shared" si="164"/>
        <v>15</v>
      </c>
      <c r="M218">
        <f t="shared" si="165"/>
        <v>1.0358952308888074E-2</v>
      </c>
      <c r="N218">
        <f t="shared" si="166"/>
        <v>-1.5707963250000001</v>
      </c>
      <c r="O218">
        <f t="shared" si="167"/>
        <v>39.118072574897916</v>
      </c>
      <c r="P218">
        <f t="shared" si="168"/>
        <v>1.5452299099763929</v>
      </c>
      <c r="Q218">
        <f t="shared" si="169"/>
        <v>17.72705615879984</v>
      </c>
      <c r="R218">
        <f t="shared" si="170"/>
        <v>1.5143554198697564</v>
      </c>
      <c r="S218">
        <f t="shared" si="171"/>
        <v>0.94171389195934363</v>
      </c>
      <c r="T218">
        <f t="shared" si="172"/>
        <v>-0.34310723907217389</v>
      </c>
      <c r="U218">
        <f t="shared" si="173"/>
        <v>0.81827348094279118</v>
      </c>
      <c r="V218">
        <f t="shared" si="174"/>
        <v>-0.61239529554487804</v>
      </c>
      <c r="X218">
        <f t="shared" si="192"/>
        <v>-12.263035867747563</v>
      </c>
      <c r="Y218">
        <f t="shared" si="175"/>
        <v>-127.57823306022962</v>
      </c>
      <c r="Z218">
        <f t="shared" si="193"/>
        <v>52.421766939770379</v>
      </c>
      <c r="AC218">
        <v>1</v>
      </c>
      <c r="AD218">
        <f t="shared" si="176"/>
        <v>39.105288670140006</v>
      </c>
      <c r="AE218">
        <f t="shared" si="177"/>
        <v>-3.3907396939578277E-3</v>
      </c>
      <c r="AF218">
        <f t="shared" si="178"/>
        <v>4.8267429474600004E-3</v>
      </c>
      <c r="AG218">
        <f t="shared" si="194"/>
        <v>5327.2816154570364</v>
      </c>
      <c r="AH218">
        <f t="shared" si="195"/>
        <v>-3949.5422569486095</v>
      </c>
      <c r="AJ218">
        <f t="shared" si="179"/>
        <v>20000</v>
      </c>
      <c r="AK218">
        <f t="shared" si="180"/>
        <v>7144.7356683359994</v>
      </c>
      <c r="AL218">
        <v>1</v>
      </c>
      <c r="AM218">
        <f t="shared" si="181"/>
        <v>17.698828211416799</v>
      </c>
      <c r="AN218">
        <f t="shared" si="196"/>
        <v>466.04340151922827</v>
      </c>
      <c r="AO218">
        <f t="shared" si="197"/>
        <v>-1103.686434217165</v>
      </c>
      <c r="AQ218">
        <f t="shared" si="182"/>
        <v>0.29535989603331658</v>
      </c>
      <c r="AR218">
        <f t="shared" si="183"/>
        <v>-54.346220870130253</v>
      </c>
      <c r="AT218">
        <f t="shared" si="209"/>
        <v>-213069.23048796027</v>
      </c>
      <c r="AU218">
        <f t="shared" si="210"/>
        <v>-290684.15970140393</v>
      </c>
      <c r="AV218">
        <f t="shared" si="198"/>
        <v>-2.2033233100574421</v>
      </c>
      <c r="AW218">
        <f t="shared" si="199"/>
        <v>-54542.743016165368</v>
      </c>
      <c r="AX218">
        <f t="shared" si="200"/>
        <v>-32733.491507163322</v>
      </c>
      <c r="AY218">
        <f t="shared" si="208"/>
        <v>-2.601067391694893</v>
      </c>
      <c r="BA218">
        <f t="shared" si="184"/>
        <v>5.6658298140691157</v>
      </c>
      <c r="BB218">
        <f t="shared" si="201"/>
        <v>15.065270507392185</v>
      </c>
      <c r="BC218">
        <f t="shared" si="202"/>
        <v>0.3977440816374509</v>
      </c>
      <c r="BD218">
        <f t="shared" si="185"/>
        <v>-157.21094276982691</v>
      </c>
      <c r="BF218">
        <f t="shared" si="186"/>
        <v>-12.060712478453038</v>
      </c>
      <c r="BG218">
        <f t="shared" si="187"/>
        <v>-135.34423988052708</v>
      </c>
      <c r="BH218">
        <f t="shared" si="203"/>
        <v>44.655760119472916</v>
      </c>
      <c r="BI218">
        <f t="shared" si="204"/>
        <v>44.655760119472916</v>
      </c>
      <c r="BJ218">
        <f t="shared" si="188"/>
        <v>0</v>
      </c>
      <c r="BK218">
        <f t="shared" si="205"/>
        <v>0</v>
      </c>
      <c r="BM218">
        <f t="shared" si="206"/>
        <v>-27.125982985845226</v>
      </c>
      <c r="BN218">
        <f t="shared" si="189"/>
        <v>-158.1332971107002</v>
      </c>
      <c r="BQ218" s="66">
        <f t="shared" si="207"/>
        <v>31.967231307677324</v>
      </c>
      <c r="BR218" s="71"/>
      <c r="BS218" s="71"/>
      <c r="BT218" s="71">
        <v>12022.644</v>
      </c>
      <c r="BU218" s="71">
        <v>-3.2097500000000001</v>
      </c>
      <c r="BV218" s="71">
        <v>-205.79599999999999</v>
      </c>
      <c r="BW218" s="75"/>
      <c r="BY218" s="71"/>
      <c r="BZ218" s="71"/>
      <c r="CA218" s="71"/>
      <c r="CC218" s="71"/>
    </row>
    <row r="219" spans="1:81" x14ac:dyDescent="0.15">
      <c r="A219">
        <f t="shared" si="190"/>
        <v>92500</v>
      </c>
      <c r="B219">
        <f t="shared" si="191"/>
        <v>92.5</v>
      </c>
      <c r="C219">
        <f t="shared" si="159"/>
        <v>1.0710462681943205</v>
      </c>
      <c r="D219">
        <f t="shared" si="160"/>
        <v>0.36627893941446454</v>
      </c>
      <c r="F219">
        <f t="shared" si="161"/>
        <v>2.7125746383789904E-3</v>
      </c>
      <c r="G219">
        <f t="shared" si="162"/>
        <v>1.7082433052819538E-2</v>
      </c>
      <c r="H219">
        <f t="shared" si="163"/>
        <v>-3.1245102169471806</v>
      </c>
      <c r="J219">
        <f t="shared" si="164"/>
        <v>15</v>
      </c>
      <c r="M219">
        <f t="shared" si="165"/>
        <v>1.0302957972083273E-2</v>
      </c>
      <c r="N219">
        <f t="shared" si="166"/>
        <v>-1.5707963250000001</v>
      </c>
      <c r="O219">
        <f t="shared" si="167"/>
        <v>39.330532237882643</v>
      </c>
      <c r="P219">
        <f t="shared" si="168"/>
        <v>1.5453680470982014</v>
      </c>
      <c r="Q219">
        <f t="shared" si="169"/>
        <v>17.823093100064494</v>
      </c>
      <c r="R219">
        <f t="shared" si="170"/>
        <v>1.5146598635767683</v>
      </c>
      <c r="S219">
        <f t="shared" si="171"/>
        <v>0.94113362419493729</v>
      </c>
      <c r="T219">
        <f t="shared" si="172"/>
        <v>-0.34482795361242957</v>
      </c>
      <c r="U219">
        <f t="shared" si="173"/>
        <v>0.8168039944356611</v>
      </c>
      <c r="V219">
        <f t="shared" si="174"/>
        <v>-0.6149470522081365</v>
      </c>
      <c r="X219">
        <f t="shared" si="192"/>
        <v>-12.325496828476725</v>
      </c>
      <c r="Y219">
        <f t="shared" si="175"/>
        <v>-127.69938380843109</v>
      </c>
      <c r="Z219">
        <f t="shared" si="193"/>
        <v>52.300616191568906</v>
      </c>
      <c r="AC219">
        <v>1</v>
      </c>
      <c r="AD219">
        <f t="shared" si="176"/>
        <v>39.317817412912504</v>
      </c>
      <c r="AE219">
        <f t="shared" si="177"/>
        <v>-3.4276957120069305E-3</v>
      </c>
      <c r="AF219">
        <f t="shared" si="178"/>
        <v>4.8529752460875009E-3</v>
      </c>
      <c r="AG219">
        <f t="shared" si="194"/>
        <v>5308.1649279546846</v>
      </c>
      <c r="AH219">
        <f t="shared" si="195"/>
        <v>-3955.259029530554</v>
      </c>
      <c r="AJ219">
        <f t="shared" si="179"/>
        <v>20000</v>
      </c>
      <c r="AK219">
        <f t="shared" si="180"/>
        <v>7183.5657534900001</v>
      </c>
      <c r="AL219">
        <v>1</v>
      </c>
      <c r="AM219">
        <f t="shared" si="181"/>
        <v>17.795017495174498</v>
      </c>
      <c r="AN219">
        <f t="shared" si="196"/>
        <v>465.37318552577136</v>
      </c>
      <c r="AO219">
        <f t="shared" si="197"/>
        <v>-1097.7582247261889</v>
      </c>
      <c r="AQ219">
        <f t="shared" si="182"/>
        <v>0.29217553906386956</v>
      </c>
      <c r="AR219">
        <f t="shared" si="183"/>
        <v>-54.052474726815873</v>
      </c>
      <c r="AT219">
        <f t="shared" si="209"/>
        <v>-212240.62278244545</v>
      </c>
      <c r="AU219">
        <f t="shared" si="210"/>
        <v>-288075.08055313135</v>
      </c>
      <c r="AV219">
        <f t="shared" si="198"/>
        <v>-2.2057663059391794</v>
      </c>
      <c r="AW219">
        <f t="shared" si="199"/>
        <v>-53918.345556891727</v>
      </c>
      <c r="AX219">
        <f t="shared" si="200"/>
        <v>-32541.112920027073</v>
      </c>
      <c r="AY219">
        <f t="shared" si="208"/>
        <v>-2.5985846816219578</v>
      </c>
      <c r="BA219">
        <f t="shared" si="184"/>
        <v>5.6817096878779232</v>
      </c>
      <c r="BB219">
        <f t="shared" si="201"/>
        <v>15.089580785648574</v>
      </c>
      <c r="BC219">
        <f t="shared" si="202"/>
        <v>0.39281837568277833</v>
      </c>
      <c r="BD219">
        <f t="shared" si="185"/>
        <v>-157.4931649324746</v>
      </c>
      <c r="BF219">
        <f t="shared" si="186"/>
        <v>-12.12479544749119</v>
      </c>
      <c r="BG219">
        <f t="shared" si="187"/>
        <v>-135.5281762366578</v>
      </c>
      <c r="BH219">
        <f t="shared" si="203"/>
        <v>44.471823763342201</v>
      </c>
      <c r="BI219">
        <f t="shared" si="204"/>
        <v>44.471823763342201</v>
      </c>
      <c r="BJ219">
        <f t="shared" si="188"/>
        <v>0</v>
      </c>
      <c r="BK219">
        <f t="shared" si="205"/>
        <v>0</v>
      </c>
      <c r="BM219">
        <f t="shared" si="206"/>
        <v>-27.214376233139763</v>
      </c>
      <c r="BN219">
        <f t="shared" si="189"/>
        <v>-158.03501130418323</v>
      </c>
      <c r="BQ219" s="66">
        <f t="shared" si="207"/>
        <v>31.99154158593371</v>
      </c>
      <c r="BR219" s="71"/>
      <c r="BS219" s="71"/>
      <c r="BT219" s="71">
        <v>12302.688</v>
      </c>
      <c r="BU219" s="71">
        <v>-3.2360000000000002</v>
      </c>
      <c r="BV219" s="71">
        <v>-205.58</v>
      </c>
      <c r="BW219" s="75"/>
      <c r="BY219" s="71"/>
      <c r="BZ219" s="71"/>
      <c r="CA219" s="71"/>
      <c r="CC219" s="71"/>
    </row>
    <row r="220" spans="1:81" x14ac:dyDescent="0.15">
      <c r="A220">
        <f t="shared" si="190"/>
        <v>93000</v>
      </c>
      <c r="B220">
        <f t="shared" si="191"/>
        <v>93</v>
      </c>
      <c r="C220">
        <f t="shared" si="159"/>
        <v>1.0717906100025063</v>
      </c>
      <c r="D220">
        <f t="shared" si="160"/>
        <v>0.36808518111129224</v>
      </c>
      <c r="F220">
        <f t="shared" si="161"/>
        <v>2.6834104541500385E-3</v>
      </c>
      <c r="G220">
        <f t="shared" si="162"/>
        <v>1.6990107467972682E-2</v>
      </c>
      <c r="H220">
        <f t="shared" si="163"/>
        <v>-3.1246025425320276</v>
      </c>
      <c r="J220">
        <f t="shared" si="164"/>
        <v>15</v>
      </c>
      <c r="M220">
        <f t="shared" si="165"/>
        <v>1.0247565724921536E-2</v>
      </c>
      <c r="N220">
        <f t="shared" si="166"/>
        <v>-1.5707963250000001</v>
      </c>
      <c r="O220">
        <f t="shared" si="167"/>
        <v>39.542992643302554</v>
      </c>
      <c r="P220">
        <f t="shared" si="168"/>
        <v>1.5455046998296869</v>
      </c>
      <c r="Q220">
        <f t="shared" si="169"/>
        <v>17.919131675572611</v>
      </c>
      <c r="R220">
        <f t="shared" si="170"/>
        <v>1.5149610439457353</v>
      </c>
      <c r="S220">
        <f t="shared" si="171"/>
        <v>0.94055129140013705</v>
      </c>
      <c r="T220">
        <f t="shared" si="172"/>
        <v>-0.34654654382843503</v>
      </c>
      <c r="U220">
        <f t="shared" si="173"/>
        <v>0.81533449590362317</v>
      </c>
      <c r="V220">
        <f t="shared" si="174"/>
        <v>-0.61748964373159543</v>
      </c>
      <c r="X220">
        <f t="shared" si="192"/>
        <v>-12.38772354413274</v>
      </c>
      <c r="Y220">
        <f t="shared" si="175"/>
        <v>-127.82024538953574</v>
      </c>
      <c r="Z220">
        <f t="shared" si="193"/>
        <v>52.179754610464258</v>
      </c>
      <c r="AC220">
        <v>1</v>
      </c>
      <c r="AD220">
        <f t="shared" si="176"/>
        <v>39.530346155685002</v>
      </c>
      <c r="AE220">
        <f t="shared" si="177"/>
        <v>-3.4648520336768964E-3</v>
      </c>
      <c r="AF220">
        <f t="shared" si="178"/>
        <v>4.8792075447150005E-3</v>
      </c>
      <c r="AG220">
        <f t="shared" si="194"/>
        <v>5289.0824457660556</v>
      </c>
      <c r="AH220">
        <f t="shared" si="195"/>
        <v>-3960.8661634880573</v>
      </c>
      <c r="AJ220">
        <f t="shared" si="179"/>
        <v>20000</v>
      </c>
      <c r="AK220">
        <f t="shared" si="180"/>
        <v>7222.3958386440008</v>
      </c>
      <c r="AL220">
        <v>1</v>
      </c>
      <c r="AM220">
        <f t="shared" si="181"/>
        <v>17.891206778932197</v>
      </c>
      <c r="AN220">
        <f t="shared" si="196"/>
        <v>464.71370549406464</v>
      </c>
      <c r="AO220">
        <f t="shared" si="197"/>
        <v>-1091.8931593541092</v>
      </c>
      <c r="AQ220">
        <f t="shared" si="182"/>
        <v>0.28904240252044977</v>
      </c>
      <c r="AR220">
        <f t="shared" si="183"/>
        <v>-53.76188686880365</v>
      </c>
      <c r="AT220">
        <f t="shared" si="209"/>
        <v>-211414.86948666433</v>
      </c>
      <c r="AU220">
        <f t="shared" si="210"/>
        <v>-285495.91036100656</v>
      </c>
      <c r="AV220">
        <f t="shared" si="198"/>
        <v>-2.2082013052059928</v>
      </c>
      <c r="AW220">
        <f t="shared" si="199"/>
        <v>-53304.188450171896</v>
      </c>
      <c r="AX220">
        <f t="shared" si="200"/>
        <v>-32351.391111139979</v>
      </c>
      <c r="AY220">
        <f t="shared" si="208"/>
        <v>-2.5961002693268034</v>
      </c>
      <c r="BA220">
        <f t="shared" si="184"/>
        <v>5.6973979902136582</v>
      </c>
      <c r="BB220">
        <f t="shared" si="201"/>
        <v>15.113531160825662</v>
      </c>
      <c r="BC220">
        <f t="shared" si="202"/>
        <v>0.3878989641208106</v>
      </c>
      <c r="BD220">
        <f t="shared" si="185"/>
        <v>-157.77502645298526</v>
      </c>
      <c r="BF220">
        <f t="shared" si="186"/>
        <v>-12.188702553252828</v>
      </c>
      <c r="BG220">
        <f t="shared" si="187"/>
        <v>-135.71183759740029</v>
      </c>
      <c r="BH220">
        <f t="shared" si="203"/>
        <v>44.28816240259971</v>
      </c>
      <c r="BI220">
        <f t="shared" si="204"/>
        <v>44.28816240259971</v>
      </c>
      <c r="BJ220">
        <f t="shared" si="188"/>
        <v>0</v>
      </c>
      <c r="BK220">
        <f t="shared" si="205"/>
        <v>0</v>
      </c>
      <c r="BM220">
        <f t="shared" si="206"/>
        <v>-27.30223371407849</v>
      </c>
      <c r="BN220">
        <f t="shared" si="189"/>
        <v>-157.936811144415</v>
      </c>
      <c r="BQ220" s="66">
        <f t="shared" si="207"/>
        <v>32.015491961110797</v>
      </c>
      <c r="BR220" s="71"/>
      <c r="BS220" s="71"/>
      <c r="BT220" s="71">
        <v>12589.254000000001</v>
      </c>
      <c r="BU220" s="71">
        <v>-3.6465100000000001</v>
      </c>
      <c r="BV220" s="71">
        <v>-203.78</v>
      </c>
      <c r="BW220" s="75"/>
      <c r="BY220" s="71"/>
      <c r="BZ220" s="71"/>
      <c r="CA220" s="71"/>
      <c r="CC220" s="71"/>
    </row>
    <row r="221" spans="1:81" x14ac:dyDescent="0.15">
      <c r="A221">
        <f t="shared" si="190"/>
        <v>93500</v>
      </c>
      <c r="B221">
        <f t="shared" si="191"/>
        <v>93.5</v>
      </c>
      <c r="C221">
        <f t="shared" si="159"/>
        <v>1.072538443677169</v>
      </c>
      <c r="D221">
        <f t="shared" si="160"/>
        <v>0.36988890986089928</v>
      </c>
      <c r="F221">
        <f t="shared" si="161"/>
        <v>2.6547144860107549E-3</v>
      </c>
      <c r="G221">
        <f t="shared" si="162"/>
        <v>1.6898777059595829E-2</v>
      </c>
      <c r="H221">
        <f t="shared" si="163"/>
        <v>-3.1246938729404046</v>
      </c>
      <c r="J221">
        <f t="shared" si="164"/>
        <v>15</v>
      </c>
      <c r="M221">
        <f t="shared" si="165"/>
        <v>1.0192765908210725E-2</v>
      </c>
      <c r="N221">
        <f t="shared" si="166"/>
        <v>-1.5707963250000001</v>
      </c>
      <c r="O221">
        <f t="shared" si="167"/>
        <v>39.75545377925453</v>
      </c>
      <c r="P221">
        <f t="shared" si="168"/>
        <v>1.5456398919643455</v>
      </c>
      <c r="Q221">
        <f t="shared" si="169"/>
        <v>18.015171859187806</v>
      </c>
      <c r="R221">
        <f t="shared" si="170"/>
        <v>1.5152590131128489</v>
      </c>
      <c r="S221">
        <f t="shared" si="171"/>
        <v>0.93996690771587932</v>
      </c>
      <c r="T221">
        <f t="shared" si="172"/>
        <v>-0.34826300351861006</v>
      </c>
      <c r="U221">
        <f t="shared" si="173"/>
        <v>0.81386504225735656</v>
      </c>
      <c r="V221">
        <f t="shared" si="174"/>
        <v>-0.62002308670661022</v>
      </c>
      <c r="X221">
        <f t="shared" si="192"/>
        <v>-12.44971839873685</v>
      </c>
      <c r="Y221">
        <f t="shared" si="175"/>
        <v>-127.94081536349262</v>
      </c>
      <c r="Z221">
        <f t="shared" si="193"/>
        <v>52.059184636507382</v>
      </c>
      <c r="AC221">
        <v>1</v>
      </c>
      <c r="AD221">
        <f t="shared" si="176"/>
        <v>39.742874898457508</v>
      </c>
      <c r="AE221">
        <f t="shared" si="177"/>
        <v>-3.5022086589677243E-3</v>
      </c>
      <c r="AF221">
        <f t="shared" si="178"/>
        <v>4.9054398433425002E-3</v>
      </c>
      <c r="AG221">
        <f t="shared" si="194"/>
        <v>5270.03490676415</v>
      </c>
      <c r="AH221">
        <f t="shared" si="195"/>
        <v>-3966.3643842126903</v>
      </c>
      <c r="AJ221">
        <f t="shared" si="179"/>
        <v>20000</v>
      </c>
      <c r="AK221">
        <f t="shared" si="180"/>
        <v>7261.2259237979997</v>
      </c>
      <c r="AL221">
        <v>1</v>
      </c>
      <c r="AM221">
        <f t="shared" si="181"/>
        <v>17.9873960626899</v>
      </c>
      <c r="AN221">
        <f t="shared" si="196"/>
        <v>464.06473357603261</v>
      </c>
      <c r="AO221">
        <f t="shared" si="197"/>
        <v>-1086.0902377607674</v>
      </c>
      <c r="AQ221">
        <f t="shared" si="182"/>
        <v>0.2859593937660852</v>
      </c>
      <c r="AR221">
        <f t="shared" si="183"/>
        <v>-53.474406634257939</v>
      </c>
      <c r="AT221">
        <f t="shared" si="209"/>
        <v>-210591.96595396311</v>
      </c>
      <c r="AU221">
        <f t="shared" si="210"/>
        <v>-282946.2087358046</v>
      </c>
      <c r="AV221">
        <f t="shared" si="198"/>
        <v>-2.2106283057229072</v>
      </c>
      <c r="AW221">
        <f t="shared" si="199"/>
        <v>-52700.053181985124</v>
      </c>
      <c r="AX221">
        <f t="shared" si="200"/>
        <v>-32164.269211033672</v>
      </c>
      <c r="AY221">
        <f t="shared" si="208"/>
        <v>-2.5936143004332433</v>
      </c>
      <c r="BA221">
        <f t="shared" si="184"/>
        <v>5.7128950518338026</v>
      </c>
      <c r="BB221">
        <f t="shared" si="201"/>
        <v>15.137124919411191</v>
      </c>
      <c r="BC221">
        <f t="shared" si="202"/>
        <v>0.38298599471033601</v>
      </c>
      <c r="BD221">
        <f t="shared" si="185"/>
        <v>-158.056518865404</v>
      </c>
      <c r="BF221">
        <f t="shared" si="186"/>
        <v>-12.252436149934917</v>
      </c>
      <c r="BG221">
        <f t="shared" si="187"/>
        <v>-135.89521681190919</v>
      </c>
      <c r="BH221">
        <f t="shared" si="203"/>
        <v>44.104783188090806</v>
      </c>
      <c r="BI221">
        <f t="shared" si="204"/>
        <v>44.104783188090806</v>
      </c>
      <c r="BJ221">
        <f t="shared" si="188"/>
        <v>0</v>
      </c>
      <c r="BK221">
        <f t="shared" si="205"/>
        <v>0</v>
      </c>
      <c r="BM221">
        <f t="shared" si="206"/>
        <v>-27.389561069346108</v>
      </c>
      <c r="BN221">
        <f t="shared" si="189"/>
        <v>-157.83869794650522</v>
      </c>
      <c r="BQ221" s="66">
        <f t="shared" si="207"/>
        <v>32.039085719696331</v>
      </c>
      <c r="BR221" s="71"/>
      <c r="BS221" s="71"/>
      <c r="BT221" s="71">
        <v>12882.495999999999</v>
      </c>
      <c r="BU221" s="71">
        <v>-3.6234700000000002</v>
      </c>
      <c r="BV221" s="71">
        <v>-201.71899999999999</v>
      </c>
      <c r="BW221" s="75"/>
      <c r="BY221" s="71"/>
      <c r="BZ221" s="71"/>
      <c r="CA221" s="71"/>
      <c r="CC221" s="71"/>
    </row>
    <row r="222" spans="1:81" x14ac:dyDescent="0.15">
      <c r="A222">
        <f t="shared" si="190"/>
        <v>94000</v>
      </c>
      <c r="B222">
        <f t="shared" si="191"/>
        <v>94</v>
      </c>
      <c r="C222">
        <f t="shared" si="159"/>
        <v>1.0732897619192485</v>
      </c>
      <c r="D222">
        <f t="shared" si="160"/>
        <v>0.37169011919176737</v>
      </c>
      <c r="F222">
        <f t="shared" si="161"/>
        <v>2.6264767564050428E-3</v>
      </c>
      <c r="G222">
        <f t="shared" si="162"/>
        <v>1.6808425783228685E-2</v>
      </c>
      <c r="H222">
        <f t="shared" si="163"/>
        <v>-3.1247842242167714</v>
      </c>
      <c r="J222">
        <f t="shared" si="164"/>
        <v>15</v>
      </c>
      <c r="M222">
        <f t="shared" si="165"/>
        <v>1.0138549068273434E-2</v>
      </c>
      <c r="N222">
        <f t="shared" si="166"/>
        <v>-1.5707963250000001</v>
      </c>
      <c r="O222">
        <f t="shared" si="167"/>
        <v>39.967915634088499</v>
      </c>
      <c r="P222">
        <f t="shared" si="168"/>
        <v>1.5457736467899619</v>
      </c>
      <c r="Q222">
        <f t="shared" si="169"/>
        <v>18.111213625327665</v>
      </c>
      <c r="R222">
        <f t="shared" si="170"/>
        <v>1.5155538221107194</v>
      </c>
      <c r="S222">
        <f t="shared" si="171"/>
        <v>0.93938048728325518</v>
      </c>
      <c r="T222">
        <f t="shared" si="172"/>
        <v>-0.34997732654695707</v>
      </c>
      <c r="U222">
        <f t="shared" si="173"/>
        <v>0.81239568969017928</v>
      </c>
      <c r="V222">
        <f t="shared" si="174"/>
        <v>-0.62254739807510451</v>
      </c>
      <c r="X222">
        <f t="shared" si="192"/>
        <v>-12.511483732673074</v>
      </c>
      <c r="Y222">
        <f t="shared" si="175"/>
        <v>-128.06109138126143</v>
      </c>
      <c r="Z222">
        <f t="shared" si="193"/>
        <v>51.938908618738566</v>
      </c>
      <c r="AC222">
        <v>1</v>
      </c>
      <c r="AD222">
        <f t="shared" si="176"/>
        <v>39.955403641230006</v>
      </c>
      <c r="AE222">
        <f t="shared" si="177"/>
        <v>-3.5397655878794143E-3</v>
      </c>
      <c r="AF222">
        <f t="shared" si="178"/>
        <v>4.9316721419700007E-3</v>
      </c>
      <c r="AG222">
        <f t="shared" si="194"/>
        <v>5251.0230342256336</v>
      </c>
      <c r="AH222">
        <f t="shared" si="195"/>
        <v>-3971.7544219980705</v>
      </c>
      <c r="AJ222">
        <f t="shared" si="179"/>
        <v>20000</v>
      </c>
      <c r="AK222">
        <f t="shared" si="180"/>
        <v>7300.0560089520004</v>
      </c>
      <c r="AL222">
        <v>1</v>
      </c>
      <c r="AM222">
        <f t="shared" si="181"/>
        <v>18.083585346447599</v>
      </c>
      <c r="AN222">
        <f t="shared" si="196"/>
        <v>463.42604793003431</v>
      </c>
      <c r="AO222">
        <f t="shared" si="197"/>
        <v>-1080.3484805576895</v>
      </c>
      <c r="AQ222">
        <f t="shared" si="182"/>
        <v>0.28292544914415052</v>
      </c>
      <c r="AR222">
        <f t="shared" si="183"/>
        <v>-53.1899844391003</v>
      </c>
      <c r="AT222">
        <f t="shared" si="209"/>
        <v>-209771.90785158062</v>
      </c>
      <c r="AU222">
        <f t="shared" si="210"/>
        <v>-280425.54388355277</v>
      </c>
      <c r="AV222">
        <f t="shared" si="198"/>
        <v>-2.2130473061034199</v>
      </c>
      <c r="AW222">
        <f t="shared" si="199"/>
        <v>-52105.726990443734</v>
      </c>
      <c r="AX222">
        <f t="shared" si="200"/>
        <v>-31979.691927749773</v>
      </c>
      <c r="AY222">
        <f t="shared" si="208"/>
        <v>-2.5911269189019168</v>
      </c>
      <c r="BA222">
        <f t="shared" si="184"/>
        <v>5.7282012226106716</v>
      </c>
      <c r="BB222">
        <f t="shared" si="201"/>
        <v>15.160365312862245</v>
      </c>
      <c r="BC222">
        <f t="shared" si="202"/>
        <v>0.37807961279849689</v>
      </c>
      <c r="BD222">
        <f t="shared" si="185"/>
        <v>-158.33763384195294</v>
      </c>
      <c r="BF222">
        <f t="shared" si="186"/>
        <v>-12.31599853748107</v>
      </c>
      <c r="BG222">
        <f t="shared" si="187"/>
        <v>-136.07830684247725</v>
      </c>
      <c r="BH222">
        <f t="shared" si="203"/>
        <v>43.921693157522753</v>
      </c>
      <c r="BI222">
        <f t="shared" si="204"/>
        <v>43.921693157522753</v>
      </c>
      <c r="BJ222">
        <f t="shared" si="188"/>
        <v>0</v>
      </c>
      <c r="BK222">
        <f t="shared" si="205"/>
        <v>0</v>
      </c>
      <c r="BM222">
        <f t="shared" si="206"/>
        <v>-27.476363850343315</v>
      </c>
      <c r="BN222">
        <f t="shared" si="189"/>
        <v>-157.74067300052434</v>
      </c>
      <c r="BQ222" s="66">
        <f t="shared" si="207"/>
        <v>32.062326113147378</v>
      </c>
      <c r="BR222" s="71"/>
      <c r="BS222" s="71"/>
      <c r="BT222" s="71">
        <v>13182.566999999999</v>
      </c>
      <c r="BU222" s="71">
        <v>-4.1132799999999996</v>
      </c>
      <c r="BV222" s="71">
        <v>-198.27600000000001</v>
      </c>
      <c r="BW222" s="75"/>
      <c r="BY222" s="71"/>
      <c r="BZ222" s="71"/>
      <c r="CA222" s="71"/>
      <c r="CC222" s="71"/>
    </row>
    <row r="223" spans="1:81" x14ac:dyDescent="0.15">
      <c r="A223">
        <f t="shared" si="190"/>
        <v>94500</v>
      </c>
      <c r="B223">
        <f t="shared" si="191"/>
        <v>94.5</v>
      </c>
      <c r="C223">
        <f t="shared" si="159"/>
        <v>1.0740445574161464</v>
      </c>
      <c r="D223">
        <f t="shared" si="160"/>
        <v>0.3734888027158344</v>
      </c>
      <c r="F223">
        <f t="shared" si="161"/>
        <v>2.5986875523584876E-3</v>
      </c>
      <c r="G223">
        <f t="shared" si="162"/>
        <v>1.6719037938301352E-2</v>
      </c>
      <c r="H223">
        <f t="shared" si="163"/>
        <v>-3.1248736120616987</v>
      </c>
      <c r="J223">
        <f t="shared" si="164"/>
        <v>15</v>
      </c>
      <c r="M223">
        <f t="shared" si="165"/>
        <v>1.0084905951510082E-2</v>
      </c>
      <c r="N223">
        <f t="shared" si="166"/>
        <v>-1.5707963250000001</v>
      </c>
      <c r="O223">
        <f t="shared" si="167"/>
        <v>40.180378196400753</v>
      </c>
      <c r="P223">
        <f t="shared" si="168"/>
        <v>1.5459059871019722</v>
      </c>
      <c r="Q223">
        <f t="shared" si="169"/>
        <v>18.207256948949126</v>
      </c>
      <c r="R223">
        <f t="shared" si="170"/>
        <v>1.5158455208973927</v>
      </c>
      <c r="S223">
        <f t="shared" si="171"/>
        <v>0.93879204424275753</v>
      </c>
      <c r="T223">
        <f t="shared" si="172"/>
        <v>-0.35168950684298023</v>
      </c>
      <c r="U223">
        <f t="shared" si="173"/>
        <v>0.81092649368097469</v>
      </c>
      <c r="V223">
        <f t="shared" si="174"/>
        <v>-0.62506259512259499</v>
      </c>
      <c r="X223">
        <f t="shared" si="192"/>
        <v>-12.573021843737038</v>
      </c>
      <c r="Y223">
        <f t="shared" si="175"/>
        <v>-128.18107118253332</v>
      </c>
      <c r="Z223">
        <f t="shared" si="193"/>
        <v>51.818928817466684</v>
      </c>
      <c r="AC223">
        <v>1</v>
      </c>
      <c r="AD223">
        <f t="shared" si="176"/>
        <v>40.167932384002505</v>
      </c>
      <c r="AE223">
        <f t="shared" si="177"/>
        <v>-3.5775228204119672E-3</v>
      </c>
      <c r="AF223">
        <f t="shared" si="178"/>
        <v>4.9579044405975011E-3</v>
      </c>
      <c r="AG223">
        <f t="shared" si="194"/>
        <v>5232.0475369531086</v>
      </c>
      <c r="AH223">
        <f t="shared" si="195"/>
        <v>-3977.0370117407278</v>
      </c>
      <c r="AJ223">
        <f t="shared" si="179"/>
        <v>20000</v>
      </c>
      <c r="AK223">
        <f t="shared" si="180"/>
        <v>7338.8860941060002</v>
      </c>
      <c r="AL223">
        <v>1</v>
      </c>
      <c r="AM223">
        <f t="shared" si="181"/>
        <v>18.179774630205301</v>
      </c>
      <c r="AN223">
        <f t="shared" si="196"/>
        <v>462.79743253204356</v>
      </c>
      <c r="AO223">
        <f t="shared" si="197"/>
        <v>-1074.6669287641948</v>
      </c>
      <c r="AQ223">
        <f t="shared" si="182"/>
        <v>0.27993953306085884</v>
      </c>
      <c r="AR223">
        <f t="shared" si="183"/>
        <v>-52.908571748502325</v>
      </c>
      <c r="AT223">
        <f t="shared" si="209"/>
        <v>-208954.69113768672</v>
      </c>
      <c r="AU223">
        <f t="shared" si="210"/>
        <v>-277933.49238449085</v>
      </c>
      <c r="AV223">
        <f t="shared" si="198"/>
        <v>-2.2154583056920152</v>
      </c>
      <c r="AW223">
        <f t="shared" si="199"/>
        <v>-51521.002685413478</v>
      </c>
      <c r="AX223">
        <f t="shared" si="200"/>
        <v>-31797.60549403201</v>
      </c>
      <c r="AY223">
        <f t="shared" si="208"/>
        <v>-2.5886382670434571</v>
      </c>
      <c r="BA223">
        <f t="shared" si="184"/>
        <v>5.7433168713398688</v>
      </c>
      <c r="BB223">
        <f t="shared" si="201"/>
        <v>15.183255558351991</v>
      </c>
      <c r="BC223">
        <f t="shared" si="202"/>
        <v>0.37317996135144194</v>
      </c>
      <c r="BD223">
        <f t="shared" si="185"/>
        <v>-158.61836319127511</v>
      </c>
      <c r="BF223">
        <f t="shared" si="186"/>
        <v>-12.379391962749327</v>
      </c>
      <c r="BG223">
        <f t="shared" si="187"/>
        <v>-136.26110076333288</v>
      </c>
      <c r="BH223">
        <f t="shared" si="203"/>
        <v>43.738899236667123</v>
      </c>
      <c r="BI223">
        <f t="shared" si="204"/>
        <v>43.738899236667123</v>
      </c>
      <c r="BJ223">
        <f t="shared" si="188"/>
        <v>0</v>
      </c>
      <c r="BK223">
        <f t="shared" si="205"/>
        <v>0</v>
      </c>
      <c r="BM223">
        <f t="shared" si="206"/>
        <v>-27.562647521101319</v>
      </c>
      <c r="BN223">
        <f t="shared" si="189"/>
        <v>-157.6427375720578</v>
      </c>
      <c r="BQ223" s="66">
        <f t="shared" si="207"/>
        <v>32.085216358637126</v>
      </c>
      <c r="BR223" s="71"/>
      <c r="BS223" s="71"/>
      <c r="BT223" s="71">
        <v>13489.629000000001</v>
      </c>
      <c r="BU223" s="71">
        <v>-3.8779599999999999</v>
      </c>
      <c r="BV223" s="71">
        <v>-197.578</v>
      </c>
      <c r="BW223" s="75"/>
      <c r="BY223" s="71"/>
      <c r="BZ223" s="71"/>
      <c r="CA223" s="71"/>
      <c r="CC223" s="71"/>
    </row>
    <row r="224" spans="1:81" x14ac:dyDescent="0.15">
      <c r="A224">
        <f t="shared" si="190"/>
        <v>95000</v>
      </c>
      <c r="B224">
        <f t="shared" si="191"/>
        <v>95</v>
      </c>
      <c r="C224">
        <f t="shared" si="159"/>
        <v>1.0748028228420077</v>
      </c>
      <c r="D224">
        <f t="shared" si="160"/>
        <v>0.37528495412831453</v>
      </c>
      <c r="F224">
        <f t="shared" si="161"/>
        <v>2.5713374170967139E-3</v>
      </c>
      <c r="G224">
        <f t="shared" si="162"/>
        <v>1.6630598158948271E-2</v>
      </c>
      <c r="H224">
        <f t="shared" si="163"/>
        <v>-3.1249620518410519</v>
      </c>
      <c r="J224">
        <f t="shared" si="164"/>
        <v>15</v>
      </c>
      <c r="M224">
        <f t="shared" si="165"/>
        <v>1.0031827499133714E-2</v>
      </c>
      <c r="N224">
        <f t="shared" si="166"/>
        <v>-1.5707963250000001</v>
      </c>
      <c r="O224">
        <f t="shared" si="167"/>
        <v>40.392841455027487</v>
      </c>
      <c r="P224">
        <f t="shared" si="168"/>
        <v>1.5460369352164047</v>
      </c>
      <c r="Q224">
        <f t="shared" si="169"/>
        <v>18.303301805534375</v>
      </c>
      <c r="R224">
        <f t="shared" si="170"/>
        <v>1.5161341583844568</v>
      </c>
      <c r="S224">
        <f t="shared" si="171"/>
        <v>0.93820159273353376</v>
      </c>
      <c r="T224">
        <f t="shared" si="172"/>
        <v>-0.35339953840160127</v>
      </c>
      <c r="U224">
        <f t="shared" si="173"/>
        <v>0.80945750899723135</v>
      </c>
      <c r="V224">
        <f t="shared" si="174"/>
        <v>-0.62756869547127603</v>
      </c>
      <c r="X224">
        <f t="shared" si="192"/>
        <v>-12.634334988155079</v>
      </c>
      <c r="Y224">
        <f t="shared" si="175"/>
        <v>-128.30075259351511</v>
      </c>
      <c r="Z224">
        <f t="shared" si="193"/>
        <v>51.699247406484886</v>
      </c>
      <c r="AC224">
        <v>1</v>
      </c>
      <c r="AD224">
        <f t="shared" si="176"/>
        <v>40.380461126775003</v>
      </c>
      <c r="AE224">
        <f t="shared" si="177"/>
        <v>-3.6154803565653822E-3</v>
      </c>
      <c r="AF224">
        <f t="shared" si="178"/>
        <v>4.9841367392250008E-3</v>
      </c>
      <c r="AG224">
        <f t="shared" si="194"/>
        <v>5213.1091093989189</v>
      </c>
      <c r="AH224">
        <f t="shared" si="195"/>
        <v>-3982.2128926482974</v>
      </c>
      <c r="AJ224">
        <f t="shared" si="179"/>
        <v>20000</v>
      </c>
      <c r="AK224">
        <f t="shared" si="180"/>
        <v>7377.7161792600009</v>
      </c>
      <c r="AL224">
        <v>1</v>
      </c>
      <c r="AM224">
        <f t="shared" si="181"/>
        <v>18.275963913963</v>
      </c>
      <c r="AN224">
        <f t="shared" si="196"/>
        <v>462.17867699371538</v>
      </c>
      <c r="AO224">
        <f t="shared" si="197"/>
        <v>-1069.0446432803042</v>
      </c>
      <c r="AQ224">
        <f t="shared" si="182"/>
        <v>0.27700063710146533</v>
      </c>
      <c r="AR224">
        <f t="shared" si="183"/>
        <v>-52.630121049278415</v>
      </c>
      <c r="AT224">
        <f t="shared" si="209"/>
        <v>-208140.31203949411</v>
      </c>
      <c r="AU224">
        <f t="shared" si="210"/>
        <v>-275469.63897909835</v>
      </c>
      <c r="AV224">
        <f t="shared" si="198"/>
        <v>-2.217861304547069</v>
      </c>
      <c r="AW224">
        <f t="shared" si="199"/>
        <v>-50945.678474696877</v>
      </c>
      <c r="AX224">
        <f t="shared" si="200"/>
        <v>-31617.957616580166</v>
      </c>
      <c r="AY224">
        <f t="shared" si="208"/>
        <v>-2.5861484855310559</v>
      </c>
      <c r="BA224">
        <f t="shared" si="184"/>
        <v>5.7582423855439391</v>
      </c>
      <c r="BB224">
        <f t="shared" si="201"/>
        <v>15.205798839492406</v>
      </c>
      <c r="BC224">
        <f t="shared" si="202"/>
        <v>0.36828718098398694</v>
      </c>
      <c r="BD224">
        <f t="shared" si="185"/>
        <v>-158.89869885673508</v>
      </c>
      <c r="BF224">
        <f t="shared" si="186"/>
        <v>-12.442618620652642</v>
      </c>
      <c r="BG224">
        <f t="shared" si="187"/>
        <v>-136.4435917594775</v>
      </c>
      <c r="BH224">
        <f t="shared" si="203"/>
        <v>43.556408240522501</v>
      </c>
      <c r="BI224">
        <f t="shared" si="204"/>
        <v>43.556408240522501</v>
      </c>
      <c r="BJ224">
        <f t="shared" si="188"/>
        <v>0</v>
      </c>
      <c r="BK224">
        <f t="shared" si="205"/>
        <v>0</v>
      </c>
      <c r="BM224">
        <f t="shared" si="206"/>
        <v>-27.648417460145044</v>
      </c>
      <c r="BN224">
        <f t="shared" si="189"/>
        <v>-157.54489290274242</v>
      </c>
      <c r="BQ224" s="66">
        <f t="shared" si="207"/>
        <v>32.107759639777541</v>
      </c>
      <c r="BR224" s="71"/>
      <c r="BS224" s="71"/>
      <c r="BT224" s="71">
        <v>13803.843000000001</v>
      </c>
      <c r="BU224" s="71">
        <v>-4.0306600000000001</v>
      </c>
      <c r="BV224" s="71">
        <v>-195.64599999999999</v>
      </c>
      <c r="BW224" s="75"/>
      <c r="BY224" s="71"/>
      <c r="BZ224" s="71"/>
      <c r="CA224" s="71"/>
      <c r="CC224" s="71"/>
    </row>
    <row r="225" spans="1:81" x14ac:dyDescent="0.15">
      <c r="A225">
        <f t="shared" si="190"/>
        <v>95500</v>
      </c>
      <c r="B225">
        <f t="shared" si="191"/>
        <v>95.5</v>
      </c>
      <c r="C225">
        <f t="shared" si="159"/>
        <v>1.0755645508580065</v>
      </c>
      <c r="D225">
        <f t="shared" si="160"/>
        <v>0.37707856720751176</v>
      </c>
      <c r="F225">
        <f t="shared" si="161"/>
        <v>2.5444171419721339E-3</v>
      </c>
      <c r="G225">
        <f t="shared" si="162"/>
        <v>1.6543091405115787E-2</v>
      </c>
      <c r="H225">
        <f t="shared" si="163"/>
        <v>-3.1250495585948843</v>
      </c>
      <c r="J225">
        <f t="shared" si="164"/>
        <v>15</v>
      </c>
      <c r="M225">
        <f t="shared" si="165"/>
        <v>9.9793048420701858E-3</v>
      </c>
      <c r="N225">
        <f t="shared" si="166"/>
        <v>-1.5707963250000001</v>
      </c>
      <c r="O225">
        <f t="shared" si="167"/>
        <v>40.605305399038514</v>
      </c>
      <c r="P225">
        <f t="shared" si="168"/>
        <v>1.5461665129824127</v>
      </c>
      <c r="Q225">
        <f t="shared" si="169"/>
        <v>18.399348171077122</v>
      </c>
      <c r="R225">
        <f t="shared" si="170"/>
        <v>1.5164197824642716</v>
      </c>
      <c r="S225">
        <f t="shared" si="171"/>
        <v>0.93760914689264374</v>
      </c>
      <c r="T225">
        <f t="shared" si="172"/>
        <v>-0.35510741528307133</v>
      </c>
      <c r="U225">
        <f t="shared" si="173"/>
        <v>0.80798878969819066</v>
      </c>
      <c r="V225">
        <f t="shared" si="174"/>
        <v>-0.63006571707316295</v>
      </c>
      <c r="X225">
        <f t="shared" si="192"/>
        <v>-12.695425381574667</v>
      </c>
      <c r="Y225">
        <f t="shared" si="175"/>
        <v>-128.42013352477321</v>
      </c>
      <c r="Z225">
        <f t="shared" si="193"/>
        <v>51.579866475226794</v>
      </c>
      <c r="AC225">
        <v>1</v>
      </c>
      <c r="AD225">
        <f t="shared" si="176"/>
        <v>40.592989869547502</v>
      </c>
      <c r="AE225">
        <f t="shared" si="177"/>
        <v>-3.6536381963396597E-3</v>
      </c>
      <c r="AF225">
        <f t="shared" si="178"/>
        <v>5.0103690378525004E-3</v>
      </c>
      <c r="AG225">
        <f t="shared" si="194"/>
        <v>5194.20843179039</v>
      </c>
      <c r="AH225">
        <f t="shared" si="195"/>
        <v>-3987.2828079549172</v>
      </c>
      <c r="AJ225">
        <f t="shared" si="179"/>
        <v>20000</v>
      </c>
      <c r="AK225">
        <f t="shared" si="180"/>
        <v>7416.5462644139998</v>
      </c>
      <c r="AL225">
        <v>1</v>
      </c>
      <c r="AM225">
        <f t="shared" si="181"/>
        <v>18.372153197720699</v>
      </c>
      <c r="AN225">
        <f t="shared" si="196"/>
        <v>461.5695763870454</v>
      </c>
      <c r="AO225">
        <f t="shared" si="197"/>
        <v>-1063.4807043758456</v>
      </c>
      <c r="AQ225">
        <f t="shared" si="182"/>
        <v>0.2741077791787731</v>
      </c>
      <c r="AR225">
        <f t="shared" si="183"/>
        <v>-52.354585823145662</v>
      </c>
      <c r="AT225">
        <f t="shared" si="209"/>
        <v>-207328.76703239922</v>
      </c>
      <c r="AU225">
        <f t="shared" si="210"/>
        <v>-273033.57636092301</v>
      </c>
      <c r="AV225">
        <f t="shared" si="198"/>
        <v>-2.220256303424136</v>
      </c>
      <c r="AW225">
        <f t="shared" si="199"/>
        <v>-50379.55779650803</v>
      </c>
      <c r="AX225">
        <f t="shared" si="200"/>
        <v>-31440.697427273863</v>
      </c>
      <c r="AY225">
        <f t="shared" si="208"/>
        <v>-2.5836577134124648</v>
      </c>
      <c r="BA225">
        <f t="shared" si="184"/>
        <v>5.7729781712713093</v>
      </c>
      <c r="BB225">
        <f t="shared" si="201"/>
        <v>15.227998307033628</v>
      </c>
      <c r="BC225">
        <f t="shared" si="202"/>
        <v>0.36340140998832871</v>
      </c>
      <c r="BD225">
        <f t="shared" si="185"/>
        <v>-159.1786329147736</v>
      </c>
      <c r="BF225">
        <f t="shared" si="186"/>
        <v>-12.505680655272922</v>
      </c>
      <c r="BG225">
        <f t="shared" si="187"/>
        <v>-136.62577312556033</v>
      </c>
      <c r="BH225">
        <f t="shared" si="203"/>
        <v>43.374226874439671</v>
      </c>
      <c r="BI225">
        <f t="shared" si="204"/>
        <v>43.374226874439671</v>
      </c>
      <c r="BJ225">
        <f t="shared" si="188"/>
        <v>0</v>
      </c>
      <c r="BK225">
        <f t="shared" si="205"/>
        <v>0</v>
      </c>
      <c r="BM225">
        <f t="shared" si="206"/>
        <v>-27.733678962306548</v>
      </c>
      <c r="BN225">
        <f t="shared" si="189"/>
        <v>-157.44714021078673</v>
      </c>
      <c r="BQ225" s="66">
        <f t="shared" si="207"/>
        <v>32.129959107318761</v>
      </c>
      <c r="BR225" s="71"/>
      <c r="BS225" s="71"/>
      <c r="BT225" s="71">
        <v>14125.375</v>
      </c>
      <c r="BU225" s="71">
        <v>-4.0179099999999996</v>
      </c>
      <c r="BV225" s="71">
        <v>-192.58199999999999</v>
      </c>
      <c r="BW225" s="75"/>
      <c r="BY225" s="71"/>
      <c r="BZ225" s="71"/>
      <c r="CA225" s="71"/>
      <c r="CC225" s="71"/>
    </row>
    <row r="226" spans="1:81" x14ac:dyDescent="0.15">
      <c r="A226">
        <f t="shared" si="190"/>
        <v>96000</v>
      </c>
      <c r="B226">
        <f t="shared" si="191"/>
        <v>96</v>
      </c>
      <c r="C226">
        <f t="shared" si="159"/>
        <v>1.0763297341126266</v>
      </c>
      <c r="D226">
        <f t="shared" si="160"/>
        <v>0.37886963581463001</v>
      </c>
      <c r="F226">
        <f t="shared" si="161"/>
        <v>2.5179177586861783E-3</v>
      </c>
      <c r="G226">
        <f t="shared" si="162"/>
        <v>1.6456502953952276E-2</v>
      </c>
      <c r="H226">
        <f t="shared" si="163"/>
        <v>-3.1251361470460481</v>
      </c>
      <c r="J226">
        <f t="shared" si="164"/>
        <v>15</v>
      </c>
      <c r="M226">
        <f t="shared" si="165"/>
        <v>9.9273292960177385E-3</v>
      </c>
      <c r="N226">
        <f t="shared" si="166"/>
        <v>-1.5707963250000001</v>
      </c>
      <c r="O226">
        <f t="shared" si="167"/>
        <v>40.817770017731178</v>
      </c>
      <c r="P226">
        <f t="shared" si="168"/>
        <v>1.5462947417944199</v>
      </c>
      <c r="Q226">
        <f t="shared" si="169"/>
        <v>18.495396022069379</v>
      </c>
      <c r="R226">
        <f t="shared" si="170"/>
        <v>1.5167024400363545</v>
      </c>
      <c r="S226">
        <f t="shared" si="171"/>
        <v>0.93701472085432191</v>
      </c>
      <c r="T226">
        <f t="shared" si="172"/>
        <v>-0.35681313161287892</v>
      </c>
      <c r="U226">
        <f t="shared" si="173"/>
        <v>0.80652038913810298</v>
      </c>
      <c r="V226">
        <f t="shared" si="174"/>
        <v>-0.63255367820329667</v>
      </c>
      <c r="X226">
        <f t="shared" si="192"/>
        <v>-12.756295200027029</v>
      </c>
      <c r="Y226">
        <f t="shared" si="175"/>
        <v>-128.53921196913527</v>
      </c>
      <c r="Z226">
        <f t="shared" si="193"/>
        <v>51.460788030864734</v>
      </c>
      <c r="AC226">
        <v>1</v>
      </c>
      <c r="AD226">
        <f t="shared" si="176"/>
        <v>40.805518612320007</v>
      </c>
      <c r="AE226">
        <f t="shared" si="177"/>
        <v>-3.6919963397347992E-3</v>
      </c>
      <c r="AF226">
        <f t="shared" si="178"/>
        <v>5.0366013364800009E-3</v>
      </c>
      <c r="AG226">
        <f t="shared" si="194"/>
        <v>5175.3461702564309</v>
      </c>
      <c r="AH226">
        <f t="shared" si="195"/>
        <v>-3992.2475046436693</v>
      </c>
      <c r="AJ226">
        <f t="shared" si="179"/>
        <v>20000</v>
      </c>
      <c r="AK226">
        <f t="shared" si="180"/>
        <v>7455.3763495680005</v>
      </c>
      <c r="AL226">
        <v>1</v>
      </c>
      <c r="AM226">
        <f t="shared" si="181"/>
        <v>18.468342481478398</v>
      </c>
      <c r="AN226">
        <f t="shared" si="196"/>
        <v>460.96993107535707</v>
      </c>
      <c r="AO226">
        <f t="shared" si="197"/>
        <v>-1057.9742111951855</v>
      </c>
      <c r="AQ226">
        <f t="shared" si="182"/>
        <v>0.27126000271260003</v>
      </c>
      <c r="AR226">
        <f t="shared" si="183"/>
        <v>-52.081920520819203</v>
      </c>
      <c r="AT226">
        <f t="shared" si="209"/>
        <v>-206520.05282010799</v>
      </c>
      <c r="AU226">
        <f t="shared" si="210"/>
        <v>-270624.9049759605</v>
      </c>
      <c r="AV226">
        <f t="shared" si="198"/>
        <v>-2.2226433037595981</v>
      </c>
      <c r="AW226">
        <f t="shared" si="199"/>
        <v>-49822.449157980445</v>
      </c>
      <c r="AX226">
        <f t="shared" si="200"/>
        <v>-31265.775436279262</v>
      </c>
      <c r="AY226">
        <f t="shared" si="208"/>
        <v>-2.5811660881214737</v>
      </c>
      <c r="BA226">
        <f t="shared" si="184"/>
        <v>5.7875246528906867</v>
      </c>
      <c r="BB226">
        <f t="shared" si="201"/>
        <v>15.249857079540787</v>
      </c>
      <c r="BC226">
        <f t="shared" si="202"/>
        <v>0.35852278436187568</v>
      </c>
      <c r="BD226">
        <f t="shared" si="185"/>
        <v>-159.45815757331314</v>
      </c>
      <c r="BF226">
        <f t="shared" si="186"/>
        <v>-12.568580160949523</v>
      </c>
      <c r="BG226">
        <f t="shared" si="187"/>
        <v>-136.80763826478827</v>
      </c>
      <c r="BH226">
        <f t="shared" si="203"/>
        <v>43.192361735211733</v>
      </c>
      <c r="BI226">
        <f t="shared" si="204"/>
        <v>43.192361735211733</v>
      </c>
      <c r="BJ226">
        <f t="shared" si="188"/>
        <v>0</v>
      </c>
      <c r="BK226">
        <f t="shared" si="205"/>
        <v>0</v>
      </c>
      <c r="BM226">
        <f t="shared" si="206"/>
        <v>-27.818437240490312</v>
      </c>
      <c r="BN226">
        <f t="shared" si="189"/>
        <v>-157.34948069147512</v>
      </c>
      <c r="BQ226" s="66">
        <f t="shared" si="207"/>
        <v>32.151817879825927</v>
      </c>
      <c r="BR226" s="71"/>
      <c r="BS226" s="71"/>
      <c r="BT226" s="71">
        <v>14454.397999999999</v>
      </c>
      <c r="BU226" s="71">
        <v>-3.9652699999999999</v>
      </c>
      <c r="BV226" s="71">
        <v>-192.25399999999999</v>
      </c>
      <c r="BW226" s="75"/>
      <c r="BY226" s="71"/>
      <c r="BZ226" s="71"/>
      <c r="CA226" s="71"/>
      <c r="CC226" s="71"/>
    </row>
    <row r="227" spans="1:81" x14ac:dyDescent="0.15">
      <c r="A227">
        <f t="shared" si="190"/>
        <v>96500</v>
      </c>
      <c r="B227">
        <f t="shared" si="191"/>
        <v>96.5</v>
      </c>
      <c r="C227">
        <f t="shared" si="159"/>
        <v>1.0770983652419419</v>
      </c>
      <c r="D227">
        <f t="shared" si="160"/>
        <v>0.38065815389357716</v>
      </c>
      <c r="F227">
        <f t="shared" si="161"/>
        <v>2.4918305317947025E-3</v>
      </c>
      <c r="G227">
        <f t="shared" si="162"/>
        <v>1.6370818391470549E-2</v>
      </c>
      <c r="H227">
        <f t="shared" si="163"/>
        <v>-3.1252218316085298</v>
      </c>
      <c r="J227">
        <f t="shared" si="164"/>
        <v>15</v>
      </c>
      <c r="M227">
        <f t="shared" si="165"/>
        <v>9.8758923566601327E-3</v>
      </c>
      <c r="N227">
        <f t="shared" si="166"/>
        <v>-1.5707963250000001</v>
      </c>
      <c r="O227">
        <f t="shared" si="167"/>
        <v>41.030235300624483</v>
      </c>
      <c r="P227">
        <f t="shared" si="168"/>
        <v>1.5464216426038857</v>
      </c>
      <c r="Q227">
        <f t="shared" si="169"/>
        <v>18.591445335488586</v>
      </c>
      <c r="R227">
        <f t="shared" si="170"/>
        <v>1.5169821770329501</v>
      </c>
      <c r="S227">
        <f t="shared" si="171"/>
        <v>0.93641832874924658</v>
      </c>
      <c r="T227">
        <f t="shared" si="172"/>
        <v>-0.3585166815816544</v>
      </c>
      <c r="U227">
        <f t="shared" si="173"/>
        <v>0.80505235996958369</v>
      </c>
      <c r="V227">
        <f t="shared" si="174"/>
        <v>-0.63503259745300911</v>
      </c>
      <c r="X227">
        <f t="shared" si="192"/>
        <v>-12.816946580862949</v>
      </c>
      <c r="Y227">
        <f t="shared" si="175"/>
        <v>-128.65798599964907</v>
      </c>
      <c r="Z227">
        <f t="shared" si="193"/>
        <v>51.342014000350929</v>
      </c>
      <c r="AC227">
        <v>1</v>
      </c>
      <c r="AD227">
        <f t="shared" si="176"/>
        <v>41.018047355092506</v>
      </c>
      <c r="AE227">
        <f t="shared" si="177"/>
        <v>-3.7305547867508E-3</v>
      </c>
      <c r="AF227">
        <f t="shared" si="178"/>
        <v>5.0628336351075005E-3</v>
      </c>
      <c r="AG227">
        <f t="shared" si="194"/>
        <v>5156.5229769553871</v>
      </c>
      <c r="AH227">
        <f t="shared" si="195"/>
        <v>-3997.107733175932</v>
      </c>
      <c r="AJ227">
        <f t="shared" si="179"/>
        <v>20000</v>
      </c>
      <c r="AK227">
        <f t="shared" si="180"/>
        <v>7494.2064347220003</v>
      </c>
      <c r="AL227">
        <v>1</v>
      </c>
      <c r="AM227">
        <f t="shared" si="181"/>
        <v>18.564531765236097</v>
      </c>
      <c r="AN227">
        <f t="shared" si="196"/>
        <v>460.37954655035344</v>
      </c>
      <c r="AO227">
        <f t="shared" si="197"/>
        <v>-1052.5242812770261</v>
      </c>
      <c r="AQ227">
        <f t="shared" si="182"/>
        <v>0.26845637583892618</v>
      </c>
      <c r="AR227">
        <f t="shared" si="183"/>
        <v>-51.812080536912752</v>
      </c>
      <c r="AT227">
        <f t="shared" si="209"/>
        <v>-205714.16631570458</v>
      </c>
      <c r="AU227">
        <f t="shared" si="210"/>
        <v>-268243.23282833979</v>
      </c>
      <c r="AV227">
        <f t="shared" si="198"/>
        <v>-2.2250223076546778</v>
      </c>
      <c r="AW227">
        <f t="shared" si="199"/>
        <v>-49274.165979460391</v>
      </c>
      <c r="AX227">
        <f t="shared" si="200"/>
        <v>-31093.143486955578</v>
      </c>
      <c r="AY227">
        <f t="shared" si="208"/>
        <v>-2.5786737454889002</v>
      </c>
      <c r="BA227">
        <f t="shared" si="184"/>
        <v>5.8018822728810004</v>
      </c>
      <c r="BB227">
        <f t="shared" si="201"/>
        <v>15.271378244048952</v>
      </c>
      <c r="BC227">
        <f t="shared" si="202"/>
        <v>0.35365143783422237</v>
      </c>
      <c r="BD227">
        <f t="shared" si="185"/>
        <v>-159.73726517021231</v>
      </c>
      <c r="BF227">
        <f t="shared" si="186"/>
        <v>-12.631319183342963</v>
      </c>
      <c r="BG227">
        <f t="shared" si="187"/>
        <v>-136.98918068786907</v>
      </c>
      <c r="BH227">
        <f t="shared" si="203"/>
        <v>43.010819312130934</v>
      </c>
      <c r="BI227">
        <f t="shared" si="204"/>
        <v>43.010819312130934</v>
      </c>
      <c r="BJ227">
        <f t="shared" si="188"/>
        <v>0</v>
      </c>
      <c r="BK227">
        <f t="shared" si="205"/>
        <v>0</v>
      </c>
      <c r="BM227">
        <f t="shared" si="206"/>
        <v>-27.902697427391917</v>
      </c>
      <c r="BN227">
        <f t="shared" si="189"/>
        <v>-157.25191551765678</v>
      </c>
      <c r="BQ227" s="66">
        <f t="shared" si="207"/>
        <v>32.173339044334092</v>
      </c>
      <c r="BR227" s="71"/>
      <c r="BS227" s="71"/>
      <c r="BT227" s="71">
        <v>14791.084000000001</v>
      </c>
      <c r="BU227" s="71">
        <v>-3.9583900000000001</v>
      </c>
      <c r="BV227" s="71">
        <v>-191.02600000000001</v>
      </c>
      <c r="BW227" s="75"/>
      <c r="BY227" s="71"/>
      <c r="BZ227" s="71"/>
      <c r="CA227" s="71"/>
      <c r="CC227" s="71"/>
    </row>
    <row r="228" spans="1:81" x14ac:dyDescent="0.15">
      <c r="A228">
        <f t="shared" si="190"/>
        <v>97000</v>
      </c>
      <c r="B228">
        <f t="shared" si="191"/>
        <v>97</v>
      </c>
      <c r="C228">
        <f t="shared" si="159"/>
        <v>1.0778704368698979</v>
      </c>
      <c r="D228">
        <f t="shared" si="160"/>
        <v>0.38244411547076557</v>
      </c>
      <c r="F228">
        <f t="shared" si="161"/>
        <v>2.4661469514848412E-3</v>
      </c>
      <c r="G228">
        <f t="shared" si="162"/>
        <v>1.628602360447241E-2</v>
      </c>
      <c r="H228">
        <f t="shared" si="163"/>
        <v>-3.1253066263955276</v>
      </c>
      <c r="J228">
        <f t="shared" si="164"/>
        <v>15</v>
      </c>
      <c r="M228">
        <f t="shared" si="165"/>
        <v>9.824985695027863E-3</v>
      </c>
      <c r="N228">
        <f t="shared" si="166"/>
        <v>-1.5707963250000001</v>
      </c>
      <c r="O228">
        <f t="shared" si="167"/>
        <v>41.24270123745336</v>
      </c>
      <c r="P228">
        <f t="shared" si="168"/>
        <v>1.546547235930708</v>
      </c>
      <c r="Q228">
        <f t="shared" si="169"/>
        <v>18.687496088785153</v>
      </c>
      <c r="R228">
        <f t="shared" si="170"/>
        <v>1.5172590384438156</v>
      </c>
      <c r="S228">
        <f t="shared" si="171"/>
        <v>0.93581998470381267</v>
      </c>
      <c r="T228">
        <f t="shared" si="172"/>
        <v>-0.36021805944507052</v>
      </c>
      <c r="U228">
        <f t="shared" si="173"/>
        <v>0.80358475414706976</v>
      </c>
      <c r="V228">
        <f t="shared" si="174"/>
        <v>-0.63750249372325041</v>
      </c>
      <c r="X228">
        <f t="shared" si="192"/>
        <v>-12.877381623662519</v>
      </c>
      <c r="Y228">
        <f t="shared" si="175"/>
        <v>-128.7764537675948</v>
      </c>
      <c r="Z228">
        <f t="shared" si="193"/>
        <v>51.223546232405198</v>
      </c>
      <c r="AC228">
        <v>1</v>
      </c>
      <c r="AD228">
        <f t="shared" si="176"/>
        <v>41.230576097865004</v>
      </c>
      <c r="AE228">
        <f t="shared" si="177"/>
        <v>-3.7693135373876646E-3</v>
      </c>
      <c r="AF228">
        <f t="shared" si="178"/>
        <v>5.0890659337350002E-3</v>
      </c>
      <c r="AG228">
        <f t="shared" si="194"/>
        <v>5137.7394902040996</v>
      </c>
      <c r="AH228">
        <f t="shared" si="195"/>
        <v>-4001.8642472274955</v>
      </c>
      <c r="AJ228">
        <f t="shared" si="179"/>
        <v>20000</v>
      </c>
      <c r="AK228">
        <f t="shared" si="180"/>
        <v>7533.0365198759991</v>
      </c>
      <c r="AL228">
        <v>1</v>
      </c>
      <c r="AM228">
        <f t="shared" si="181"/>
        <v>18.6607210489938</v>
      </c>
      <c r="AN228">
        <f t="shared" si="196"/>
        <v>459.79823327498895</v>
      </c>
      <c r="AO228">
        <f t="shared" si="197"/>
        <v>-1047.1300500887471</v>
      </c>
      <c r="AQ228">
        <f t="shared" si="182"/>
        <v>0.26569599064750116</v>
      </c>
      <c r="AR228">
        <f t="shared" si="183"/>
        <v>-51.545022185615217</v>
      </c>
      <c r="AT228">
        <f t="shared" si="209"/>
        <v>-204911.10462362305</v>
      </c>
      <c r="AU228">
        <f t="shared" si="210"/>
        <v>-265888.17529208562</v>
      </c>
      <c r="AV228">
        <f t="shared" si="198"/>
        <v>-2.2273933178597951</v>
      </c>
      <c r="AW228">
        <f t="shared" si="199"/>
        <v>-48734.526444350777</v>
      </c>
      <c r="AX228">
        <f t="shared" si="200"/>
        <v>-30922.754712482823</v>
      </c>
      <c r="AY228">
        <f t="shared" si="208"/>
        <v>-2.5761808197531217</v>
      </c>
      <c r="BA228">
        <f t="shared" si="184"/>
        <v>5.8160514916170536</v>
      </c>
      <c r="BB228">
        <f t="shared" si="201"/>
        <v>15.292564856696929</v>
      </c>
      <c r="BC228">
        <f t="shared" si="202"/>
        <v>0.34878750189332663</v>
      </c>
      <c r="BD228">
        <f t="shared" si="185"/>
        <v>-160.01594817176607</v>
      </c>
      <c r="BF228">
        <f t="shared" si="186"/>
        <v>-12.69389972047464</v>
      </c>
      <c r="BG228">
        <f t="shared" si="187"/>
        <v>-137.17039401198571</v>
      </c>
      <c r="BH228">
        <f t="shared" si="203"/>
        <v>42.829605988014293</v>
      </c>
      <c r="BI228">
        <f t="shared" si="204"/>
        <v>42.829605988014293</v>
      </c>
      <c r="BJ228">
        <f t="shared" si="188"/>
        <v>0</v>
      </c>
      <c r="BK228">
        <f t="shared" si="205"/>
        <v>0</v>
      </c>
      <c r="BM228">
        <f t="shared" si="206"/>
        <v>-27.986464577171567</v>
      </c>
      <c r="BN228">
        <f t="shared" si="189"/>
        <v>-157.15444584021967</v>
      </c>
      <c r="BQ228" s="66">
        <f t="shared" si="207"/>
        <v>32.194525656982066</v>
      </c>
      <c r="BR228" s="71"/>
      <c r="BS228" s="71"/>
      <c r="BT228" s="71">
        <v>15135.611999999999</v>
      </c>
      <c r="BU228" s="71">
        <v>-3.8792200000000001</v>
      </c>
      <c r="BV228" s="71">
        <v>-189.453</v>
      </c>
      <c r="BW228" s="75"/>
      <c r="BY228" s="71"/>
      <c r="BZ228" s="71"/>
      <c r="CA228" s="71"/>
      <c r="CC228" s="71"/>
    </row>
    <row r="229" spans="1:81" x14ac:dyDescent="0.15">
      <c r="A229">
        <f t="shared" si="190"/>
        <v>97500</v>
      </c>
      <c r="B229">
        <f t="shared" si="191"/>
        <v>97.5</v>
      </c>
      <c r="C229">
        <f t="shared" si="159"/>
        <v>1.0786459416085894</v>
      </c>
      <c r="D229">
        <f t="shared" si="160"/>
        <v>0.38422751465490701</v>
      </c>
      <c r="F229">
        <f t="shared" si="161"/>
        <v>2.440858726612117E-3</v>
      </c>
      <c r="G229">
        <f t="shared" si="162"/>
        <v>1.6202104772725774E-2</v>
      </c>
      <c r="H229">
        <f t="shared" si="163"/>
        <v>-3.1253905452272743</v>
      </c>
      <c r="J229">
        <f t="shared" si="164"/>
        <v>15</v>
      </c>
      <c r="M229">
        <f t="shared" si="165"/>
        <v>9.7746011530020788E-3</v>
      </c>
      <c r="N229">
        <f t="shared" si="166"/>
        <v>-1.5707963250000001</v>
      </c>
      <c r="O229">
        <f t="shared" si="167"/>
        <v>41.455167818163176</v>
      </c>
      <c r="P229">
        <f t="shared" si="168"/>
        <v>1.5466715418742765</v>
      </c>
      <c r="Q229">
        <f t="shared" si="169"/>
        <v>18.783548259870393</v>
      </c>
      <c r="R229">
        <f t="shared" si="170"/>
        <v>1.5175330683402473</v>
      </c>
      <c r="S229">
        <f t="shared" si="171"/>
        <v>0.93521970283941191</v>
      </c>
      <c r="T229">
        <f t="shared" si="172"/>
        <v>-0.36191725952373932</v>
      </c>
      <c r="U229">
        <f t="shared" si="173"/>
        <v>0.80211762293037026</v>
      </c>
      <c r="V229">
        <f t="shared" si="174"/>
        <v>-0.63996338621797744</v>
      </c>
      <c r="X229">
        <f t="shared" si="192"/>
        <v>-12.93760239111977</v>
      </c>
      <c r="Y229">
        <f t="shared" si="175"/>
        <v>-128.89461350055066</v>
      </c>
      <c r="Z229">
        <f t="shared" si="193"/>
        <v>51.105386499449338</v>
      </c>
      <c r="AC229">
        <v>1</v>
      </c>
      <c r="AD229">
        <f t="shared" si="176"/>
        <v>41.443104840637503</v>
      </c>
      <c r="AE229">
        <f t="shared" si="177"/>
        <v>-3.8082725916453912E-3</v>
      </c>
      <c r="AF229">
        <f t="shared" si="178"/>
        <v>5.1152982323625007E-3</v>
      </c>
      <c r="AG229">
        <f t="shared" si="194"/>
        <v>5118.9963346080604</v>
      </c>
      <c r="AH229">
        <f t="shared" si="195"/>
        <v>-4006.5178034313153</v>
      </c>
      <c r="AJ229">
        <f t="shared" si="179"/>
        <v>20000</v>
      </c>
      <c r="AK229">
        <f t="shared" si="180"/>
        <v>7571.8666050299998</v>
      </c>
      <c r="AL229">
        <v>1</v>
      </c>
      <c r="AM229">
        <f t="shared" si="181"/>
        <v>18.756910332751499</v>
      </c>
      <c r="AN229">
        <f t="shared" si="196"/>
        <v>459.22580653192324</v>
      </c>
      <c r="AO229">
        <f t="shared" si="197"/>
        <v>-1041.7906705747732</v>
      </c>
      <c r="AQ229">
        <f t="shared" si="182"/>
        <v>0.26297796244674698</v>
      </c>
      <c r="AR229">
        <f t="shared" si="183"/>
        <v>-51.280702677115656</v>
      </c>
      <c r="AT229">
        <f t="shared" si="209"/>
        <v>-204110.86502248418</v>
      </c>
      <c r="AU229">
        <f t="shared" si="210"/>
        <v>-263559.35492873378</v>
      </c>
      <c r="AV229">
        <f t="shared" si="198"/>
        <v>-2.2297563377592597</v>
      </c>
      <c r="AW229">
        <f t="shared" si="199"/>
        <v>-48203.353354280116</v>
      </c>
      <c r="AX229">
        <f t="shared" si="200"/>
        <v>-30754.563494135742</v>
      </c>
      <c r="AY229">
        <f t="shared" si="208"/>
        <v>-2.5736874435701891</v>
      </c>
      <c r="BA229">
        <f t="shared" si="184"/>
        <v>5.8300327871510262</v>
      </c>
      <c r="BB229">
        <f t="shared" si="201"/>
        <v>15.313419943340584</v>
      </c>
      <c r="BC229">
        <f t="shared" si="202"/>
        <v>0.34393110581092934</v>
      </c>
      <c r="BD229">
        <f t="shared" si="185"/>
        <v>-160.29419917124926</v>
      </c>
      <c r="BF229">
        <f t="shared" si="186"/>
        <v>-12.7563237237433</v>
      </c>
      <c r="BG229">
        <f t="shared" si="187"/>
        <v>-137.35127195979999</v>
      </c>
      <c r="BH229">
        <f t="shared" si="203"/>
        <v>42.648728040200012</v>
      </c>
      <c r="BI229">
        <f t="shared" si="204"/>
        <v>42.648728040200012</v>
      </c>
      <c r="BJ229">
        <f t="shared" si="188"/>
        <v>0</v>
      </c>
      <c r="BK229">
        <f t="shared" si="205"/>
        <v>0</v>
      </c>
      <c r="BM229">
        <f t="shared" si="206"/>
        <v>-28.069743667083884</v>
      </c>
      <c r="BN229">
        <f t="shared" si="189"/>
        <v>-157.05707278855076</v>
      </c>
      <c r="BQ229" s="66">
        <f t="shared" si="207"/>
        <v>32.215380743625715</v>
      </c>
      <c r="BR229" s="71"/>
      <c r="BS229" s="71"/>
      <c r="BT229" s="71">
        <v>15488.165999999999</v>
      </c>
      <c r="BU229" s="71">
        <v>-3.9822899999999999</v>
      </c>
      <c r="BV229" s="71">
        <v>-188.48099999999999</v>
      </c>
      <c r="BW229" s="75"/>
      <c r="BY229" s="71"/>
      <c r="BZ229" s="71"/>
      <c r="CA229" s="71"/>
      <c r="CC229" s="71"/>
    </row>
    <row r="230" spans="1:81" x14ac:dyDescent="0.15">
      <c r="A230">
        <f t="shared" si="190"/>
        <v>98000</v>
      </c>
      <c r="B230">
        <f t="shared" si="191"/>
        <v>98</v>
      </c>
      <c r="C230">
        <f t="shared" si="159"/>
        <v>1.0794248720585378</v>
      </c>
      <c r="D230">
        <f t="shared" si="160"/>
        <v>0.38600834563680336</v>
      </c>
      <c r="F230">
        <f t="shared" si="161"/>
        <v>2.4159577779871437E-3</v>
      </c>
      <c r="G230">
        <f t="shared" si="162"/>
        <v>1.6119048361385252E-2</v>
      </c>
      <c r="H230">
        <f t="shared" si="163"/>
        <v>-3.1254736016386149</v>
      </c>
      <c r="J230">
        <f t="shared" si="164"/>
        <v>15</v>
      </c>
      <c r="M230">
        <f t="shared" si="165"/>
        <v>9.7247307389561506E-3</v>
      </c>
      <c r="N230">
        <f t="shared" si="166"/>
        <v>-1.5707963250000001</v>
      </c>
      <c r="O230">
        <f t="shared" si="167"/>
        <v>41.667635032904315</v>
      </c>
      <c r="P230">
        <f t="shared" si="168"/>
        <v>1.5467945801241874</v>
      </c>
      <c r="Q230">
        <f t="shared" si="169"/>
        <v>18.879601827104814</v>
      </c>
      <c r="R230">
        <f t="shared" si="170"/>
        <v>1.5178043098983782</v>
      </c>
      <c r="S230">
        <f t="shared" si="171"/>
        <v>0.93461749727171528</v>
      </c>
      <c r="T230">
        <f t="shared" si="172"/>
        <v>-0.36361427620310555</v>
      </c>
      <c r="U230">
        <f t="shared" si="173"/>
        <v>0.80065101688831053</v>
      </c>
      <c r="V230">
        <f t="shared" si="174"/>
        <v>-0.64241529443760625</v>
      </c>
      <c r="X230">
        <f t="shared" si="192"/>
        <v>-12.997610909902914</v>
      </c>
      <c r="Y230">
        <f t="shared" si="175"/>
        <v>-129.012463500509</v>
      </c>
      <c r="Z230">
        <f t="shared" si="193"/>
        <v>50.987536499491</v>
      </c>
      <c r="AC230">
        <v>1</v>
      </c>
      <c r="AD230">
        <f t="shared" si="176"/>
        <v>41.655633583410008</v>
      </c>
      <c r="AE230">
        <f t="shared" si="177"/>
        <v>-3.84743194952398E-3</v>
      </c>
      <c r="AF230">
        <f t="shared" si="178"/>
        <v>5.1415305309900003E-3</v>
      </c>
      <c r="AG230">
        <f t="shared" si="194"/>
        <v>5100.2941211925945</v>
      </c>
      <c r="AH230">
        <f t="shared" si="195"/>
        <v>-4011.0691611267666</v>
      </c>
      <c r="AJ230">
        <f t="shared" si="179"/>
        <v>20000</v>
      </c>
      <c r="AK230">
        <f t="shared" si="180"/>
        <v>7610.6966901840005</v>
      </c>
      <c r="AL230">
        <v>1</v>
      </c>
      <c r="AM230">
        <f t="shared" si="181"/>
        <v>18.853099616509201</v>
      </c>
      <c r="AN230">
        <f t="shared" si="196"/>
        <v>458.66208627733249</v>
      </c>
      <c r="AO230">
        <f t="shared" si="197"/>
        <v>-1036.5053127184876</v>
      </c>
      <c r="AQ230">
        <f t="shared" si="182"/>
        <v>0.26030142905484549</v>
      </c>
      <c r="AR230">
        <f t="shared" si="183"/>
        <v>-51.019080094749718</v>
      </c>
      <c r="AT230">
        <f t="shared" si="209"/>
        <v>-203313.44494876062</v>
      </c>
      <c r="AU230">
        <f t="shared" si="210"/>
        <v>-261256.40131058521</v>
      </c>
      <c r="AV230">
        <f t="shared" si="198"/>
        <v>-2.232111371356297</v>
      </c>
      <c r="AW230">
        <f t="shared" si="199"/>
        <v>-47680.473989382357</v>
      </c>
      <c r="AX230">
        <f t="shared" si="200"/>
        <v>-30588.525421132668</v>
      </c>
      <c r="AY230">
        <f t="shared" si="208"/>
        <v>-2.5711937480235476</v>
      </c>
      <c r="BA230">
        <f t="shared" si="184"/>
        <v>5.8438266549899271</v>
      </c>
      <c r="BB230">
        <f t="shared" si="201"/>
        <v>15.333946500146336</v>
      </c>
      <c r="BC230">
        <f t="shared" si="202"/>
        <v>0.33908237666725061</v>
      </c>
      <c r="BD230">
        <f t="shared" si="185"/>
        <v>-160.57201088750156</v>
      </c>
      <c r="BF230">
        <f t="shared" si="186"/>
        <v>-12.818593098919003</v>
      </c>
      <c r="BG230">
        <f t="shared" si="187"/>
        <v>-137.53180835848369</v>
      </c>
      <c r="BH230">
        <f t="shared" si="203"/>
        <v>42.468191641516313</v>
      </c>
      <c r="BI230">
        <f t="shared" si="204"/>
        <v>42.468191641516313</v>
      </c>
      <c r="BJ230">
        <f t="shared" si="188"/>
        <v>0</v>
      </c>
      <c r="BK230">
        <f t="shared" si="205"/>
        <v>0</v>
      </c>
      <c r="BM230">
        <f t="shared" si="206"/>
        <v>-28.152539599065342</v>
      </c>
      <c r="BN230">
        <f t="shared" si="189"/>
        <v>-156.95979747098212</v>
      </c>
      <c r="BQ230" s="66">
        <f t="shared" si="207"/>
        <v>32.235907300431478</v>
      </c>
      <c r="BR230" s="71"/>
      <c r="BS230" s="71"/>
      <c r="BT230" s="71">
        <v>15848.932000000001</v>
      </c>
      <c r="BU230" s="71">
        <v>-3.9450400000000001</v>
      </c>
      <c r="BV230" s="71">
        <v>-186.14400000000001</v>
      </c>
      <c r="BW230" s="75"/>
      <c r="BY230" s="71"/>
      <c r="BZ230" s="71"/>
      <c r="CA230" s="71"/>
      <c r="CC230" s="71"/>
    </row>
    <row r="231" spans="1:81" x14ac:dyDescent="0.15">
      <c r="A231">
        <f t="shared" si="190"/>
        <v>98500</v>
      </c>
      <c r="B231">
        <f t="shared" si="191"/>
        <v>98.5</v>
      </c>
      <c r="C231">
        <f t="shared" si="159"/>
        <v>1.0802072208089684</v>
      </c>
      <c r="D231">
        <f t="shared" si="160"/>
        <v>0.38778660268913256</v>
      </c>
      <c r="F231">
        <f t="shared" si="161"/>
        <v>2.3914362319017346E-3</v>
      </c>
      <c r="G231">
        <f t="shared" si="162"/>
        <v>1.603684111364731E-2</v>
      </c>
      <c r="H231">
        <f t="shared" si="163"/>
        <v>-3.1255558088863529</v>
      </c>
      <c r="J231">
        <f t="shared" si="164"/>
        <v>15</v>
      </c>
      <c r="M231">
        <f t="shared" si="165"/>
        <v>9.6753666235299771E-3</v>
      </c>
      <c r="N231">
        <f t="shared" si="166"/>
        <v>-1.5707963250000001</v>
      </c>
      <c r="O231">
        <f t="shared" si="167"/>
        <v>41.880102872027045</v>
      </c>
      <c r="P231">
        <f t="shared" si="168"/>
        <v>1.5469163699706312</v>
      </c>
      <c r="Q231">
        <f t="shared" si="169"/>
        <v>18.975656769286761</v>
      </c>
      <c r="R231">
        <f t="shared" si="170"/>
        <v>1.5180728054217705</v>
      </c>
      <c r="S231">
        <f t="shared" si="171"/>
        <v>0.93401338210996576</v>
      </c>
      <c r="T231">
        <f t="shared" si="172"/>
        <v>-0.36530910393333638</v>
      </c>
      <c r="U231">
        <f t="shared" si="173"/>
        <v>0.79918498590246245</v>
      </c>
      <c r="V231">
        <f t="shared" si="174"/>
        <v>-0.64485823817252752</v>
      </c>
      <c r="X231">
        <f t="shared" si="192"/>
        <v>-13.057409171491008</v>
      </c>
      <c r="Y231">
        <f t="shared" si="175"/>
        <v>-129.1300021420418</v>
      </c>
      <c r="Z231">
        <f t="shared" si="193"/>
        <v>50.869997857958197</v>
      </c>
      <c r="AC231">
        <v>1</v>
      </c>
      <c r="AD231">
        <f t="shared" si="176"/>
        <v>41.868162326182507</v>
      </c>
      <c r="AE231">
        <f t="shared" si="177"/>
        <v>-3.8867916110234321E-3</v>
      </c>
      <c r="AF231">
        <f t="shared" si="178"/>
        <v>5.1677628296175008E-3</v>
      </c>
      <c r="AG231">
        <f t="shared" si="194"/>
        <v>5081.6334475349913</v>
      </c>
      <c r="AH231">
        <f t="shared" si="195"/>
        <v>-4015.5190821152714</v>
      </c>
      <c r="AJ231">
        <f t="shared" si="179"/>
        <v>20000</v>
      </c>
      <c r="AK231">
        <f t="shared" si="180"/>
        <v>7649.5267753380003</v>
      </c>
      <c r="AL231">
        <v>1</v>
      </c>
      <c r="AM231">
        <f t="shared" si="181"/>
        <v>18.9492889002669</v>
      </c>
      <c r="AN231">
        <f t="shared" si="196"/>
        <v>458.10689699986284</v>
      </c>
      <c r="AO231">
        <f t="shared" si="197"/>
        <v>-1031.2731631172126</v>
      </c>
      <c r="AQ231">
        <f t="shared" si="182"/>
        <v>0.25766555011594949</v>
      </c>
      <c r="AR231">
        <f t="shared" si="183"/>
        <v>-50.760113372842049</v>
      </c>
      <c r="AT231">
        <f t="shared" si="209"/>
        <v>-202518.84198123511</v>
      </c>
      <c r="AU231">
        <f t="shared" si="210"/>
        <v>-258978.9508493967</v>
      </c>
      <c r="AV231">
        <f t="shared" si="198"/>
        <v>-2.2344584232583906</v>
      </c>
      <c r="AW231">
        <f t="shared" si="199"/>
        <v>-47165.71997348217</v>
      </c>
      <c r="AX231">
        <f t="shared" si="200"/>
        <v>-30424.597251991527</v>
      </c>
      <c r="AY231">
        <f t="shared" si="208"/>
        <v>-2.5686998626333999</v>
      </c>
      <c r="BA231">
        <f t="shared" si="184"/>
        <v>5.8574336078691767</v>
      </c>
      <c r="BB231">
        <f t="shared" si="201"/>
        <v>15.354147494165433</v>
      </c>
      <c r="BC231">
        <f t="shared" si="202"/>
        <v>0.33424143937500927</v>
      </c>
      <c r="BD231">
        <f t="shared" si="185"/>
        <v>-160.84937616355143</v>
      </c>
      <c r="BF231">
        <f t="shared" si="186"/>
        <v>-12.880709707115187</v>
      </c>
      <c r="BG231">
        <f t="shared" si="187"/>
        <v>-137.71199713877544</v>
      </c>
      <c r="BH231">
        <f t="shared" si="203"/>
        <v>42.288002861224555</v>
      </c>
      <c r="BI231">
        <f t="shared" si="204"/>
        <v>42.288002861224555</v>
      </c>
      <c r="BJ231">
        <f t="shared" si="188"/>
        <v>0</v>
      </c>
      <c r="BK231">
        <f t="shared" si="205"/>
        <v>0</v>
      </c>
      <c r="BM231">
        <f t="shared" si="206"/>
        <v>-28.234857201280622</v>
      </c>
      <c r="BN231">
        <f t="shared" si="189"/>
        <v>-156.86262097522402</v>
      </c>
      <c r="BQ231" s="66">
        <f t="shared" si="207"/>
        <v>32.25610829445057</v>
      </c>
      <c r="BR231" s="71"/>
      <c r="BS231" s="71"/>
      <c r="BT231" s="71">
        <v>16218.101000000001</v>
      </c>
      <c r="BU231" s="71">
        <v>-3.9639700000000002</v>
      </c>
      <c r="BV231" s="71">
        <v>-185.626</v>
      </c>
      <c r="BW231" s="75"/>
      <c r="BY231" s="71"/>
      <c r="BZ231" s="71"/>
      <c r="CA231" s="71"/>
      <c r="CC231" s="71"/>
    </row>
    <row r="232" spans="1:81" x14ac:dyDescent="0.15">
      <c r="A232">
        <f t="shared" si="190"/>
        <v>99000</v>
      </c>
      <c r="B232">
        <f t="shared" si="191"/>
        <v>99</v>
      </c>
      <c r="C232">
        <f t="shared" si="159"/>
        <v>1.0809929804380853</v>
      </c>
      <c r="D232">
        <f t="shared" si="160"/>
        <v>0.38956228016623046</v>
      </c>
      <c r="F232">
        <f t="shared" si="161"/>
        <v>2.3672864138847035E-3</v>
      </c>
      <c r="G232">
        <f t="shared" si="162"/>
        <v>1.595547004363158E-2</v>
      </c>
      <c r="H232">
        <f t="shared" si="163"/>
        <v>-3.1256371799563687</v>
      </c>
      <c r="J232">
        <f t="shared" si="164"/>
        <v>15</v>
      </c>
      <c r="M232">
        <f t="shared" si="165"/>
        <v>9.6265011355323501E-3</v>
      </c>
      <c r="N232">
        <f t="shared" si="166"/>
        <v>-1.5707963250000001</v>
      </c>
      <c r="O232">
        <f t="shared" si="167"/>
        <v>42.092571326076403</v>
      </c>
      <c r="P232">
        <f t="shared" si="168"/>
        <v>1.5470369303144691</v>
      </c>
      <c r="Q232">
        <f t="shared" si="169"/>
        <v>19.071713065641404</v>
      </c>
      <c r="R232">
        <f t="shared" si="170"/>
        <v>1.5183385963633254</v>
      </c>
      <c r="S232">
        <f t="shared" si="171"/>
        <v>0.93340737145627162</v>
      </c>
      <c r="T232">
        <f t="shared" si="172"/>
        <v>-0.3670017372292077</v>
      </c>
      <c r="U232">
        <f t="shared" si="173"/>
        <v>0.79771957917096281</v>
      </c>
      <c r="V232">
        <f t="shared" si="174"/>
        <v>-0.6472922374966843</v>
      </c>
      <c r="X232">
        <f t="shared" si="192"/>
        <v>-13.116999132987775</v>
      </c>
      <c r="Y232">
        <f t="shared" si="175"/>
        <v>-129.24722787051414</v>
      </c>
      <c r="Z232">
        <f t="shared" si="193"/>
        <v>50.752772129485862</v>
      </c>
      <c r="AC232">
        <v>1</v>
      </c>
      <c r="AD232">
        <f t="shared" si="176"/>
        <v>42.080691068955005</v>
      </c>
      <c r="AE232">
        <f t="shared" si="177"/>
        <v>-3.9263515761437454E-3</v>
      </c>
      <c r="AF232">
        <f t="shared" si="178"/>
        <v>5.1939951282450004E-3</v>
      </c>
      <c r="AG232">
        <f t="shared" si="194"/>
        <v>5063.0148978975149</v>
      </c>
      <c r="AH232">
        <f t="shared" si="195"/>
        <v>-4019.8683304221809</v>
      </c>
      <c r="AJ232">
        <f t="shared" si="179"/>
        <v>20000</v>
      </c>
      <c r="AK232">
        <f t="shared" si="180"/>
        <v>7688.3568604920001</v>
      </c>
      <c r="AL232">
        <v>1</v>
      </c>
      <c r="AM232">
        <f t="shared" si="181"/>
        <v>19.045478184024599</v>
      </c>
      <c r="AN232">
        <f t="shared" si="196"/>
        <v>457.56006758452094</v>
      </c>
      <c r="AO232">
        <f t="shared" si="197"/>
        <v>-1026.0934245698138</v>
      </c>
      <c r="AQ232">
        <f t="shared" si="182"/>
        <v>0.25506950644050502</v>
      </c>
      <c r="AR232">
        <f t="shared" si="183"/>
        <v>-50.503762275219998</v>
      </c>
      <c r="AT232">
        <f t="shared" si="209"/>
        <v>-201727.05382621969</v>
      </c>
      <c r="AU232">
        <f t="shared" si="210"/>
        <v>-256726.64663030996</v>
      </c>
      <c r="AV232">
        <f t="shared" si="198"/>
        <v>-2.2367974986629355</v>
      </c>
      <c r="AW232">
        <f t="shared" si="199"/>
        <v>-46658.927143990099</v>
      </c>
      <c r="AX232">
        <f t="shared" si="200"/>
        <v>-30262.736877328487</v>
      </c>
      <c r="AY232">
        <f t="shared" si="208"/>
        <v>-2.5662059153657317</v>
      </c>
      <c r="BA232">
        <f t="shared" si="184"/>
        <v>5.870854175522453</v>
      </c>
      <c r="BB232">
        <f t="shared" si="201"/>
        <v>15.374025863889685</v>
      </c>
      <c r="BC232">
        <f t="shared" si="202"/>
        <v>0.32940841670279619</v>
      </c>
      <c r="BD232">
        <f t="shared" si="185"/>
        <v>-161.12628796527667</v>
      </c>
      <c r="BF232">
        <f t="shared" si="186"/>
        <v>-12.942675365739563</v>
      </c>
      <c r="BG232">
        <f t="shared" si="187"/>
        <v>-137.891832334062</v>
      </c>
      <c r="BH232">
        <f t="shared" si="203"/>
        <v>42.108167665937998</v>
      </c>
      <c r="BI232">
        <f t="shared" si="204"/>
        <v>42.108167665937998</v>
      </c>
      <c r="BJ232">
        <f t="shared" si="188"/>
        <v>0</v>
      </c>
      <c r="BK232">
        <f t="shared" si="205"/>
        <v>0</v>
      </c>
      <c r="BM232">
        <f t="shared" si="206"/>
        <v>-28.316701229629246</v>
      </c>
      <c r="BN232">
        <f t="shared" si="189"/>
        <v>-156.76554436878533</v>
      </c>
      <c r="BQ232" s="66">
        <f t="shared" si="207"/>
        <v>32.275986664174823</v>
      </c>
      <c r="BR232" s="71"/>
      <c r="BS232" s="71"/>
      <c r="BT232" s="71">
        <v>16595.868999999999</v>
      </c>
      <c r="BU232" s="71">
        <v>-3.91065</v>
      </c>
      <c r="BV232" s="71">
        <v>-184.43100000000001</v>
      </c>
      <c r="BW232" s="75"/>
      <c r="BY232" s="71"/>
      <c r="BZ232" s="71"/>
      <c r="CA232" s="71"/>
      <c r="CC232" s="71"/>
    </row>
    <row r="233" spans="1:81" x14ac:dyDescent="0.15">
      <c r="A233">
        <f t="shared" si="190"/>
        <v>99500</v>
      </c>
      <c r="B233">
        <f t="shared" si="191"/>
        <v>99.5</v>
      </c>
      <c r="C233">
        <f t="shared" si="159"/>
        <v>1.0817821435133455</v>
      </c>
      <c r="D233">
        <f t="shared" si="160"/>
        <v>0.39133537250386752</v>
      </c>
      <c r="F233">
        <f t="shared" si="161"/>
        <v>2.3435008426780936E-3</v>
      </c>
      <c r="G233">
        <f t="shared" si="162"/>
        <v>1.5874922429480218E-2</v>
      </c>
      <c r="H233">
        <f t="shared" si="163"/>
        <v>-3.1257177275705201</v>
      </c>
      <c r="J233">
        <f t="shared" si="164"/>
        <v>15</v>
      </c>
      <c r="M233">
        <f t="shared" si="165"/>
        <v>9.5781267579668622E-3</v>
      </c>
      <c r="N233">
        <f t="shared" si="166"/>
        <v>-1.5707963250000001</v>
      </c>
      <c r="O233">
        <f t="shared" si="167"/>
        <v>42.305040385787365</v>
      </c>
      <c r="P233">
        <f t="shared" si="168"/>
        <v>1.547156279677002</v>
      </c>
      <c r="Q233">
        <f t="shared" si="169"/>
        <v>19.16777069581007</v>
      </c>
      <c r="R233">
        <f t="shared" si="170"/>
        <v>1.5186017233465405</v>
      </c>
      <c r="S233">
        <f t="shared" si="171"/>
        <v>0.93279947940490882</v>
      </c>
      <c r="T233">
        <f t="shared" si="172"/>
        <v>-0.36869217066998672</v>
      </c>
      <c r="U233">
        <f t="shared" si="173"/>
        <v>0.79625484521241097</v>
      </c>
      <c r="V233">
        <f t="shared" si="174"/>
        <v>-0.64971731276121547</v>
      </c>
      <c r="X233">
        <f t="shared" si="192"/>
        <v>-13.176382717913274</v>
      </c>
      <c r="Y233">
        <f t="shared" si="175"/>
        <v>-129.36413920034354</v>
      </c>
      <c r="Z233">
        <f t="shared" si="193"/>
        <v>50.635860799656456</v>
      </c>
      <c r="AC233">
        <v>1</v>
      </c>
      <c r="AD233">
        <f t="shared" si="176"/>
        <v>42.293219811727504</v>
      </c>
      <c r="AE233">
        <f t="shared" si="177"/>
        <v>-3.966111844884922E-3</v>
      </c>
      <c r="AF233">
        <f t="shared" si="178"/>
        <v>5.2202274268725E-3</v>
      </c>
      <c r="AG233">
        <f t="shared" si="194"/>
        <v>5044.4390433612089</v>
      </c>
      <c r="AH233">
        <f t="shared" si="195"/>
        <v>-4024.117672064775</v>
      </c>
      <c r="AJ233">
        <f t="shared" si="179"/>
        <v>20000</v>
      </c>
      <c r="AK233">
        <f t="shared" si="180"/>
        <v>7727.1869456459999</v>
      </c>
      <c r="AL233">
        <v>1</v>
      </c>
      <c r="AM233">
        <f t="shared" si="181"/>
        <v>19.141667467782298</v>
      </c>
      <c r="AN233">
        <f t="shared" si="196"/>
        <v>457.02143118130471</v>
      </c>
      <c r="AO233">
        <f t="shared" si="197"/>
        <v>-1020.9653156764869</v>
      </c>
      <c r="AQ233">
        <f t="shared" si="182"/>
        <v>0.25251249936871878</v>
      </c>
      <c r="AR233">
        <f t="shared" si="183"/>
        <v>-50.249987374375031</v>
      </c>
      <c r="AT233">
        <f t="shared" si="209"/>
        <v>-200938.07830350212</v>
      </c>
      <c r="AU233">
        <f t="shared" si="210"/>
        <v>-254499.1382508321</v>
      </c>
      <c r="AV233">
        <f t="shared" si="198"/>
        <v>-2.2391286033431941</v>
      </c>
      <c r="AW233">
        <f t="shared" si="199"/>
        <v>-46159.935426320335</v>
      </c>
      <c r="AX233">
        <f t="shared" si="200"/>
        <v>-30102.903284037711</v>
      </c>
      <c r="AY233">
        <f t="shared" si="208"/>
        <v>-2.5637120326410385</v>
      </c>
      <c r="BA233">
        <f t="shared" si="184"/>
        <v>5.8840889044479301</v>
      </c>
      <c r="BB233">
        <f t="shared" si="201"/>
        <v>15.393584519789187</v>
      </c>
      <c r="BC233">
        <f t="shared" si="202"/>
        <v>0.32458342929784445</v>
      </c>
      <c r="BD233">
        <f t="shared" si="185"/>
        <v>-161.40273938010009</v>
      </c>
      <c r="BF233">
        <f t="shared" si="186"/>
        <v>-13.004491849424396</v>
      </c>
      <c r="BG233">
        <f t="shared" si="187"/>
        <v>-138.07130807948172</v>
      </c>
      <c r="BH233">
        <f t="shared" si="203"/>
        <v>41.928691920518276</v>
      </c>
      <c r="BI233">
        <f t="shared" si="204"/>
        <v>41.928691920518276</v>
      </c>
      <c r="BJ233">
        <f t="shared" si="188"/>
        <v>0</v>
      </c>
      <c r="BK233">
        <f t="shared" si="205"/>
        <v>0</v>
      </c>
      <c r="BM233">
        <f t="shared" si="206"/>
        <v>-28.398076369213584</v>
      </c>
      <c r="BN233">
        <f t="shared" si="189"/>
        <v>-156.66856869938164</v>
      </c>
      <c r="BQ233" s="66">
        <f t="shared" si="207"/>
        <v>32.295545320074325</v>
      </c>
      <c r="BR233" s="71"/>
      <c r="BS233" s="71"/>
      <c r="BT233" s="71">
        <v>16982.437000000002</v>
      </c>
      <c r="BU233" s="71">
        <v>-3.9488799999999999</v>
      </c>
      <c r="BV233" s="71">
        <v>-182.72200000000001</v>
      </c>
      <c r="BW233" s="75"/>
      <c r="BY233" s="71"/>
      <c r="BZ233" s="71"/>
      <c r="CA233" s="71"/>
      <c r="CC233" s="71"/>
    </row>
    <row r="234" spans="1:81" x14ac:dyDescent="0.15">
      <c r="A234">
        <f t="shared" si="190"/>
        <v>100000</v>
      </c>
      <c r="B234">
        <f t="shared" si="191"/>
        <v>100</v>
      </c>
      <c r="C234">
        <f t="shared" si="159"/>
        <v>1.0825747025917321</v>
      </c>
      <c r="D234">
        <f t="shared" si="160"/>
        <v>0.3931058742190221</v>
      </c>
      <c r="F234">
        <f t="shared" si="161"/>
        <v>2.3200722244249602E-3</v>
      </c>
      <c r="G234">
        <f t="shared" si="162"/>
        <v>1.5795185806667597E-2</v>
      </c>
      <c r="H234">
        <f t="shared" si="163"/>
        <v>-3.1257974641933326</v>
      </c>
      <c r="J234">
        <f t="shared" si="164"/>
        <v>15</v>
      </c>
      <c r="M234">
        <f t="shared" si="165"/>
        <v>9.5302361241770273E-3</v>
      </c>
      <c r="N234">
        <f t="shared" si="166"/>
        <v>-1.5707963250000001</v>
      </c>
      <c r="O234">
        <f t="shared" si="167"/>
        <v>42.517510042080062</v>
      </c>
      <c r="P234">
        <f t="shared" si="168"/>
        <v>1.5472744362094502</v>
      </c>
      <c r="Q234">
        <f t="shared" si="169"/>
        <v>19.263829639839877</v>
      </c>
      <c r="R234">
        <f t="shared" si="170"/>
        <v>1.5188622261861306</v>
      </c>
      <c r="S234">
        <f t="shared" si="171"/>
        <v>0.93218972004162703</v>
      </c>
      <c r="T234">
        <f t="shared" si="172"/>
        <v>-0.37038039889931118</v>
      </c>
      <c r="U234">
        <f t="shared" si="173"/>
        <v>0.79479083186984634</v>
      </c>
      <c r="V234">
        <f t="shared" si="174"/>
        <v>-0.65213348458816278</v>
      </c>
      <c r="X234">
        <f t="shared" si="192"/>
        <v>-13.235561816974206</v>
      </c>
      <c r="Y234">
        <f t="shared" si="175"/>
        <v>-129.48073471330426</v>
      </c>
      <c r="Z234">
        <f t="shared" si="193"/>
        <v>50.519265286695742</v>
      </c>
      <c r="AC234">
        <v>1</v>
      </c>
      <c r="AD234">
        <f t="shared" si="176"/>
        <v>42.505748554500009</v>
      </c>
      <c r="AE234">
        <f t="shared" si="177"/>
        <v>-4.0060724172469604E-3</v>
      </c>
      <c r="AF234">
        <f t="shared" si="178"/>
        <v>5.2464597255000005E-3</v>
      </c>
      <c r="AG234">
        <f t="shared" si="194"/>
        <v>5025.9064419604374</v>
      </c>
      <c r="AH234">
        <f t="shared" si="195"/>
        <v>-4028.2678748262729</v>
      </c>
      <c r="AJ234">
        <f t="shared" si="179"/>
        <v>20000</v>
      </c>
      <c r="AK234">
        <f t="shared" si="180"/>
        <v>7766.0170308000006</v>
      </c>
      <c r="AL234">
        <v>1</v>
      </c>
      <c r="AM234">
        <f t="shared" si="181"/>
        <v>19.237856751540001</v>
      </c>
      <c r="AN234">
        <f t="shared" si="196"/>
        <v>456.49082507838739</v>
      </c>
      <c r="AO234">
        <f t="shared" si="197"/>
        <v>-1015.8880704503191</v>
      </c>
      <c r="AQ234">
        <f t="shared" si="182"/>
        <v>0.24999375015624609</v>
      </c>
      <c r="AR234">
        <f t="shared" si="183"/>
        <v>-49.998750031249216</v>
      </c>
      <c r="AT234">
        <f t="shared" si="209"/>
        <v>-200151.9133329902</v>
      </c>
      <c r="AU234">
        <f t="shared" si="210"/>
        <v>-252296.08166468679</v>
      </c>
      <c r="AV234">
        <f t="shared" si="198"/>
        <v>-2.2414517436345474</v>
      </c>
      <c r="AW234">
        <f t="shared" si="199"/>
        <v>-45668.588712652716</v>
      </c>
      <c r="AX234">
        <f t="shared" si="200"/>
        <v>-29945.056520793809</v>
      </c>
      <c r="AY234">
        <f t="shared" si="208"/>
        <v>-2.5612183393427657</v>
      </c>
      <c r="BA234">
        <f t="shared" si="184"/>
        <v>5.8971383576710563</v>
      </c>
      <c r="BB234">
        <f t="shared" si="201"/>
        <v>15.412826344832633</v>
      </c>
      <c r="BC234">
        <f t="shared" si="202"/>
        <v>0.3197665957082183</v>
      </c>
      <c r="BD234">
        <f t="shared" si="185"/>
        <v>-161.67872361571787</v>
      </c>
      <c r="BF234">
        <f t="shared" si="186"/>
        <v>-13.06616089093688</v>
      </c>
      <c r="BG234">
        <f t="shared" si="187"/>
        <v>-138.25041861104955</v>
      </c>
      <c r="BH234">
        <f t="shared" si="203"/>
        <v>41.749581388950446</v>
      </c>
      <c r="BI234">
        <f t="shared" si="204"/>
        <v>41.749581388950446</v>
      </c>
      <c r="BJ234">
        <f t="shared" si="188"/>
        <v>0</v>
      </c>
      <c r="BK234">
        <f t="shared" si="205"/>
        <v>0</v>
      </c>
      <c r="BM234">
        <f t="shared" si="206"/>
        <v>-28.478987235769509</v>
      </c>
      <c r="BN234">
        <f t="shared" si="189"/>
        <v>-156.57169499533168</v>
      </c>
      <c r="BQ234" s="66">
        <f t="shared" si="207"/>
        <v>32.314787145117769</v>
      </c>
      <c r="BR234" s="71"/>
      <c r="BS234" s="71"/>
      <c r="BT234" s="71">
        <v>17378.008000000002</v>
      </c>
      <c r="BU234" s="71">
        <v>-3.8028900000000001</v>
      </c>
      <c r="BV234" s="71">
        <v>-181.726</v>
      </c>
      <c r="BW234" s="75"/>
      <c r="BY234" s="71"/>
      <c r="BZ234" s="71"/>
      <c r="CA234" s="71"/>
      <c r="CC234" s="71"/>
    </row>
    <row r="235" spans="1:81" x14ac:dyDescent="0.15">
      <c r="A235">
        <f>A234+5000</f>
        <v>105000</v>
      </c>
      <c r="B235">
        <f t="shared" si="191"/>
        <v>105</v>
      </c>
      <c r="C235">
        <f t="shared" si="159"/>
        <v>1.0906854291350294</v>
      </c>
      <c r="D235">
        <f t="shared" si="160"/>
        <v>0.41066725845668539</v>
      </c>
      <c r="F235">
        <f t="shared" si="161"/>
        <v>2.1039371283071403E-3</v>
      </c>
      <c r="G235">
        <f t="shared" si="162"/>
        <v>1.503985347592143E-2</v>
      </c>
      <c r="H235">
        <f t="shared" si="163"/>
        <v>-3.1265527965240789</v>
      </c>
      <c r="J235">
        <f t="shared" si="164"/>
        <v>15</v>
      </c>
      <c r="M235">
        <f t="shared" si="165"/>
        <v>9.0764153563590733E-3</v>
      </c>
      <c r="N235">
        <f t="shared" si="166"/>
        <v>-1.5707963250000001</v>
      </c>
      <c r="O235">
        <f t="shared" si="167"/>
        <v>44.642237543011468</v>
      </c>
      <c r="P235">
        <f t="shared" si="168"/>
        <v>1.5483941421617138</v>
      </c>
      <c r="Q235">
        <f t="shared" si="169"/>
        <v>20.224487223735306</v>
      </c>
      <c r="R235">
        <f t="shared" si="170"/>
        <v>1.5213311459940591</v>
      </c>
      <c r="S235">
        <f t="shared" si="171"/>
        <v>0.9259925156625689</v>
      </c>
      <c r="T235">
        <f t="shared" si="172"/>
        <v>-0.38714026192910012</v>
      </c>
      <c r="U235">
        <f t="shared" si="173"/>
        <v>0.78020038308840323</v>
      </c>
      <c r="V235">
        <f t="shared" si="174"/>
        <v>-0.67581023206247637</v>
      </c>
      <c r="X235">
        <f t="shared" si="192"/>
        <v>-13.816500021071063</v>
      </c>
      <c r="Y235">
        <f t="shared" si="175"/>
        <v>-130.62905287946083</v>
      </c>
      <c r="Z235">
        <f t="shared" si="193"/>
        <v>49.370947120539171</v>
      </c>
      <c r="AC235">
        <v>1</v>
      </c>
      <c r="AD235">
        <f t="shared" si="176"/>
        <v>44.631035982225001</v>
      </c>
      <c r="AE235">
        <f t="shared" si="177"/>
        <v>-4.4166948400147744E-3</v>
      </c>
      <c r="AF235">
        <f t="shared" si="178"/>
        <v>5.5087827117750003E-3</v>
      </c>
      <c r="AG235">
        <f t="shared" si="194"/>
        <v>4843.0730617930849</v>
      </c>
      <c r="AH235">
        <f t="shared" si="195"/>
        <v>-4064.4870152487115</v>
      </c>
      <c r="AJ235">
        <f t="shared" si="179"/>
        <v>20000</v>
      </c>
      <c r="AK235">
        <f t="shared" si="180"/>
        <v>8154.3178823400003</v>
      </c>
      <c r="AL235">
        <v>1</v>
      </c>
      <c r="AM235">
        <f t="shared" si="181"/>
        <v>20.199749589116998</v>
      </c>
      <c r="AN235">
        <f t="shared" si="196"/>
        <v>451.59335970625034</v>
      </c>
      <c r="AO235">
        <f t="shared" si="197"/>
        <v>-967.75489983429429</v>
      </c>
      <c r="AQ235">
        <f t="shared" si="182"/>
        <v>0.22675222784063853</v>
      </c>
      <c r="AR235">
        <f t="shared" si="183"/>
        <v>-47.617967846534093</v>
      </c>
      <c r="AT235">
        <f t="shared" si="209"/>
        <v>-192444.43439841192</v>
      </c>
      <c r="AU235">
        <f t="shared" si="210"/>
        <v>-231538.92882061552</v>
      </c>
      <c r="AV235">
        <f t="shared" si="198"/>
        <v>-2.2642468747213949</v>
      </c>
      <c r="AW235">
        <f t="shared" si="199"/>
        <v>-41143.866473867965</v>
      </c>
      <c r="AX235">
        <f t="shared" si="200"/>
        <v>-28467.771372857045</v>
      </c>
      <c r="AY235">
        <f t="shared" si="208"/>
        <v>-2.5363182159501627</v>
      </c>
      <c r="BA235">
        <f t="shared" si="184"/>
        <v>6.0175779183502272</v>
      </c>
      <c r="BB235">
        <f t="shared" si="201"/>
        <v>15.58843444853988</v>
      </c>
      <c r="BC235">
        <f t="shared" si="202"/>
        <v>0.27207134122876786</v>
      </c>
      <c r="BD235">
        <f t="shared" si="185"/>
        <v>-164.41146040331543</v>
      </c>
      <c r="BF235">
        <f t="shared" si="186"/>
        <v>-13.675094990685563</v>
      </c>
      <c r="BG235">
        <f t="shared" si="187"/>
        <v>-140.02023955300268</v>
      </c>
      <c r="BH235">
        <f t="shared" si="203"/>
        <v>39.979760446997318</v>
      </c>
      <c r="BI235">
        <f t="shared" si="204"/>
        <v>39.979760446997318</v>
      </c>
      <c r="BJ235">
        <f t="shared" si="188"/>
        <v>0</v>
      </c>
      <c r="BK235">
        <f t="shared" si="205"/>
        <v>0</v>
      </c>
      <c r="BM235">
        <f t="shared" si="206"/>
        <v>-29.263529439225447</v>
      </c>
      <c r="BN235">
        <f t="shared" si="189"/>
        <v>-155.60877914968728</v>
      </c>
      <c r="BQ235" s="66">
        <f t="shared" si="207"/>
        <v>32.490395248825017</v>
      </c>
      <c r="BR235" s="71"/>
      <c r="BS235" s="71"/>
      <c r="BT235" s="71">
        <v>17782.794000000002</v>
      </c>
      <c r="BU235" s="71">
        <v>-3.8474200000000001</v>
      </c>
      <c r="BV235" s="71">
        <v>-180.351</v>
      </c>
      <c r="BW235" s="75"/>
      <c r="BY235" s="71"/>
      <c r="BZ235" s="71"/>
      <c r="CA235" s="71"/>
      <c r="CC235" s="71"/>
    </row>
    <row r="236" spans="1:81" x14ac:dyDescent="0.15">
      <c r="A236">
        <f t="shared" ref="A236:A299" si="211">A235+5000</f>
        <v>110000</v>
      </c>
      <c r="B236">
        <f t="shared" si="191"/>
        <v>110</v>
      </c>
      <c r="C236">
        <f t="shared" si="159"/>
        <v>1.0991275012012063</v>
      </c>
      <c r="D236">
        <f t="shared" si="160"/>
        <v>0.42796414265114346</v>
      </c>
      <c r="F236">
        <f t="shared" si="161"/>
        <v>1.916672277667647E-3</v>
      </c>
      <c r="G236">
        <f t="shared" si="162"/>
        <v>1.4353593242178822E-2</v>
      </c>
      <c r="H236">
        <f t="shared" si="163"/>
        <v>-3.1272390567578214</v>
      </c>
      <c r="J236">
        <f t="shared" si="164"/>
        <v>15</v>
      </c>
      <c r="M236">
        <f t="shared" si="165"/>
        <v>8.6638510219791149E-3</v>
      </c>
      <c r="N236">
        <f t="shared" si="166"/>
        <v>-1.5707963250000001</v>
      </c>
      <c r="O236">
        <f t="shared" si="167"/>
        <v>46.767015928064502</v>
      </c>
      <c r="P236">
        <f t="shared" si="168"/>
        <v>1.5494121054933292</v>
      </c>
      <c r="Q236">
        <f t="shared" si="169"/>
        <v>21.185256906520056</v>
      </c>
      <c r="R236">
        <f t="shared" si="170"/>
        <v>1.5235761431832389</v>
      </c>
      <c r="S236">
        <f t="shared" si="171"/>
        <v>0.91962398537546475</v>
      </c>
      <c r="T236">
        <f t="shared" si="172"/>
        <v>-0.40367418456153747</v>
      </c>
      <c r="U236">
        <f t="shared" si="173"/>
        <v>0.76572977157116917</v>
      </c>
      <c r="V236">
        <f t="shared" si="174"/>
        <v>-0.69862110012236822</v>
      </c>
      <c r="X236">
        <f t="shared" si="192"/>
        <v>-14.378852240420576</v>
      </c>
      <c r="Y236">
        <f t="shared" si="175"/>
        <v>-131.74467081864444</v>
      </c>
      <c r="Z236">
        <f t="shared" si="193"/>
        <v>48.255329181355563</v>
      </c>
      <c r="AC236">
        <v>1</v>
      </c>
      <c r="AD236">
        <f t="shared" si="176"/>
        <v>46.756323409950006</v>
      </c>
      <c r="AE236">
        <f t="shared" si="177"/>
        <v>-4.8473476248688217E-3</v>
      </c>
      <c r="AF236">
        <f t="shared" si="178"/>
        <v>5.7711056980500009E-3</v>
      </c>
      <c r="AG236">
        <f t="shared" si="194"/>
        <v>4665.0872206484619</v>
      </c>
      <c r="AH236">
        <f t="shared" si="195"/>
        <v>-4091.6421729712761</v>
      </c>
      <c r="AJ236">
        <f t="shared" si="179"/>
        <v>20000</v>
      </c>
      <c r="AK236">
        <f t="shared" si="180"/>
        <v>8542.6187338799991</v>
      </c>
      <c r="AL236">
        <v>1</v>
      </c>
      <c r="AM236">
        <f t="shared" si="181"/>
        <v>21.161642426694002</v>
      </c>
      <c r="AN236">
        <f t="shared" si="196"/>
        <v>447.34644282942941</v>
      </c>
      <c r="AO236">
        <f t="shared" si="197"/>
        <v>-923.96673012989777</v>
      </c>
      <c r="AQ236">
        <f t="shared" si="182"/>
        <v>0.20660730150203507</v>
      </c>
      <c r="AR236">
        <f t="shared" si="183"/>
        <v>-45.45360633044772</v>
      </c>
      <c r="AT236">
        <f t="shared" si="209"/>
        <v>-185016.05149336427</v>
      </c>
      <c r="AU236">
        <f t="shared" si="210"/>
        <v>-212890.4011726272</v>
      </c>
      <c r="AV236">
        <f t="shared" si="198"/>
        <v>-2.2862562249777731</v>
      </c>
      <c r="AW236">
        <f t="shared" si="199"/>
        <v>-37237.339463654127</v>
      </c>
      <c r="AX236">
        <f t="shared" si="200"/>
        <v>-27151.967607652256</v>
      </c>
      <c r="AY236">
        <f t="shared" si="208"/>
        <v>-2.5115632865466684</v>
      </c>
      <c r="BA236">
        <f t="shared" si="184"/>
        <v>6.1202223349053959</v>
      </c>
      <c r="BB236">
        <f t="shared" si="201"/>
        <v>15.735343988887161</v>
      </c>
      <c r="BC236">
        <f t="shared" si="202"/>
        <v>0.22530706156889524</v>
      </c>
      <c r="BD236">
        <f t="shared" si="185"/>
        <v>-167.09085626285727</v>
      </c>
      <c r="BF236">
        <f t="shared" si="186"/>
        <v>-14.270912113712784</v>
      </c>
      <c r="BG236">
        <f t="shared" si="187"/>
        <v>-141.74791676342915</v>
      </c>
      <c r="BH236">
        <f t="shared" si="203"/>
        <v>38.252083236570854</v>
      </c>
      <c r="BI236">
        <f t="shared" si="204"/>
        <v>38.252083236570854</v>
      </c>
      <c r="BJ236">
        <f t="shared" si="188"/>
        <v>0</v>
      </c>
      <c r="BK236">
        <f t="shared" si="205"/>
        <v>0</v>
      </c>
      <c r="BM236">
        <f t="shared" si="206"/>
        <v>-30.006256102599945</v>
      </c>
      <c r="BN236">
        <f t="shared" si="189"/>
        <v>-154.6570605005719</v>
      </c>
      <c r="BQ236" s="66">
        <f t="shared" si="207"/>
        <v>32.637304789172298</v>
      </c>
      <c r="BR236" s="71"/>
      <c r="BS236" s="71"/>
      <c r="BT236" s="71">
        <v>18197.008999999998</v>
      </c>
      <c r="BU236" s="71">
        <v>-3.8303199999999999</v>
      </c>
      <c r="BV236" s="71">
        <v>-179.43</v>
      </c>
      <c r="BY236" s="71"/>
      <c r="BZ236" s="71"/>
      <c r="CA236" s="71"/>
      <c r="CC236" s="71"/>
    </row>
    <row r="237" spans="1:81" x14ac:dyDescent="0.15">
      <c r="A237">
        <f t="shared" si="211"/>
        <v>115000</v>
      </c>
      <c r="B237">
        <f t="shared" si="191"/>
        <v>115</v>
      </c>
      <c r="C237">
        <f t="shared" si="159"/>
        <v>1.1078933443249899</v>
      </c>
      <c r="D237">
        <f t="shared" si="160"/>
        <v>0.44499234365840229</v>
      </c>
      <c r="F237">
        <f t="shared" si="161"/>
        <v>1.7533531737826515E-3</v>
      </c>
      <c r="G237">
        <f t="shared" si="162"/>
        <v>1.3727329541350988E-2</v>
      </c>
      <c r="H237">
        <f t="shared" si="163"/>
        <v>-3.1278653204586493</v>
      </c>
      <c r="J237">
        <f t="shared" si="164"/>
        <v>15</v>
      </c>
      <c r="M237">
        <f t="shared" si="165"/>
        <v>8.2871618471104594E-3</v>
      </c>
      <c r="N237">
        <f t="shared" si="166"/>
        <v>-1.5707963250000001</v>
      </c>
      <c r="O237">
        <f t="shared" si="167"/>
        <v>48.891838563158032</v>
      </c>
      <c r="P237">
        <f t="shared" si="168"/>
        <v>1.5503415890409007</v>
      </c>
      <c r="Q237">
        <f t="shared" si="169"/>
        <v>22.146124098574056</v>
      </c>
      <c r="R237">
        <f t="shared" si="170"/>
        <v>1.5256263398874645</v>
      </c>
      <c r="S237">
        <f t="shared" si="171"/>
        <v>0.91309797197129139</v>
      </c>
      <c r="T237">
        <f t="shared" si="172"/>
        <v>-0.41997785002712607</v>
      </c>
      <c r="U237">
        <f t="shared" si="173"/>
        <v>0.75141638524049703</v>
      </c>
      <c r="V237">
        <f t="shared" si="174"/>
        <v>-0.72059026690995609</v>
      </c>
      <c r="X237">
        <f t="shared" si="192"/>
        <v>-14.924068513512935</v>
      </c>
      <c r="Y237">
        <f t="shared" si="175"/>
        <v>-132.82705769177727</v>
      </c>
      <c r="Z237">
        <f t="shared" si="193"/>
        <v>47.17294230822273</v>
      </c>
      <c r="AC237">
        <v>1</v>
      </c>
      <c r="AD237">
        <f t="shared" si="176"/>
        <v>48.881610837675005</v>
      </c>
      <c r="AE237">
        <f t="shared" si="177"/>
        <v>-5.2980307718091058E-3</v>
      </c>
      <c r="AF237">
        <f t="shared" si="178"/>
        <v>6.0334286843250007E-3</v>
      </c>
      <c r="AG237">
        <f t="shared" si="194"/>
        <v>4492.313169302588</v>
      </c>
      <c r="AH237">
        <f t="shared" si="195"/>
        <v>-4110.5007956753507</v>
      </c>
      <c r="AJ237">
        <f t="shared" si="179"/>
        <v>20000</v>
      </c>
      <c r="AK237">
        <f t="shared" si="180"/>
        <v>8930.9195854199988</v>
      </c>
      <c r="AL237">
        <v>1</v>
      </c>
      <c r="AM237">
        <f t="shared" si="181"/>
        <v>22.123535264270998</v>
      </c>
      <c r="AN237">
        <f t="shared" si="196"/>
        <v>443.63982851129975</v>
      </c>
      <c r="AO237">
        <f t="shared" si="197"/>
        <v>-883.96180528488014</v>
      </c>
      <c r="AQ237">
        <f t="shared" si="182"/>
        <v>0.18903234343396155</v>
      </c>
      <c r="AR237">
        <f t="shared" si="183"/>
        <v>-43.477438989811155</v>
      </c>
      <c r="AT237">
        <f t="shared" si="209"/>
        <v>-177864.85507571275</v>
      </c>
      <c r="AU237">
        <f t="shared" si="210"/>
        <v>-196091.28933957213</v>
      </c>
      <c r="AV237">
        <f t="shared" si="198"/>
        <v>-2.307493532768091</v>
      </c>
      <c r="AW237">
        <f t="shared" si="199"/>
        <v>-33843.226307588127</v>
      </c>
      <c r="AX237">
        <f t="shared" si="200"/>
        <v>-25970.970020941484</v>
      </c>
      <c r="AY237">
        <f t="shared" si="208"/>
        <v>-2.4870542165115741</v>
      </c>
      <c r="BA237">
        <f t="shared" si="184"/>
        <v>6.205867266510853</v>
      </c>
      <c r="BB237">
        <f t="shared" si="201"/>
        <v>15.856049649782895</v>
      </c>
      <c r="BC237">
        <f t="shared" si="202"/>
        <v>0.17956068374348311</v>
      </c>
      <c r="BD237">
        <f t="shared" si="185"/>
        <v>-169.71193064325925</v>
      </c>
      <c r="BF237">
        <f t="shared" si="186"/>
        <v>-14.854778025749319</v>
      </c>
      <c r="BG237">
        <f t="shared" si="187"/>
        <v>-143.42922935926066</v>
      </c>
      <c r="BH237">
        <f t="shared" si="203"/>
        <v>36.57077064073934</v>
      </c>
      <c r="BI237">
        <f t="shared" si="204"/>
        <v>36.57077064073934</v>
      </c>
      <c r="BJ237">
        <f t="shared" si="188"/>
        <v>0</v>
      </c>
      <c r="BK237">
        <f t="shared" si="205"/>
        <v>0</v>
      </c>
      <c r="BM237">
        <f t="shared" si="206"/>
        <v>-30.710827675532215</v>
      </c>
      <c r="BN237">
        <f t="shared" si="189"/>
        <v>-153.71729871600141</v>
      </c>
      <c r="BQ237" s="66">
        <f t="shared" si="207"/>
        <v>32.758010450068028</v>
      </c>
      <c r="BR237" s="71"/>
      <c r="BS237" s="71"/>
      <c r="BT237" s="71">
        <v>18620.870999999999</v>
      </c>
      <c r="BU237" s="71">
        <v>-3.77474</v>
      </c>
      <c r="BV237" s="71">
        <v>-178.09100000000001</v>
      </c>
      <c r="BY237" s="71"/>
      <c r="BZ237" s="71"/>
      <c r="CA237" s="71"/>
      <c r="CC237" s="71"/>
    </row>
    <row r="238" spans="1:81" x14ac:dyDescent="0.15">
      <c r="A238">
        <f t="shared" si="211"/>
        <v>120000</v>
      </c>
      <c r="B238">
        <f t="shared" si="191"/>
        <v>120</v>
      </c>
      <c r="C238">
        <f t="shared" si="159"/>
        <v>1.1169753358225376</v>
      </c>
      <c r="D238">
        <f t="shared" si="160"/>
        <v>0.46174843015861505</v>
      </c>
      <c r="F238">
        <f t="shared" si="161"/>
        <v>1.6100627140022542E-3</v>
      </c>
      <c r="G238">
        <f t="shared" si="162"/>
        <v>1.3153512372897774E-2</v>
      </c>
      <c r="H238">
        <f t="shared" si="163"/>
        <v>-3.1284391376271024</v>
      </c>
      <c r="J238">
        <f t="shared" si="164"/>
        <v>15</v>
      </c>
      <c r="M238">
        <f t="shared" si="165"/>
        <v>7.9418634368141894E-3</v>
      </c>
      <c r="N238">
        <f t="shared" si="166"/>
        <v>-1.5707963250000001</v>
      </c>
      <c r="O238">
        <f t="shared" si="167"/>
        <v>51.016699919309424</v>
      </c>
      <c r="P238">
        <f t="shared" si="168"/>
        <v>1.5511936467189467</v>
      </c>
      <c r="Q238">
        <f t="shared" si="169"/>
        <v>23.107076635645484</v>
      </c>
      <c r="R238">
        <f t="shared" si="170"/>
        <v>1.5275060211522955</v>
      </c>
      <c r="S238">
        <f t="shared" si="171"/>
        <v>0.90642809621256282</v>
      </c>
      <c r="T238">
        <f t="shared" si="172"/>
        <v>-0.43604755028339887</v>
      </c>
      <c r="U238">
        <f t="shared" si="173"/>
        <v>0.7372918752114751</v>
      </c>
      <c r="V238">
        <f t="shared" si="174"/>
        <v>-0.74174341228882779</v>
      </c>
      <c r="X238">
        <f t="shared" si="192"/>
        <v>-15.453395520470533</v>
      </c>
      <c r="Y238">
        <f t="shared" si="175"/>
        <v>-133.87607680152453</v>
      </c>
      <c r="Z238">
        <f t="shared" si="193"/>
        <v>46.123923198475467</v>
      </c>
      <c r="AC238">
        <v>1</v>
      </c>
      <c r="AD238">
        <f t="shared" si="176"/>
        <v>51.006898265400004</v>
      </c>
      <c r="AE238">
        <f t="shared" si="177"/>
        <v>-5.7687442808356222E-3</v>
      </c>
      <c r="AF238">
        <f t="shared" si="178"/>
        <v>6.2957516706000005E-3</v>
      </c>
      <c r="AG238">
        <f t="shared" si="194"/>
        <v>4325.0148061506025</v>
      </c>
      <c r="AH238">
        <f t="shared" si="195"/>
        <v>-4121.8119432333951</v>
      </c>
      <c r="AJ238">
        <f t="shared" si="179"/>
        <v>20000</v>
      </c>
      <c r="AK238">
        <f t="shared" si="180"/>
        <v>9319.2204369600004</v>
      </c>
      <c r="AL238">
        <v>1</v>
      </c>
      <c r="AM238">
        <f t="shared" si="181"/>
        <v>23.085428101847999</v>
      </c>
      <c r="AN238">
        <f t="shared" si="196"/>
        <v>440.38565876172498</v>
      </c>
      <c r="AO238">
        <f t="shared" si="197"/>
        <v>-847.27102546876836</v>
      </c>
      <c r="AQ238">
        <f t="shared" si="182"/>
        <v>0.1736080970816479</v>
      </c>
      <c r="AR238">
        <f t="shared" si="183"/>
        <v>-41.66594329959549</v>
      </c>
      <c r="AT238">
        <f t="shared" si="209"/>
        <v>-170988.32512801239</v>
      </c>
      <c r="AU238">
        <f t="shared" si="210"/>
        <v>-180921.40161097512</v>
      </c>
      <c r="AV238">
        <f t="shared" si="198"/>
        <v>-2.327975776605411</v>
      </c>
      <c r="AW238">
        <f t="shared" si="199"/>
        <v>-30877.24107651996</v>
      </c>
      <c r="AX238">
        <f t="shared" si="200"/>
        <v>-24903.667199012754</v>
      </c>
      <c r="AY238">
        <f t="shared" si="208"/>
        <v>-2.4628778416737416</v>
      </c>
      <c r="BA238">
        <f t="shared" si="184"/>
        <v>6.2754156627497135</v>
      </c>
      <c r="BB238">
        <f t="shared" si="201"/>
        <v>15.952849946678651</v>
      </c>
      <c r="BC238">
        <f t="shared" si="202"/>
        <v>0.13490206506833058</v>
      </c>
      <c r="BD238">
        <f t="shared" si="185"/>
        <v>-172.2706810151534</v>
      </c>
      <c r="BF238">
        <f t="shared" si="186"/>
        <v>-15.42759734907446</v>
      </c>
      <c r="BG238">
        <f t="shared" si="187"/>
        <v>-145.06080399444153</v>
      </c>
      <c r="BH238">
        <f t="shared" si="203"/>
        <v>34.939196005558472</v>
      </c>
      <c r="BI238">
        <f t="shared" si="204"/>
        <v>34.939196005558472</v>
      </c>
      <c r="BJ238">
        <f t="shared" si="188"/>
        <v>0</v>
      </c>
      <c r="BK238">
        <f t="shared" si="205"/>
        <v>0</v>
      </c>
      <c r="BM238">
        <f t="shared" si="206"/>
        <v>-31.380447295753111</v>
      </c>
      <c r="BN238">
        <f t="shared" si="189"/>
        <v>-152.79012297928813</v>
      </c>
      <c r="BQ238" s="66">
        <f t="shared" si="207"/>
        <v>32.854810746963786</v>
      </c>
      <c r="BR238" s="71"/>
      <c r="BS238" s="71"/>
      <c r="BT238" s="71">
        <v>19054.607</v>
      </c>
      <c r="BU238" s="71">
        <v>-3.7312500000000002</v>
      </c>
      <c r="BV238" s="71">
        <v>-176.916</v>
      </c>
      <c r="BY238" s="71"/>
      <c r="BZ238" s="71"/>
      <c r="CA238" s="71"/>
      <c r="CC238" s="71"/>
    </row>
    <row r="239" spans="1:81" x14ac:dyDescent="0.15">
      <c r="A239">
        <f t="shared" si="211"/>
        <v>125000</v>
      </c>
      <c r="B239">
        <f t="shared" si="191"/>
        <v>125</v>
      </c>
      <c r="C239">
        <f t="shared" si="159"/>
        <v>1.1263658283193738</v>
      </c>
      <c r="D239">
        <f t="shared" si="160"/>
        <v>0.47822969049271558</v>
      </c>
      <c r="F239">
        <f t="shared" si="161"/>
        <v>1.4836535378199016E-3</v>
      </c>
      <c r="G239">
        <f t="shared" si="162"/>
        <v>1.2625809250069934E-2</v>
      </c>
      <c r="H239">
        <f t="shared" si="163"/>
        <v>-3.1289668407499303</v>
      </c>
      <c r="J239">
        <f t="shared" si="164"/>
        <v>15</v>
      </c>
      <c r="M239">
        <f t="shared" si="165"/>
        <v>7.6241888993416216E-3</v>
      </c>
      <c r="N239">
        <f t="shared" si="166"/>
        <v>-1.5707963250000001</v>
      </c>
      <c r="O239">
        <f t="shared" si="167"/>
        <v>53.141595351746048</v>
      </c>
      <c r="P239">
        <f t="shared" si="168"/>
        <v>1.5519775649545924</v>
      </c>
      <c r="Q239">
        <f t="shared" si="169"/>
        <v>24.068104295180959</v>
      </c>
      <c r="R239">
        <f t="shared" si="170"/>
        <v>1.5292355986166215</v>
      </c>
      <c r="S239">
        <f t="shared" si="171"/>
        <v>0.89962770386719104</v>
      </c>
      <c r="T239">
        <f t="shared" si="172"/>
        <v>-0.45188016601885189</v>
      </c>
      <c r="U239">
        <f t="shared" si="173"/>
        <v>0.723382660212052</v>
      </c>
      <c r="V239">
        <f t="shared" si="174"/>
        <v>-0.76210726820639851</v>
      </c>
      <c r="X239">
        <f t="shared" si="192"/>
        <v>-15.967914837401615</v>
      </c>
      <c r="Y239">
        <f t="shared" si="175"/>
        <v>-134.89189766980937</v>
      </c>
      <c r="Z239">
        <f t="shared" si="193"/>
        <v>45.108102330190633</v>
      </c>
      <c r="AC239">
        <v>1</v>
      </c>
      <c r="AD239">
        <f t="shared" si="176"/>
        <v>53.13218569312501</v>
      </c>
      <c r="AE239">
        <f t="shared" si="177"/>
        <v>-6.2594881519483763E-3</v>
      </c>
      <c r="AF239">
        <f t="shared" si="178"/>
        <v>6.5580746568750002E-3</v>
      </c>
      <c r="AG239">
        <f t="shared" si="194"/>
        <v>4163.3688737530556</v>
      </c>
      <c r="AH239">
        <f t="shared" si="195"/>
        <v>-4126.2961392303796</v>
      </c>
      <c r="AJ239">
        <f t="shared" si="179"/>
        <v>20000</v>
      </c>
      <c r="AK239">
        <f t="shared" si="180"/>
        <v>9707.5212885000001</v>
      </c>
      <c r="AL239">
        <v>1</v>
      </c>
      <c r="AM239">
        <f t="shared" si="181"/>
        <v>24.047320939424999</v>
      </c>
      <c r="AN239">
        <f t="shared" si="196"/>
        <v>437.51322439198168</v>
      </c>
      <c r="AO239">
        <f t="shared" si="197"/>
        <v>-813.49963369664988</v>
      </c>
      <c r="AQ239">
        <f t="shared" si="182"/>
        <v>0.15999744004095934</v>
      </c>
      <c r="AR239">
        <f t="shared" si="183"/>
        <v>-39.999360010239833</v>
      </c>
      <c r="AT239">
        <f t="shared" si="209"/>
        <v>-164383.07642019197</v>
      </c>
      <c r="AU239">
        <f t="shared" si="210"/>
        <v>-167192.28725580298</v>
      </c>
      <c r="AV239">
        <f t="shared" si="198"/>
        <v>-2.3477223781747281</v>
      </c>
      <c r="AW239">
        <f t="shared" si="199"/>
        <v>-28271.574629992174</v>
      </c>
      <c r="AX239">
        <f t="shared" si="200"/>
        <v>-23933.157251371886</v>
      </c>
      <c r="AY239">
        <f t="shared" si="208"/>
        <v>-2.439107877392932</v>
      </c>
      <c r="BA239">
        <f t="shared" si="184"/>
        <v>6.3298504710738666</v>
      </c>
      <c r="BB239">
        <f t="shared" si="201"/>
        <v>16.027869017552391</v>
      </c>
      <c r="BC239">
        <f t="shared" si="202"/>
        <v>9.1385499218203936E-2</v>
      </c>
      <c r="BD239">
        <f t="shared" si="185"/>
        <v>-174.76399658011783</v>
      </c>
      <c r="BF239">
        <f t="shared" si="186"/>
        <v>-15.990066543670935</v>
      </c>
      <c r="BG239">
        <f t="shared" si="187"/>
        <v>-146.64004806193503</v>
      </c>
      <c r="BH239">
        <f t="shared" si="203"/>
        <v>33.359951938064967</v>
      </c>
      <c r="BI239">
        <f t="shared" si="204"/>
        <v>33.359951938064967</v>
      </c>
      <c r="BJ239">
        <f t="shared" si="188"/>
        <v>0</v>
      </c>
      <c r="BK239">
        <f t="shared" si="205"/>
        <v>0</v>
      </c>
      <c r="BM239">
        <f t="shared" si="206"/>
        <v>-32.017935561223325</v>
      </c>
      <c r="BN239">
        <f t="shared" si="189"/>
        <v>-151.8760514818172</v>
      </c>
      <c r="BQ239" s="66">
        <f t="shared" si="207"/>
        <v>32.929829817837522</v>
      </c>
      <c r="BR239" s="71"/>
      <c r="BS239" s="71"/>
      <c r="BT239" s="71">
        <v>19498.446</v>
      </c>
      <c r="BU239" s="71">
        <v>-3.7243200000000001</v>
      </c>
      <c r="BV239" s="71">
        <v>-175.511</v>
      </c>
      <c r="BY239" s="71"/>
      <c r="BZ239" s="71"/>
      <c r="CA239" s="71"/>
      <c r="CC239" s="71"/>
    </row>
    <row r="240" spans="1:81" x14ac:dyDescent="0.15">
      <c r="A240">
        <f t="shared" si="211"/>
        <v>130000</v>
      </c>
      <c r="B240">
        <f t="shared" si="191"/>
        <v>130</v>
      </c>
      <c r="C240">
        <f t="shared" si="159"/>
        <v>1.1360571717606314</v>
      </c>
      <c r="D240">
        <f t="shared" si="160"/>
        <v>0.4944340981485571</v>
      </c>
      <c r="F240">
        <f t="shared" si="161"/>
        <v>1.3715733260053059E-3</v>
      </c>
      <c r="G240">
        <f t="shared" si="162"/>
        <v>1.2138868986585526E-2</v>
      </c>
      <c r="H240">
        <f t="shared" si="163"/>
        <v>-3.1294537810134146</v>
      </c>
      <c r="J240">
        <f t="shared" si="164"/>
        <v>15</v>
      </c>
      <c r="M240">
        <f t="shared" si="165"/>
        <v>7.3309508647515596E-3</v>
      </c>
      <c r="N240">
        <f t="shared" si="166"/>
        <v>-1.5707963250000001</v>
      </c>
      <c r="O240">
        <f t="shared" si="167"/>
        <v>55.266520929957771</v>
      </c>
      <c r="P240">
        <f t="shared" si="168"/>
        <v>1.5527012023413957</v>
      </c>
      <c r="Q240">
        <f t="shared" si="169"/>
        <v>25.029198423916551</v>
      </c>
      <c r="R240">
        <f t="shared" si="170"/>
        <v>1.5308323527513596</v>
      </c>
      <c r="S240">
        <f t="shared" si="171"/>
        <v>0.89270981885582024</v>
      </c>
      <c r="T240">
        <f t="shared" si="172"/>
        <v>-0.4674731444847125</v>
      </c>
      <c r="U240">
        <f t="shared" si="173"/>
        <v>0.70971043338984185</v>
      </c>
      <c r="V240">
        <f t="shared" si="174"/>
        <v>-0.78170923066859199</v>
      </c>
      <c r="X240">
        <f t="shared" si="192"/>
        <v>-16.468572903732699</v>
      </c>
      <c r="Y240">
        <f t="shared" si="175"/>
        <v>-135.87492605910353</v>
      </c>
      <c r="Z240">
        <f t="shared" si="193"/>
        <v>44.125073940896471</v>
      </c>
      <c r="AC240">
        <v>1</v>
      </c>
      <c r="AD240">
        <f t="shared" si="176"/>
        <v>55.257473120850008</v>
      </c>
      <c r="AE240">
        <f t="shared" si="177"/>
        <v>-6.7702623851473628E-3</v>
      </c>
      <c r="AF240">
        <f t="shared" si="178"/>
        <v>6.8203976431500009E-3</v>
      </c>
      <c r="AG240">
        <f t="shared" si="194"/>
        <v>4007.4774009513371</v>
      </c>
      <c r="AH240">
        <f t="shared" si="195"/>
        <v>-4124.6383244593844</v>
      </c>
      <c r="AJ240">
        <f t="shared" si="179"/>
        <v>20000</v>
      </c>
      <c r="AK240">
        <f t="shared" si="180"/>
        <v>10095.82214004</v>
      </c>
      <c r="AL240">
        <v>1</v>
      </c>
      <c r="AM240">
        <f t="shared" si="181"/>
        <v>25.009213777002</v>
      </c>
      <c r="AN240">
        <f t="shared" si="196"/>
        <v>434.96510168774603</v>
      </c>
      <c r="AO240">
        <f t="shared" si="197"/>
        <v>-782.31307360425262</v>
      </c>
      <c r="AQ240">
        <f t="shared" si="182"/>
        <v>0.14792680581648202</v>
      </c>
      <c r="AR240">
        <f t="shared" si="183"/>
        <v>-38.460969512285324</v>
      </c>
      <c r="AT240">
        <f t="shared" si="209"/>
        <v>-158044.77551493153</v>
      </c>
      <c r="AU240">
        <f t="shared" si="210"/>
        <v>-154741.61071164734</v>
      </c>
      <c r="AV240">
        <f t="shared" si="198"/>
        <v>-2.3667545470359226</v>
      </c>
      <c r="AW240">
        <f t="shared" si="199"/>
        <v>-25971.190760530106</v>
      </c>
      <c r="AX240">
        <f t="shared" si="200"/>
        <v>-23045.764606040761</v>
      </c>
      <c r="AY240">
        <f t="shared" si="208"/>
        <v>-2.4158057032385396</v>
      </c>
      <c r="BA240">
        <f t="shared" si="184"/>
        <v>6.3702083438130206</v>
      </c>
      <c r="BB240">
        <f t="shared" si="201"/>
        <v>16.083072731757738</v>
      </c>
      <c r="BC240">
        <f t="shared" si="202"/>
        <v>4.9051156202617019E-2</v>
      </c>
      <c r="BD240">
        <f t="shared" si="185"/>
        <v>-177.18957576614173</v>
      </c>
      <c r="BF240">
        <f t="shared" si="186"/>
        <v>-16.542717724033505</v>
      </c>
      <c r="BG240">
        <f t="shared" si="187"/>
        <v>-148.16508270071338</v>
      </c>
      <c r="BH240">
        <f t="shared" si="203"/>
        <v>31.834917299286616</v>
      </c>
      <c r="BI240">
        <f t="shared" si="204"/>
        <v>31.834917299286616</v>
      </c>
      <c r="BJ240">
        <f t="shared" si="188"/>
        <v>0</v>
      </c>
      <c r="BK240">
        <f t="shared" si="205"/>
        <v>0</v>
      </c>
      <c r="BM240">
        <f t="shared" si="206"/>
        <v>-32.625790455791247</v>
      </c>
      <c r="BN240">
        <f t="shared" si="189"/>
        <v>-150.97550693457165</v>
      </c>
      <c r="BQ240" s="66">
        <f t="shared" si="207"/>
        <v>32.985033532042877</v>
      </c>
      <c r="BR240" s="71"/>
      <c r="BS240" s="71"/>
      <c r="BT240" s="71">
        <v>19952.623</v>
      </c>
      <c r="BU240" s="71">
        <v>-3.67421</v>
      </c>
      <c r="BV240" s="71">
        <v>-174.244</v>
      </c>
      <c r="BY240" s="71"/>
      <c r="BZ240" s="71"/>
      <c r="CA240" s="71"/>
      <c r="CC240" s="71"/>
    </row>
    <row r="241" spans="1:81" x14ac:dyDescent="0.15">
      <c r="A241">
        <f t="shared" si="211"/>
        <v>135000</v>
      </c>
      <c r="B241">
        <f t="shared" si="191"/>
        <v>135</v>
      </c>
      <c r="C241">
        <f t="shared" si="159"/>
        <v>1.1460417338585007</v>
      </c>
      <c r="D241">
        <f t="shared" si="160"/>
        <v>0.51036027545719953</v>
      </c>
      <c r="F241">
        <f t="shared" si="161"/>
        <v>1.2717346845267658E-3</v>
      </c>
      <c r="G241">
        <f t="shared" si="162"/>
        <v>1.1688138485321752E-2</v>
      </c>
      <c r="H241">
        <f t="shared" si="163"/>
        <v>-3.1299045115146784</v>
      </c>
      <c r="J241">
        <f t="shared" si="164"/>
        <v>15</v>
      </c>
      <c r="M241">
        <f t="shared" si="165"/>
        <v>7.0594341660570586E-3</v>
      </c>
      <c r="N241">
        <f t="shared" si="166"/>
        <v>-1.5707963250000001</v>
      </c>
      <c r="O241">
        <f t="shared" si="167"/>
        <v>57.391473305492831</v>
      </c>
      <c r="P241">
        <f t="shared" si="168"/>
        <v>1.5533712538751412</v>
      </c>
      <c r="Q241">
        <f t="shared" si="169"/>
        <v>25.990351647983321</v>
      </c>
      <c r="R241">
        <f t="shared" si="170"/>
        <v>1.5323110108027338</v>
      </c>
      <c r="S241">
        <f t="shared" si="171"/>
        <v>0.88568710245896665</v>
      </c>
      <c r="T241">
        <f t="shared" si="172"/>
        <v>-0.48282447553522184</v>
      </c>
      <c r="U241">
        <f t="shared" si="173"/>
        <v>0.69629265796843454</v>
      </c>
      <c r="V241">
        <f t="shared" si="174"/>
        <v>-0.80057702920248741</v>
      </c>
      <c r="X241">
        <f t="shared" si="192"/>
        <v>-16.956204675593124</v>
      </c>
      <c r="Y241">
        <f t="shared" si="175"/>
        <v>-136.82574798521898</v>
      </c>
      <c r="Z241">
        <f t="shared" si="193"/>
        <v>43.174252014781018</v>
      </c>
      <c r="AC241">
        <v>1</v>
      </c>
      <c r="AD241">
        <f t="shared" si="176"/>
        <v>57.382760548575014</v>
      </c>
      <c r="AE241">
        <f t="shared" si="177"/>
        <v>-7.3010669804325851E-3</v>
      </c>
      <c r="AF241">
        <f t="shared" si="178"/>
        <v>7.0827206294250006E-3</v>
      </c>
      <c r="AG241">
        <f t="shared" si="194"/>
        <v>3857.3791966641884</v>
      </c>
      <c r="AH241">
        <f t="shared" si="195"/>
        <v>-4117.4832962654955</v>
      </c>
      <c r="AJ241">
        <f t="shared" si="179"/>
        <v>20000</v>
      </c>
      <c r="AK241">
        <f t="shared" si="180"/>
        <v>10484.12299158</v>
      </c>
      <c r="AL241">
        <v>1</v>
      </c>
      <c r="AM241">
        <f t="shared" si="181"/>
        <v>25.971106614579</v>
      </c>
      <c r="AN241">
        <f t="shared" si="196"/>
        <v>432.69426715730674</v>
      </c>
      <c r="AO241">
        <f t="shared" si="197"/>
        <v>-753.42595227954189</v>
      </c>
      <c r="AQ241">
        <f t="shared" si="182"/>
        <v>0.13717232959767356</v>
      </c>
      <c r="AR241">
        <f t="shared" si="183"/>
        <v>-37.03652899137186</v>
      </c>
      <c r="AT241">
        <f t="shared" si="209"/>
        <v>-151968.16378307834</v>
      </c>
      <c r="AU241">
        <f t="shared" si="210"/>
        <v>-143428.74122379615</v>
      </c>
      <c r="AV241">
        <f t="shared" si="198"/>
        <v>-2.3850947421483841</v>
      </c>
      <c r="AW241">
        <f t="shared" si="199"/>
        <v>-23931.0576185715</v>
      </c>
      <c r="AX241">
        <f t="shared" si="200"/>
        <v>-22230.315727210076</v>
      </c>
      <c r="AY241">
        <f t="shared" si="208"/>
        <v>-2.3930212317916886</v>
      </c>
      <c r="BA241">
        <f t="shared" si="184"/>
        <v>6.3975552920920666</v>
      </c>
      <c r="BB241">
        <f t="shared" si="201"/>
        <v>16.120280960967058</v>
      </c>
      <c r="BC241">
        <f t="shared" si="202"/>
        <v>7.9264896433044463E-3</v>
      </c>
      <c r="BD241">
        <f t="shared" si="185"/>
        <v>-179.54584559656556</v>
      </c>
      <c r="BF241">
        <f t="shared" si="186"/>
        <v>-17.085954874469394</v>
      </c>
      <c r="BG241">
        <f t="shared" si="187"/>
        <v>-149.634674741982</v>
      </c>
      <c r="BH241">
        <f t="shared" si="203"/>
        <v>30.365325258018004</v>
      </c>
      <c r="BI241">
        <f t="shared" si="204"/>
        <v>30.365325258018004</v>
      </c>
      <c r="BJ241">
        <f t="shared" si="188"/>
        <v>0</v>
      </c>
      <c r="BK241">
        <f t="shared" si="205"/>
        <v>0</v>
      </c>
      <c r="BM241">
        <f t="shared" si="206"/>
        <v>-33.206235835436452</v>
      </c>
      <c r="BN241">
        <f t="shared" si="189"/>
        <v>-150.08882914541647</v>
      </c>
      <c r="BQ241" s="66">
        <f t="shared" si="207"/>
        <v>33.022241761252197</v>
      </c>
      <c r="BR241" s="71"/>
      <c r="BS241" s="71"/>
      <c r="BT241" s="71">
        <v>20417.379000000001</v>
      </c>
      <c r="BU241" s="71">
        <v>-3.6440899999999998</v>
      </c>
      <c r="BV241" s="71">
        <v>-173.369</v>
      </c>
      <c r="BY241" s="71"/>
      <c r="BZ241" s="71"/>
      <c r="CA241" s="71"/>
      <c r="CC241" s="71"/>
    </row>
    <row r="242" spans="1:81" x14ac:dyDescent="0.15">
      <c r="A242">
        <f t="shared" si="211"/>
        <v>140000</v>
      </c>
      <c r="B242">
        <f t="shared" si="191"/>
        <v>140</v>
      </c>
      <c r="C242">
        <f t="shared" si="159"/>
        <v>1.1563119189541766</v>
      </c>
      <c r="D242">
        <f t="shared" si="160"/>
        <v>0.52600745602328525</v>
      </c>
      <c r="F242">
        <f t="shared" si="161"/>
        <v>1.1824170636714247E-3</v>
      </c>
      <c r="G242">
        <f t="shared" si="162"/>
        <v>1.1269719140056792E-2</v>
      </c>
      <c r="H242">
        <f t="shared" si="163"/>
        <v>-3.1303229308599434</v>
      </c>
      <c r="J242">
        <f t="shared" si="164"/>
        <v>15</v>
      </c>
      <c r="M242">
        <f t="shared" si="165"/>
        <v>6.8073115172693054E-3</v>
      </c>
      <c r="N242">
        <f t="shared" si="166"/>
        <v>-1.5707963250000001</v>
      </c>
      <c r="O242">
        <f t="shared" si="167"/>
        <v>59.516449608067376</v>
      </c>
      <c r="P242">
        <f t="shared" si="168"/>
        <v>1.5539934586097337</v>
      </c>
      <c r="Q242">
        <f t="shared" si="169"/>
        <v>26.951557644964335</v>
      </c>
      <c r="R242">
        <f t="shared" si="170"/>
        <v>1.5336842013396672</v>
      </c>
      <c r="S242">
        <f t="shared" si="171"/>
        <v>0.87857181844921139</v>
      </c>
      <c r="T242">
        <f t="shared" si="172"/>
        <v>-0.49793266624167209</v>
      </c>
      <c r="U242">
        <f t="shared" si="173"/>
        <v>0.68314304193719488</v>
      </c>
      <c r="V242">
        <f t="shared" si="174"/>
        <v>-0.81873844896879799</v>
      </c>
      <c r="X242">
        <f t="shared" si="192"/>
        <v>-17.431552425450153</v>
      </c>
      <c r="Y242">
        <f t="shared" si="175"/>
        <v>-137.74508477971864</v>
      </c>
      <c r="Z242">
        <f t="shared" si="193"/>
        <v>42.254915220281362</v>
      </c>
      <c r="AC242">
        <v>1</v>
      </c>
      <c r="AD242">
        <f t="shared" si="176"/>
        <v>59.508047976300006</v>
      </c>
      <c r="AE242">
        <f t="shared" si="177"/>
        <v>-7.8519019378040407E-3</v>
      </c>
      <c r="AF242">
        <f t="shared" si="178"/>
        <v>7.3450436157000013E-3</v>
      </c>
      <c r="AG242">
        <f t="shared" si="194"/>
        <v>3713.0602882490803</v>
      </c>
      <c r="AH242">
        <f t="shared" si="195"/>
        <v>-4105.4331124774917</v>
      </c>
      <c r="AJ242">
        <f t="shared" si="179"/>
        <v>20000</v>
      </c>
      <c r="AK242">
        <f t="shared" si="180"/>
        <v>10872.423843119999</v>
      </c>
      <c r="AL242">
        <v>1</v>
      </c>
      <c r="AM242">
        <f t="shared" si="181"/>
        <v>26.932999452155997</v>
      </c>
      <c r="AN242">
        <f t="shared" si="196"/>
        <v>430.66191739045809</v>
      </c>
      <c r="AO242">
        <f t="shared" si="197"/>
        <v>-726.59334202165917</v>
      </c>
      <c r="AQ242">
        <f t="shared" si="182"/>
        <v>0.12754939350263389</v>
      </c>
      <c r="AR242">
        <f t="shared" si="183"/>
        <v>-35.713830180737489</v>
      </c>
      <c r="AT242">
        <f t="shared" si="209"/>
        <v>-146147.14240959281</v>
      </c>
      <c r="AU242">
        <f t="shared" si="210"/>
        <v>-133131.25008892998</v>
      </c>
      <c r="AV242">
        <f t="shared" si="198"/>
        <v>-2.4027662305619577</v>
      </c>
      <c r="AW242">
        <f t="shared" si="199"/>
        <v>-22114.053864819569</v>
      </c>
      <c r="AX242">
        <f t="shared" si="200"/>
        <v>-21477.598454815648</v>
      </c>
      <c r="AY242">
        <f t="shared" si="208"/>
        <v>-2.3707938494087832</v>
      </c>
      <c r="BA242">
        <f t="shared" si="184"/>
        <v>6.412964963232846</v>
      </c>
      <c r="BB242">
        <f t="shared" si="201"/>
        <v>16.14117734374879</v>
      </c>
      <c r="BC242">
        <f t="shared" si="202"/>
        <v>-3.1972381153174467E-2</v>
      </c>
      <c r="BD242">
        <f t="shared" si="185"/>
        <v>-181.83188250315374</v>
      </c>
      <c r="BF242">
        <f t="shared" si="186"/>
        <v>-17.620083660447104</v>
      </c>
      <c r="BG242">
        <f t="shared" si="187"/>
        <v>-151.04816790240767</v>
      </c>
      <c r="BH242">
        <f t="shared" si="203"/>
        <v>28.95183209759233</v>
      </c>
      <c r="BI242">
        <f t="shared" si="204"/>
        <v>28.95183209759233</v>
      </c>
      <c r="BJ242">
        <f t="shared" si="188"/>
        <v>0</v>
      </c>
      <c r="BK242">
        <f t="shared" si="205"/>
        <v>0</v>
      </c>
      <c r="BM242">
        <f t="shared" si="206"/>
        <v>-33.761261004195894</v>
      </c>
      <c r="BN242">
        <f t="shared" si="189"/>
        <v>-149.21628539925391</v>
      </c>
      <c r="BQ242" s="66">
        <f t="shared" si="207"/>
        <v>33.043138144033925</v>
      </c>
      <c r="BR242" s="71"/>
      <c r="BS242" s="71"/>
      <c r="BT242" s="71">
        <v>20892.960999999999</v>
      </c>
      <c r="BU242" s="71">
        <v>-3.5620099999999999</v>
      </c>
      <c r="BV242" s="71">
        <v>-172.084</v>
      </c>
      <c r="BY242" s="71"/>
      <c r="BZ242" s="71"/>
      <c r="CA242" s="71"/>
      <c r="CC242" s="71"/>
    </row>
    <row r="243" spans="1:81" x14ac:dyDescent="0.15">
      <c r="A243">
        <f t="shared" si="211"/>
        <v>145000</v>
      </c>
      <c r="B243">
        <f t="shared" si="191"/>
        <v>145</v>
      </c>
      <c r="C243">
        <f t="shared" si="159"/>
        <v>1.1668601852917255</v>
      </c>
      <c r="D243">
        <f t="shared" si="160"/>
        <v>0.54137544637197421</v>
      </c>
      <c r="F243">
        <f t="shared" si="161"/>
        <v>1.1021920025854406E-3</v>
      </c>
      <c r="G243">
        <f t="shared" si="162"/>
        <v>1.0880253195705349E-2</v>
      </c>
      <c r="H243">
        <f t="shared" si="163"/>
        <v>-3.1307123968042947</v>
      </c>
      <c r="J243">
        <f t="shared" si="164"/>
        <v>15</v>
      </c>
      <c r="M243">
        <f t="shared" si="165"/>
        <v>6.5725766373634677E-3</v>
      </c>
      <c r="N243">
        <f t="shared" si="166"/>
        <v>-1.5707963250000001</v>
      </c>
      <c r="O243">
        <f t="shared" si="167"/>
        <v>61.641447363158512</v>
      </c>
      <c r="P243">
        <f t="shared" si="168"/>
        <v>1.5545727643794178</v>
      </c>
      <c r="Q243">
        <f t="shared" si="169"/>
        <v>27.912810962993422</v>
      </c>
      <c r="R243">
        <f t="shared" si="170"/>
        <v>1.5349628150733425</v>
      </c>
      <c r="S243">
        <f t="shared" si="171"/>
        <v>0.87137580394477265</v>
      </c>
      <c r="T243">
        <f t="shared" si="172"/>
        <v>-0.51279671442584518</v>
      </c>
      <c r="U243">
        <f t="shared" si="173"/>
        <v>0.67027198507068553</v>
      </c>
      <c r="V243">
        <f t="shared" si="174"/>
        <v>-0.83622110033976493</v>
      </c>
      <c r="X243">
        <f t="shared" si="192"/>
        <v>-17.895280781210843</v>
      </c>
      <c r="Y243">
        <f t="shared" si="175"/>
        <v>-138.6337569685015</v>
      </c>
      <c r="Z243">
        <f t="shared" si="193"/>
        <v>41.366243031498499</v>
      </c>
      <c r="AC243">
        <v>1</v>
      </c>
      <c r="AD243">
        <f t="shared" si="176"/>
        <v>61.633335404025004</v>
      </c>
      <c r="AE243">
        <f t="shared" si="177"/>
        <v>-8.4227672572617339E-3</v>
      </c>
      <c r="AF243">
        <f t="shared" si="178"/>
        <v>7.6073666019750011E-3</v>
      </c>
      <c r="AG243">
        <f t="shared" si="194"/>
        <v>3574.4632640755781</v>
      </c>
      <c r="AH243">
        <f t="shared" si="195"/>
        <v>-4089.0460221628878</v>
      </c>
      <c r="AJ243">
        <f t="shared" si="179"/>
        <v>20000</v>
      </c>
      <c r="AK243">
        <f t="shared" si="180"/>
        <v>11260.724694659999</v>
      </c>
      <c r="AL243">
        <v>1</v>
      </c>
      <c r="AM243">
        <f t="shared" si="181"/>
        <v>27.894892289732997</v>
      </c>
      <c r="AN243">
        <f t="shared" si="196"/>
        <v>428.83580383422441</v>
      </c>
      <c r="AO243">
        <f t="shared" si="197"/>
        <v>-701.60386327676008</v>
      </c>
      <c r="AQ243">
        <f t="shared" si="182"/>
        <v>0.11890465036087561</v>
      </c>
      <c r="AR243">
        <f t="shared" si="183"/>
        <v>-34.482348604653929</v>
      </c>
      <c r="AT243">
        <f t="shared" si="209"/>
        <v>-140574.89009205144</v>
      </c>
      <c r="AU243">
        <f t="shared" si="210"/>
        <v>-123742.09493395804</v>
      </c>
      <c r="AV243">
        <f t="shared" si="198"/>
        <v>-2.4197927273553375</v>
      </c>
      <c r="AW243">
        <f t="shared" si="199"/>
        <v>-20489.367929678559</v>
      </c>
      <c r="AX243">
        <f t="shared" si="200"/>
        <v>-20779.953504887606</v>
      </c>
      <c r="AY243">
        <f t="shared" si="208"/>
        <v>-2.3491534058472521</v>
      </c>
      <c r="BA243">
        <f t="shared" si="184"/>
        <v>6.4174999517821583</v>
      </c>
      <c r="BB243">
        <f t="shared" si="201"/>
        <v>16.147317481608248</v>
      </c>
      <c r="BC243">
        <f t="shared" si="202"/>
        <v>-7.0639321508085384E-2</v>
      </c>
      <c r="BD243">
        <f t="shared" si="185"/>
        <v>-184.04733499470575</v>
      </c>
      <c r="BF243">
        <f t="shared" si="186"/>
        <v>-18.145335798724403</v>
      </c>
      <c r="BG243">
        <f t="shared" si="187"/>
        <v>-152.40541416127678</v>
      </c>
      <c r="BH243">
        <f t="shared" si="203"/>
        <v>27.594585838723219</v>
      </c>
      <c r="BI243">
        <f t="shared" si="204"/>
        <v>27.594585838723219</v>
      </c>
      <c r="BJ243">
        <f t="shared" si="188"/>
        <v>0</v>
      </c>
      <c r="BK243">
        <f t="shared" si="205"/>
        <v>0</v>
      </c>
      <c r="BM243">
        <f t="shared" si="206"/>
        <v>-34.292653280332651</v>
      </c>
      <c r="BN243">
        <f t="shared" si="189"/>
        <v>-148.35807916657103</v>
      </c>
      <c r="BQ243" s="66">
        <f t="shared" si="207"/>
        <v>33.049278281893379</v>
      </c>
      <c r="BR243" s="71"/>
      <c r="BS243" s="71"/>
      <c r="BT243" s="71">
        <v>21379.620999999999</v>
      </c>
      <c r="BU243" s="71">
        <v>-3.5589</v>
      </c>
      <c r="BV243" s="71">
        <v>-170.62899999999999</v>
      </c>
      <c r="BY243" s="71"/>
      <c r="BZ243" s="71"/>
      <c r="CA243" s="71"/>
      <c r="CC243" s="71"/>
    </row>
    <row r="244" spans="1:81" x14ac:dyDescent="0.15">
      <c r="A244">
        <f t="shared" si="211"/>
        <v>150000</v>
      </c>
      <c r="B244">
        <f t="shared" si="191"/>
        <v>150</v>
      </c>
      <c r="C244">
        <f t="shared" si="159"/>
        <v>1.1776790607190262</v>
      </c>
      <c r="D244">
        <f t="shared" si="160"/>
        <v>0.55646458725027981</v>
      </c>
      <c r="F244">
        <f t="shared" si="161"/>
        <v>1.0298655664983426E-3</v>
      </c>
      <c r="G244">
        <f t="shared" si="162"/>
        <v>1.051683301357628E-2</v>
      </c>
      <c r="H244">
        <f t="shared" si="163"/>
        <v>-3.1310758169864239</v>
      </c>
      <c r="J244">
        <f t="shared" si="164"/>
        <v>15</v>
      </c>
      <c r="M244">
        <f t="shared" si="165"/>
        <v>6.3534907494513515E-3</v>
      </c>
      <c r="N244">
        <f t="shared" si="166"/>
        <v>-1.5707963250000001</v>
      </c>
      <c r="O244">
        <f t="shared" si="167"/>
        <v>63.766464426070797</v>
      </c>
      <c r="P244">
        <f t="shared" si="168"/>
        <v>1.5551134595976785</v>
      </c>
      <c r="Q244">
        <f t="shared" si="169"/>
        <v>28.874106875949252</v>
      </c>
      <c r="R244">
        <f t="shared" si="170"/>
        <v>1.5361562937387803</v>
      </c>
      <c r="S244">
        <f t="shared" si="171"/>
        <v>0.86411044572401063</v>
      </c>
      <c r="T244">
        <f t="shared" si="172"/>
        <v>-0.52741608143568475</v>
      </c>
      <c r="U244">
        <f t="shared" si="173"/>
        <v>0.65768699410062392</v>
      </c>
      <c r="V244">
        <f t="shared" si="174"/>
        <v>-0.85305223068906844</v>
      </c>
      <c r="X244">
        <f t="shared" si="192"/>
        <v>-18.34798883154355</v>
      </c>
      <c r="Y244">
        <f t="shared" si="175"/>
        <v>-139.49265524109208</v>
      </c>
      <c r="Z244">
        <f t="shared" si="193"/>
        <v>40.507344758907919</v>
      </c>
      <c r="AC244">
        <v>1</v>
      </c>
      <c r="AD244">
        <f t="shared" si="176"/>
        <v>63.75862283175001</v>
      </c>
      <c r="AE244">
        <f t="shared" si="177"/>
        <v>-9.0136629388056604E-3</v>
      </c>
      <c r="AF244">
        <f t="shared" si="178"/>
        <v>7.8696895882500017E-3</v>
      </c>
      <c r="AG244">
        <f t="shared" si="194"/>
        <v>3441.4955292317682</v>
      </c>
      <c r="AH244">
        <f t="shared" si="195"/>
        <v>-4068.8365591586457</v>
      </c>
      <c r="AJ244">
        <f t="shared" si="179"/>
        <v>20000</v>
      </c>
      <c r="AK244">
        <f t="shared" si="180"/>
        <v>11649.0255462</v>
      </c>
      <c r="AL244">
        <v>1</v>
      </c>
      <c r="AM244">
        <f t="shared" si="181"/>
        <v>28.856785127310001</v>
      </c>
      <c r="AN244">
        <f t="shared" si="196"/>
        <v>427.18894809711014</v>
      </c>
      <c r="AO244">
        <f t="shared" si="197"/>
        <v>-678.27413779989035</v>
      </c>
      <c r="AQ244">
        <f t="shared" si="182"/>
        <v>0.11110987655692714</v>
      </c>
      <c r="AR244">
        <f t="shared" si="183"/>
        <v>-33.332962967078146</v>
      </c>
      <c r="AT244">
        <f t="shared" si="209"/>
        <v>-135243.99420210463</v>
      </c>
      <c r="AU244">
        <f t="shared" si="210"/>
        <v>-115167.33095506596</v>
      </c>
      <c r="AV244">
        <f t="shared" si="198"/>
        <v>-2.4361981036934459</v>
      </c>
      <c r="AW244">
        <f t="shared" si="199"/>
        <v>-19031.261988616799</v>
      </c>
      <c r="AX244">
        <f t="shared" si="200"/>
        <v>-20130.962387958229</v>
      </c>
      <c r="AY244">
        <f t="shared" si="208"/>
        <v>-2.3281212255255275</v>
      </c>
      <c r="BA244">
        <f t="shared" si="184"/>
        <v>6.4121963154801707</v>
      </c>
      <c r="BB244">
        <f t="shared" si="201"/>
        <v>16.140136204473706</v>
      </c>
      <c r="BC244">
        <f t="shared" si="202"/>
        <v>-0.10807687816791844</v>
      </c>
      <c r="BD244">
        <f t="shared" si="185"/>
        <v>-186.1923489890471</v>
      </c>
      <c r="BF244">
        <f t="shared" si="186"/>
        <v>-18.661888792665913</v>
      </c>
      <c r="BG244">
        <f t="shared" si="187"/>
        <v>-153.70670650847467</v>
      </c>
      <c r="BH244">
        <f t="shared" si="203"/>
        <v>26.293293491525333</v>
      </c>
      <c r="BI244">
        <f t="shared" si="204"/>
        <v>26.293293491525333</v>
      </c>
      <c r="BJ244">
        <f t="shared" si="188"/>
        <v>0</v>
      </c>
      <c r="BK244">
        <f t="shared" si="205"/>
        <v>0</v>
      </c>
      <c r="BM244">
        <f t="shared" si="206"/>
        <v>-34.802024997139618</v>
      </c>
      <c r="BN244">
        <f t="shared" si="189"/>
        <v>-147.51435751942756</v>
      </c>
      <c r="BQ244" s="66">
        <f t="shared" si="207"/>
        <v>33.042097004758844</v>
      </c>
      <c r="BR244" s="71"/>
      <c r="BS244" s="71"/>
      <c r="BT244" s="71">
        <v>21877.616000000002</v>
      </c>
      <c r="BU244" s="71">
        <v>-3.49654</v>
      </c>
      <c r="BV244" s="71">
        <v>-169.465</v>
      </c>
      <c r="BY244" s="71"/>
      <c r="BZ244" s="71"/>
      <c r="CA244" s="71"/>
      <c r="CC244" s="71"/>
    </row>
    <row r="245" spans="1:81" x14ac:dyDescent="0.15">
      <c r="A245">
        <f t="shared" si="211"/>
        <v>155000</v>
      </c>
      <c r="B245">
        <f t="shared" si="191"/>
        <v>155</v>
      </c>
      <c r="C245">
        <f t="shared" si="159"/>
        <v>1.188761156846283</v>
      </c>
      <c r="D245">
        <f t="shared" si="160"/>
        <v>0.57127571497429264</v>
      </c>
      <c r="F245">
        <f t="shared" si="161"/>
        <v>9.6443360051949915E-4</v>
      </c>
      <c r="G245">
        <f t="shared" si="162"/>
        <v>1.0176928025936912E-2</v>
      </c>
      <c r="H245">
        <f t="shared" si="163"/>
        <v>-3.1314157219740633</v>
      </c>
      <c r="J245">
        <f t="shared" si="164"/>
        <v>15</v>
      </c>
      <c r="M245">
        <f t="shared" si="165"/>
        <v>6.1485394349529215E-3</v>
      </c>
      <c r="N245">
        <f t="shared" si="166"/>
        <v>-1.5707963250000001</v>
      </c>
      <c r="O245">
        <f t="shared" si="167"/>
        <v>65.891498928758296</v>
      </c>
      <c r="P245">
        <f t="shared" si="168"/>
        <v>1.5556192795619388</v>
      </c>
      <c r="Q245">
        <f t="shared" si="169"/>
        <v>29.835441266615078</v>
      </c>
      <c r="R245">
        <f t="shared" si="170"/>
        <v>1.5372728632271484</v>
      </c>
      <c r="S245">
        <f t="shared" si="171"/>
        <v>0.85678666169536233</v>
      </c>
      <c r="T245">
        <f t="shared" si="172"/>
        <v>-0.54179066446086699</v>
      </c>
      <c r="U245">
        <f t="shared" si="173"/>
        <v>0.64539306385640138</v>
      </c>
      <c r="V245">
        <f t="shared" si="174"/>
        <v>-0.86925857327150713</v>
      </c>
      <c r="X245">
        <f t="shared" si="192"/>
        <v>-18.790219928169588</v>
      </c>
      <c r="Y245">
        <f t="shared" si="175"/>
        <v>-140.32271715741069</v>
      </c>
      <c r="Z245">
        <f t="shared" si="193"/>
        <v>39.677282842589307</v>
      </c>
      <c r="AC245">
        <v>1</v>
      </c>
      <c r="AD245">
        <f t="shared" si="176"/>
        <v>65.883910259475016</v>
      </c>
      <c r="AE245">
        <f t="shared" si="177"/>
        <v>-9.6245889824358236E-3</v>
      </c>
      <c r="AF245">
        <f t="shared" si="178"/>
        <v>8.1320125745250015E-3</v>
      </c>
      <c r="AG245">
        <f t="shared" si="194"/>
        <v>3314.0365178986408</v>
      </c>
      <c r="AH245">
        <f t="shared" si="195"/>
        <v>-4045.2764990318205</v>
      </c>
      <c r="AJ245">
        <f t="shared" si="179"/>
        <v>20000</v>
      </c>
      <c r="AK245">
        <f t="shared" si="180"/>
        <v>12037.32639774</v>
      </c>
      <c r="AL245">
        <v>1</v>
      </c>
      <c r="AM245">
        <f t="shared" si="181"/>
        <v>29.818677964886998</v>
      </c>
      <c r="AN245">
        <f t="shared" si="196"/>
        <v>425.69864158801863</v>
      </c>
      <c r="AO245">
        <f t="shared" si="197"/>
        <v>-656.44430586298006</v>
      </c>
      <c r="AQ245">
        <f t="shared" si="182"/>
        <v>0.10405718983153141</v>
      </c>
      <c r="AR245">
        <f t="shared" si="183"/>
        <v>-32.257728847774736</v>
      </c>
      <c r="AT245">
        <f t="shared" si="209"/>
        <v>-130146.58309299234</v>
      </c>
      <c r="AU245">
        <f t="shared" si="210"/>
        <v>-107324.23149057871</v>
      </c>
      <c r="AV245">
        <f t="shared" si="198"/>
        <v>-2.4520061520367404</v>
      </c>
      <c r="AW245">
        <f t="shared" si="199"/>
        <v>-17718.108701740217</v>
      </c>
      <c r="AX245">
        <f t="shared" si="200"/>
        <v>-19525.206547777769</v>
      </c>
      <c r="AY245">
        <f t="shared" si="208"/>
        <v>-2.3077111135695798</v>
      </c>
      <c r="BA245">
        <f t="shared" si="184"/>
        <v>6.3980512703741423</v>
      </c>
      <c r="BB245">
        <f t="shared" si="201"/>
        <v>16.120954319061045</v>
      </c>
      <c r="BC245">
        <f t="shared" si="202"/>
        <v>-0.14429503846716063</v>
      </c>
      <c r="BD245">
        <f t="shared" si="185"/>
        <v>-188.26749671829316</v>
      </c>
      <c r="BF245">
        <f t="shared" si="186"/>
        <v>-19.16988172845188</v>
      </c>
      <c r="BG245">
        <f t="shared" si="187"/>
        <v>-154.95271424958534</v>
      </c>
      <c r="BH245">
        <f t="shared" si="203"/>
        <v>25.047285750414659</v>
      </c>
      <c r="BI245">
        <f t="shared" si="204"/>
        <v>25.047285750414659</v>
      </c>
      <c r="BJ245">
        <f t="shared" si="188"/>
        <v>0</v>
      </c>
      <c r="BK245">
        <f t="shared" si="205"/>
        <v>0</v>
      </c>
      <c r="BM245">
        <f t="shared" si="206"/>
        <v>-35.290836047512926</v>
      </c>
      <c r="BN245">
        <f t="shared" si="189"/>
        <v>-146.68521753129218</v>
      </c>
      <c r="BQ245" s="66">
        <f t="shared" si="207"/>
        <v>33.02291511934618</v>
      </c>
      <c r="BR245" s="71"/>
      <c r="BS245" s="71"/>
      <c r="BT245" s="71">
        <v>22387.210999999999</v>
      </c>
      <c r="BU245" s="71">
        <v>-3.4356</v>
      </c>
      <c r="BV245" s="71">
        <v>-168.34299999999999</v>
      </c>
      <c r="BY245" s="71"/>
      <c r="BZ245" s="71"/>
      <c r="CA245" s="71"/>
      <c r="CC245" s="71"/>
    </row>
    <row r="246" spans="1:81" x14ac:dyDescent="0.15">
      <c r="A246">
        <f t="shared" si="211"/>
        <v>160000</v>
      </c>
      <c r="B246">
        <f t="shared" si="191"/>
        <v>160</v>
      </c>
      <c r="C246">
        <f t="shared" si="159"/>
        <v>1.2000991817055942</v>
      </c>
      <c r="D246">
        <f t="shared" si="160"/>
        <v>0.58581012316697767</v>
      </c>
      <c r="F246">
        <f t="shared" si="161"/>
        <v>9.050466385934965E-4</v>
      </c>
      <c r="G246">
        <f t="shared" si="162"/>
        <v>9.8583254798244903E-3</v>
      </c>
      <c r="H246">
        <f t="shared" si="163"/>
        <v>-3.1317343245201759</v>
      </c>
      <c r="J246">
        <f t="shared" si="164"/>
        <v>15</v>
      </c>
      <c r="M246">
        <f t="shared" si="165"/>
        <v>5.956397577610642E-3</v>
      </c>
      <c r="N246">
        <f t="shared" si="166"/>
        <v>-1.5707963250000001</v>
      </c>
      <c r="O246">
        <f t="shared" si="167"/>
        <v>68.016549236613358</v>
      </c>
      <c r="P246">
        <f t="shared" si="168"/>
        <v>1.5560934928372738</v>
      </c>
      <c r="Q246">
        <f t="shared" si="169"/>
        <v>30.796810531701162</v>
      </c>
      <c r="R246">
        <f t="shared" si="170"/>
        <v>1.5383197231251244</v>
      </c>
      <c r="S246">
        <f t="shared" si="171"/>
        <v>0.84941488718325375</v>
      </c>
      <c r="T246">
        <f t="shared" si="172"/>
        <v>-0.55592076865923978</v>
      </c>
      <c r="U246">
        <f t="shared" si="173"/>
        <v>0.63339302371593287</v>
      </c>
      <c r="V246">
        <f t="shared" si="174"/>
        <v>-0.88486622833791717</v>
      </c>
      <c r="X246">
        <f t="shared" si="192"/>
        <v>-19.222469670045836</v>
      </c>
      <c r="Y246">
        <f t="shared" si="175"/>
        <v>-141.12490851728728</v>
      </c>
      <c r="Z246">
        <f t="shared" si="193"/>
        <v>38.875091482712719</v>
      </c>
      <c r="AC246">
        <v>1</v>
      </c>
      <c r="AD246">
        <f t="shared" si="176"/>
        <v>68.0091976872</v>
      </c>
      <c r="AE246">
        <f t="shared" si="177"/>
        <v>-1.0255545388152218E-2</v>
      </c>
      <c r="AF246">
        <f t="shared" si="178"/>
        <v>8.3943355607999995E-3</v>
      </c>
      <c r="AG246">
        <f t="shared" si="194"/>
        <v>3191.943928688645</v>
      </c>
      <c r="AH246">
        <f t="shared" si="195"/>
        <v>-4018.7964363302476</v>
      </c>
      <c r="AJ246">
        <f t="shared" si="179"/>
        <v>20000</v>
      </c>
      <c r="AK246">
        <f t="shared" si="180"/>
        <v>12425.62724928</v>
      </c>
      <c r="AL246">
        <v>1</v>
      </c>
      <c r="AM246">
        <f t="shared" si="181"/>
        <v>30.780570802463998</v>
      </c>
      <c r="AN246">
        <f t="shared" si="196"/>
        <v>424.34565980326965</v>
      </c>
      <c r="AO246">
        <f t="shared" si="197"/>
        <v>-635.97437701284252</v>
      </c>
      <c r="AQ246">
        <f t="shared" si="182"/>
        <v>9.7655296334996727E-2</v>
      </c>
      <c r="AR246">
        <f t="shared" si="183"/>
        <v>-31.249694827198955</v>
      </c>
      <c r="AT246">
        <f t="shared" si="209"/>
        <v>-125274.45197771414</v>
      </c>
      <c r="AU246">
        <f t="shared" si="210"/>
        <v>-100139.73043395052</v>
      </c>
      <c r="AV246">
        <f t="shared" si="198"/>
        <v>-2.4672403992629031</v>
      </c>
      <c r="AW246">
        <f t="shared" si="199"/>
        <v>-16531.634061879642</v>
      </c>
      <c r="AX246">
        <f t="shared" si="200"/>
        <v>-18958.07971112584</v>
      </c>
      <c r="AY246">
        <f t="shared" si="208"/>
        <v>-2.2879303329129721</v>
      </c>
      <c r="BA246">
        <f t="shared" si="184"/>
        <v>6.3760138897828691</v>
      </c>
      <c r="BB246">
        <f t="shared" si="201"/>
        <v>16.090985089497266</v>
      </c>
      <c r="BC246">
        <f t="shared" si="202"/>
        <v>-0.17931006634993096</v>
      </c>
      <c r="BD246">
        <f t="shared" si="185"/>
        <v>-190.27371003780124</v>
      </c>
      <c r="BF246">
        <f t="shared" si="186"/>
        <v>-19.669427742666731</v>
      </c>
      <c r="BG246">
        <f t="shared" si="187"/>
        <v>-156.14442190223588</v>
      </c>
      <c r="BH246">
        <f t="shared" si="203"/>
        <v>23.855578097764123</v>
      </c>
      <c r="BI246">
        <f t="shared" si="204"/>
        <v>23.855578097764123</v>
      </c>
      <c r="BJ246">
        <f t="shared" si="188"/>
        <v>0</v>
      </c>
      <c r="BK246">
        <f t="shared" si="205"/>
        <v>0</v>
      </c>
      <c r="BM246">
        <f t="shared" si="206"/>
        <v>-35.760412832163993</v>
      </c>
      <c r="BN246">
        <f t="shared" si="189"/>
        <v>-145.87071186443464</v>
      </c>
      <c r="BQ246" s="66">
        <f t="shared" si="207"/>
        <v>32.992945889782405</v>
      </c>
      <c r="BR246" s="71"/>
      <c r="BS246" s="71"/>
      <c r="BT246" s="71">
        <v>22908.677</v>
      </c>
      <c r="BU246" s="71">
        <v>-3.37297</v>
      </c>
      <c r="BV246" s="71">
        <v>-167.03899999999999</v>
      </c>
      <c r="BY246" s="71"/>
      <c r="BZ246" s="71"/>
      <c r="CA246" s="71"/>
      <c r="CC246" s="71"/>
    </row>
    <row r="247" spans="1:81" x14ac:dyDescent="0.15">
      <c r="A247">
        <f t="shared" si="211"/>
        <v>165000</v>
      </c>
      <c r="B247">
        <f t="shared" si="191"/>
        <v>165</v>
      </c>
      <c r="C247">
        <f t="shared" si="159"/>
        <v>1.2116859509657683</v>
      </c>
      <c r="D247">
        <f t="shared" si="160"/>
        <v>0.60006952518500889</v>
      </c>
      <c r="F247">
        <f t="shared" si="161"/>
        <v>8.5098215740851148E-4</v>
      </c>
      <c r="G247">
        <f t="shared" si="162"/>
        <v>9.5590820234832379E-3</v>
      </c>
      <c r="H247">
        <f t="shared" si="163"/>
        <v>-3.1320335679765168</v>
      </c>
      <c r="J247">
        <f t="shared" si="164"/>
        <v>15</v>
      </c>
      <c r="M247">
        <f t="shared" si="165"/>
        <v>5.7759006813194111E-3</v>
      </c>
      <c r="N247">
        <f t="shared" si="166"/>
        <v>-1.5707963250000001</v>
      </c>
      <c r="O247">
        <f t="shared" si="167"/>
        <v>70.141613913108927</v>
      </c>
      <c r="P247">
        <f t="shared" si="168"/>
        <v>1.5565389719422287</v>
      </c>
      <c r="Q247">
        <f t="shared" si="169"/>
        <v>31.758211504102768</v>
      </c>
      <c r="R247">
        <f t="shared" si="170"/>
        <v>1.5393032018807375</v>
      </c>
      <c r="S247">
        <f t="shared" si="171"/>
        <v>0.84200506566682742</v>
      </c>
      <c r="T247">
        <f t="shared" si="172"/>
        <v>-0.56980707933758823</v>
      </c>
      <c r="U247">
        <f t="shared" si="173"/>
        <v>0.62168784983802716</v>
      </c>
      <c r="V247">
        <f t="shared" si="174"/>
        <v>-0.89990057198453155</v>
      </c>
      <c r="X247">
        <f t="shared" si="192"/>
        <v>-19.645192444764298</v>
      </c>
      <c r="Y247">
        <f t="shared" si="175"/>
        <v>-141.9002085303195</v>
      </c>
      <c r="Z247">
        <f t="shared" si="193"/>
        <v>38.099791469680497</v>
      </c>
      <c r="AC247">
        <v>1</v>
      </c>
      <c r="AD247">
        <f t="shared" si="176"/>
        <v>70.134485114924999</v>
      </c>
      <c r="AE247">
        <f t="shared" si="177"/>
        <v>-1.090653215595485E-2</v>
      </c>
      <c r="AF247">
        <f t="shared" si="178"/>
        <v>8.656658547075001E-3</v>
      </c>
      <c r="AG247">
        <f t="shared" si="194"/>
        <v>3075.0590627386487</v>
      </c>
      <c r="AH247">
        <f t="shared" si="195"/>
        <v>-3989.7877872160716</v>
      </c>
      <c r="AJ247">
        <f t="shared" si="179"/>
        <v>20000</v>
      </c>
      <c r="AK247">
        <f t="shared" si="180"/>
        <v>12813.92810082</v>
      </c>
      <c r="AL247">
        <v>1</v>
      </c>
      <c r="AM247">
        <f t="shared" si="181"/>
        <v>31.742463640041002</v>
      </c>
      <c r="AN247">
        <f t="shared" si="196"/>
        <v>423.11364021070943</v>
      </c>
      <c r="AO247">
        <f t="shared" si="197"/>
        <v>-616.74123917383508</v>
      </c>
      <c r="AQ247">
        <f t="shared" si="182"/>
        <v>9.1826521335892239E-2</v>
      </c>
      <c r="AR247">
        <f t="shared" si="183"/>
        <v>-30.302752040844435</v>
      </c>
      <c r="AT247">
        <f t="shared" si="209"/>
        <v>-120619.17803496431</v>
      </c>
      <c r="AU247">
        <f t="shared" si="210"/>
        <v>-93549.120622489238</v>
      </c>
      <c r="AV247">
        <f t="shared" si="198"/>
        <v>-2.4819239598772329</v>
      </c>
      <c r="AW247">
        <f t="shared" si="199"/>
        <v>-15456.317485271056</v>
      </c>
      <c r="AX247">
        <f t="shared" si="200"/>
        <v>-18425.640413292713</v>
      </c>
      <c r="AY247">
        <f t="shared" si="208"/>
        <v>-2.2687805332411632</v>
      </c>
      <c r="BA247">
        <f t="shared" si="184"/>
        <v>6.3469785293872274</v>
      </c>
      <c r="BB247">
        <f t="shared" si="201"/>
        <v>16.051340583627727</v>
      </c>
      <c r="BC247">
        <f t="shared" si="202"/>
        <v>-0.21314342663606967</v>
      </c>
      <c r="BD247">
        <f t="shared" si="185"/>
        <v>-192.21221879115757</v>
      </c>
      <c r="BF247">
        <f t="shared" si="186"/>
        <v>-20.160623700386413</v>
      </c>
      <c r="BG247">
        <f t="shared" si="187"/>
        <v>-157.28307248775997</v>
      </c>
      <c r="BH247">
        <f t="shared" si="203"/>
        <v>22.716927512240034</v>
      </c>
      <c r="BI247">
        <f t="shared" si="204"/>
        <v>22.716927512240034</v>
      </c>
      <c r="BJ247">
        <f t="shared" si="188"/>
        <v>0</v>
      </c>
      <c r="BK247">
        <f t="shared" si="205"/>
        <v>0</v>
      </c>
      <c r="BM247">
        <f t="shared" si="206"/>
        <v>-36.211964284014144</v>
      </c>
      <c r="BN247">
        <f t="shared" si="189"/>
        <v>-145.0708536966024</v>
      </c>
      <c r="BQ247" s="66">
        <f t="shared" si="207"/>
        <v>32.953301383912866</v>
      </c>
      <c r="BR247" s="71"/>
      <c r="BS247" s="71"/>
      <c r="BT247" s="71">
        <v>23442.288</v>
      </c>
      <c r="BU247" s="71">
        <v>-3.29522</v>
      </c>
      <c r="BV247" s="71">
        <v>-165.876</v>
      </c>
      <c r="BY247" s="71"/>
      <c r="BZ247" s="71"/>
      <c r="CA247" s="71"/>
      <c r="CC247" s="71"/>
    </row>
    <row r="248" spans="1:81" x14ac:dyDescent="0.15">
      <c r="A248">
        <f t="shared" si="211"/>
        <v>170000</v>
      </c>
      <c r="B248">
        <f t="shared" si="191"/>
        <v>170</v>
      </c>
      <c r="C248">
        <f t="shared" si="159"/>
        <v>1.2235143977651661</v>
      </c>
      <c r="D248">
        <f t="shared" si="160"/>
        <v>0.61405601748838301</v>
      </c>
      <c r="F248">
        <f t="shared" si="161"/>
        <v>8.0162246896112968E-4</v>
      </c>
      <c r="G248">
        <f t="shared" si="162"/>
        <v>9.2774838876157374E-3</v>
      </c>
      <c r="H248">
        <f t="shared" si="163"/>
        <v>-3.1323151661123845</v>
      </c>
      <c r="J248">
        <f t="shared" si="164"/>
        <v>15</v>
      </c>
      <c r="M248">
        <f t="shared" si="165"/>
        <v>5.6060212495158994E-3</v>
      </c>
      <c r="N248">
        <f t="shared" si="166"/>
        <v>-1.5707963250000001</v>
      </c>
      <c r="O248">
        <f t="shared" si="167"/>
        <v>72.266691690678059</v>
      </c>
      <c r="P248">
        <f t="shared" si="168"/>
        <v>1.5569582515668079</v>
      </c>
      <c r="Q248">
        <f t="shared" si="169"/>
        <v>32.71964138885258</v>
      </c>
      <c r="R248">
        <f t="shared" si="170"/>
        <v>1.5402288846527952</v>
      </c>
      <c r="S248">
        <f t="shared" si="171"/>
        <v>0.83456664359387589</v>
      </c>
      <c r="T248">
        <f t="shared" si="172"/>
        <v>-0.58345063440250655</v>
      </c>
      <c r="U248">
        <f t="shared" si="173"/>
        <v>0.61027694445007241</v>
      </c>
      <c r="V248">
        <f t="shared" si="174"/>
        <v>-0.91438618863682164</v>
      </c>
      <c r="X248">
        <f t="shared" si="192"/>
        <v>-20.058806819403948</v>
      </c>
      <c r="Y248">
        <f t="shared" si="175"/>
        <v>-142.64959808836792</v>
      </c>
      <c r="Z248">
        <f t="shared" si="193"/>
        <v>37.350401911632076</v>
      </c>
      <c r="AC248">
        <v>1</v>
      </c>
      <c r="AD248">
        <f t="shared" si="176"/>
        <v>72.259772542650012</v>
      </c>
      <c r="AE248">
        <f t="shared" si="177"/>
        <v>-1.1577549285843718E-2</v>
      </c>
      <c r="AF248">
        <f t="shared" si="178"/>
        <v>8.9189815333500008E-3</v>
      </c>
      <c r="AG248">
        <f t="shared" si="194"/>
        <v>2963.2113508329498</v>
      </c>
      <c r="AH248">
        <f t="shared" si="195"/>
        <v>-3958.6050634391981</v>
      </c>
      <c r="AJ248">
        <f t="shared" si="179"/>
        <v>20000</v>
      </c>
      <c r="AK248">
        <f t="shared" si="180"/>
        <v>13202.228952359999</v>
      </c>
      <c r="AL248">
        <v>1</v>
      </c>
      <c r="AM248">
        <f t="shared" si="181"/>
        <v>32.704356477617999</v>
      </c>
      <c r="AN248">
        <f t="shared" si="196"/>
        <v>421.98858594004457</v>
      </c>
      <c r="AO248">
        <f t="shared" si="197"/>
        <v>-598.6361917091574</v>
      </c>
      <c r="AQ248">
        <f t="shared" si="182"/>
        <v>8.6504442003096857E-2</v>
      </c>
      <c r="AR248">
        <f t="shared" si="183"/>
        <v>-29.411510281052934</v>
      </c>
      <c r="AT248">
        <f t="shared" si="209"/>
        <v>-116172.22257752913</v>
      </c>
      <c r="AU248">
        <f t="shared" si="210"/>
        <v>-87494.958032079492</v>
      </c>
      <c r="AV248">
        <f t="shared" si="198"/>
        <v>-2.4960794226700758</v>
      </c>
      <c r="AW248">
        <f t="shared" si="199"/>
        <v>-14478.912942250907</v>
      </c>
      <c r="AX248">
        <f t="shared" si="200"/>
        <v>-17924.495152955918</v>
      </c>
      <c r="AY248">
        <f t="shared" si="208"/>
        <v>-2.2502586175619363</v>
      </c>
      <c r="BA248">
        <f t="shared" si="184"/>
        <v>6.3117806404675587</v>
      </c>
      <c r="BB248">
        <f t="shared" si="201"/>
        <v>16.003037939990776</v>
      </c>
      <c r="BC248">
        <f t="shared" si="202"/>
        <v>-0.24582080510813942</v>
      </c>
      <c r="BD248">
        <f t="shared" si="185"/>
        <v>-194.08449466529822</v>
      </c>
      <c r="BF248">
        <f t="shared" si="186"/>
        <v>-20.643557559145734</v>
      </c>
      <c r="BG248">
        <f t="shared" si="187"/>
        <v>-158.37011576653177</v>
      </c>
      <c r="BH248">
        <f t="shared" si="203"/>
        <v>21.629884233468232</v>
      </c>
      <c r="BI248">
        <f t="shared" si="204"/>
        <v>21.629884233468232</v>
      </c>
      <c r="BJ248">
        <f t="shared" si="188"/>
        <v>0</v>
      </c>
      <c r="BK248">
        <f t="shared" si="205"/>
        <v>0</v>
      </c>
      <c r="BM248">
        <f t="shared" si="206"/>
        <v>-36.646595499136509</v>
      </c>
      <c r="BN248">
        <f t="shared" si="189"/>
        <v>-144.28562110123355</v>
      </c>
      <c r="BQ248" s="66">
        <f t="shared" si="207"/>
        <v>32.904998740275914</v>
      </c>
      <c r="BR248" s="71"/>
      <c r="BS248" s="71"/>
      <c r="BT248" s="71">
        <v>23988.329000000002</v>
      </c>
      <c r="BU248" s="71">
        <v>-3.2437399999999998</v>
      </c>
      <c r="BV248" s="71">
        <v>-164.703</v>
      </c>
      <c r="BY248" s="71"/>
      <c r="BZ248" s="71"/>
      <c r="CA248" s="71"/>
      <c r="CC248" s="71"/>
    </row>
    <row r="249" spans="1:81" x14ac:dyDescent="0.15">
      <c r="A249">
        <f t="shared" si="211"/>
        <v>175000</v>
      </c>
      <c r="B249">
        <f t="shared" si="191"/>
        <v>175</v>
      </c>
      <c r="C249">
        <f t="shared" si="159"/>
        <v>1.2355775812319332</v>
      </c>
      <c r="D249">
        <f t="shared" si="160"/>
        <v>0.62777204416397991</v>
      </c>
      <c r="F249">
        <f t="shared" si="161"/>
        <v>7.5643697890498179E-4</v>
      </c>
      <c r="G249">
        <f t="shared" si="162"/>
        <v>9.0120139312488811E-3</v>
      </c>
      <c r="H249">
        <f t="shared" si="163"/>
        <v>-3.1325806360687514</v>
      </c>
      <c r="J249">
        <f t="shared" si="164"/>
        <v>15</v>
      </c>
      <c r="M249">
        <f t="shared" si="165"/>
        <v>5.4458492138154445E-3</v>
      </c>
      <c r="N249">
        <f t="shared" si="166"/>
        <v>-1.5707963250000001</v>
      </c>
      <c r="O249">
        <f t="shared" si="167"/>
        <v>74.391781446583778</v>
      </c>
      <c r="P249">
        <f t="shared" si="168"/>
        <v>1.5573535768148574</v>
      </c>
      <c r="Q249">
        <f t="shared" si="169"/>
        <v>33.681097710034159</v>
      </c>
      <c r="R249">
        <f t="shared" si="170"/>
        <v>1.5411017192928091</v>
      </c>
      <c r="S249">
        <f t="shared" si="171"/>
        <v>0.82710856888612838</v>
      </c>
      <c r="T249">
        <f t="shared" si="172"/>
        <v>-0.59685279726984364</v>
      </c>
      <c r="U249">
        <f t="shared" si="173"/>
        <v>0.59915838400465793</v>
      </c>
      <c r="V249">
        <f t="shared" si="174"/>
        <v>-0.9283468234868657</v>
      </c>
      <c r="X249">
        <f t="shared" si="192"/>
        <v>-20.463700009585814</v>
      </c>
      <c r="Y249">
        <f t="shared" si="175"/>
        <v>-143.3740505726249</v>
      </c>
      <c r="Z249">
        <f t="shared" si="193"/>
        <v>36.625949427375105</v>
      </c>
      <c r="AC249">
        <v>1</v>
      </c>
      <c r="AD249">
        <f t="shared" si="176"/>
        <v>74.385059970375011</v>
      </c>
      <c r="AE249">
        <f t="shared" si="177"/>
        <v>-1.2268596777818814E-2</v>
      </c>
      <c r="AF249">
        <f t="shared" si="178"/>
        <v>9.1813045196250005E-3</v>
      </c>
      <c r="AG249">
        <f t="shared" si="194"/>
        <v>2856.2221572038075</v>
      </c>
      <c r="AH249">
        <f t="shared" si="195"/>
        <v>-3925.5682977910219</v>
      </c>
      <c r="AJ249">
        <f t="shared" si="179"/>
        <v>20000</v>
      </c>
      <c r="AK249">
        <f t="shared" si="180"/>
        <v>13590.529803900001</v>
      </c>
      <c r="AL249">
        <v>1</v>
      </c>
      <c r="AM249">
        <f t="shared" si="181"/>
        <v>33.666249315194996</v>
      </c>
      <c r="AN249">
        <f t="shared" si="196"/>
        <v>420.95846703041224</v>
      </c>
      <c r="AO249">
        <f t="shared" si="197"/>
        <v>-581.56289848815265</v>
      </c>
      <c r="AQ249">
        <f t="shared" si="182"/>
        <v>8.1631986677659779E-2</v>
      </c>
      <c r="AR249">
        <f t="shared" si="183"/>
        <v>-28.571195337180921</v>
      </c>
      <c r="AT249">
        <f t="shared" si="209"/>
        <v>-111925.01955654679</v>
      </c>
      <c r="AU249">
        <f t="shared" si="210"/>
        <v>-81926.133118841768</v>
      </c>
      <c r="AV249">
        <f t="shared" si="198"/>
        <v>-2.5097287651791587</v>
      </c>
      <c r="AW249">
        <f t="shared" si="199"/>
        <v>-13588.064042234393</v>
      </c>
      <c r="AX249">
        <f t="shared" si="200"/>
        <v>-17451.705109376264</v>
      </c>
      <c r="AY249">
        <f t="shared" si="208"/>
        <v>-2.2323575370179278</v>
      </c>
      <c r="BA249">
        <f t="shared" si="184"/>
        <v>6.2711946079272041</v>
      </c>
      <c r="BB249">
        <f t="shared" si="201"/>
        <v>15.947005560515883</v>
      </c>
      <c r="BC249">
        <f t="shared" si="202"/>
        <v>-0.27737122816123083</v>
      </c>
      <c r="BD249">
        <f t="shared" si="185"/>
        <v>-195.89220075015822</v>
      </c>
      <c r="BF249">
        <f t="shared" si="186"/>
        <v>-21.118313835183148</v>
      </c>
      <c r="BG249">
        <f t="shared" si="187"/>
        <v>-159.40716171839796</v>
      </c>
      <c r="BH249">
        <f t="shared" si="203"/>
        <v>20.592838281602042</v>
      </c>
      <c r="BI249">
        <f t="shared" si="204"/>
        <v>20.592838281602042</v>
      </c>
      <c r="BJ249">
        <f t="shared" si="188"/>
        <v>0</v>
      </c>
      <c r="BK249">
        <f t="shared" si="205"/>
        <v>0</v>
      </c>
      <c r="BM249">
        <f t="shared" si="206"/>
        <v>-37.065319395699035</v>
      </c>
      <c r="BN249">
        <f t="shared" si="189"/>
        <v>-143.51496096823976</v>
      </c>
      <c r="BQ249" s="66">
        <f t="shared" si="207"/>
        <v>32.848966360801015</v>
      </c>
      <c r="BR249" s="71"/>
      <c r="BS249" s="71"/>
      <c r="BT249" s="71">
        <v>24547.089</v>
      </c>
      <c r="BU249" s="71">
        <v>-3.1709299999999998</v>
      </c>
      <c r="BV249" s="71">
        <v>-163.65100000000001</v>
      </c>
      <c r="BY249" s="71"/>
      <c r="BZ249" s="71"/>
      <c r="CA249" s="71"/>
      <c r="CC249" s="71"/>
    </row>
    <row r="250" spans="1:81" x14ac:dyDescent="0.15">
      <c r="A250">
        <f t="shared" si="211"/>
        <v>180000</v>
      </c>
      <c r="B250">
        <f t="shared" si="191"/>
        <v>180</v>
      </c>
      <c r="C250">
        <f t="shared" si="159"/>
        <v>1.2478686937657781</v>
      </c>
      <c r="D250">
        <f t="shared" si="160"/>
        <v>0.64122036277435768</v>
      </c>
      <c r="F250">
        <f t="shared" si="161"/>
        <v>7.1496785224491955E-4</v>
      </c>
      <c r="G250">
        <f t="shared" si="162"/>
        <v>8.7613242092020385E-3</v>
      </c>
      <c r="H250">
        <f t="shared" si="163"/>
        <v>-3.1328313257907983</v>
      </c>
      <c r="J250">
        <f t="shared" si="164"/>
        <v>15</v>
      </c>
      <c r="M250">
        <f t="shared" si="165"/>
        <v>5.2945756245427935E-3</v>
      </c>
      <c r="N250">
        <f t="shared" si="166"/>
        <v>-1.5707963250000001</v>
      </c>
      <c r="O250">
        <f t="shared" si="167"/>
        <v>76.516882182809496</v>
      </c>
      <c r="P250">
        <f t="shared" si="168"/>
        <v>1.5577269434095615</v>
      </c>
      <c r="Q250">
        <f t="shared" si="169"/>
        <v>34.642578266528972</v>
      </c>
      <c r="R250">
        <f t="shared" si="170"/>
        <v>1.5419261047009014</v>
      </c>
      <c r="S250">
        <f t="shared" si="171"/>
        <v>0.81963929275288894</v>
      </c>
      <c r="T250">
        <f t="shared" si="172"/>
        <v>-0.61001523039469652</v>
      </c>
      <c r="U250">
        <f t="shared" si="173"/>
        <v>0.58832913835229428</v>
      </c>
      <c r="V250">
        <f t="shared" si="174"/>
        <v>-0.94180535161975032</v>
      </c>
      <c r="X250">
        <f t="shared" si="192"/>
        <v>-20.860231606649563</v>
      </c>
      <c r="Y250">
        <f t="shared" si="175"/>
        <v>-144.07452473052999</v>
      </c>
      <c r="Z250">
        <f t="shared" si="193"/>
        <v>35.925475269470013</v>
      </c>
      <c r="AC250">
        <v>1</v>
      </c>
      <c r="AD250">
        <f t="shared" si="176"/>
        <v>76.510347398100009</v>
      </c>
      <c r="AE250">
        <f t="shared" si="177"/>
        <v>-1.2979674631880152E-2</v>
      </c>
      <c r="AF250">
        <f t="shared" si="178"/>
        <v>9.4436275059000003E-3</v>
      </c>
      <c r="AG250">
        <f t="shared" si="194"/>
        <v>2753.9079454524249</v>
      </c>
      <c r="AH250">
        <f t="shared" si="195"/>
        <v>-3890.965529418153</v>
      </c>
      <c r="AJ250">
        <f t="shared" si="179"/>
        <v>20000</v>
      </c>
      <c r="AK250">
        <f t="shared" si="180"/>
        <v>13978.830655439999</v>
      </c>
      <c r="AL250">
        <v>1</v>
      </c>
      <c r="AM250">
        <f t="shared" si="181"/>
        <v>34.628142152772</v>
      </c>
      <c r="AN250">
        <f t="shared" si="196"/>
        <v>420.01289792507384</v>
      </c>
      <c r="AO250">
        <f t="shared" si="197"/>
        <v>-565.43567990717452</v>
      </c>
      <c r="AQ250">
        <f t="shared" si="182"/>
        <v>7.7159898457573636E-2</v>
      </c>
      <c r="AR250">
        <f t="shared" si="183"/>
        <v>-27.777563444726507</v>
      </c>
      <c r="AT250">
        <f t="shared" si="209"/>
        <v>-107869.05059722399</v>
      </c>
      <c r="AU250">
        <f t="shared" si="210"/>
        <v>-76797.079180892979</v>
      </c>
      <c r="AV250">
        <f t="shared" si="198"/>
        <v>-2.5228932911666613</v>
      </c>
      <c r="AW250">
        <f t="shared" si="199"/>
        <v>-12773.992620845152</v>
      </c>
      <c r="AX250">
        <f t="shared" si="200"/>
        <v>-17004.71113749842</v>
      </c>
      <c r="AY250">
        <f t="shared" si="208"/>
        <v>-2.2150670088609177</v>
      </c>
      <c r="BA250">
        <f t="shared" si="184"/>
        <v>6.2259332510984793</v>
      </c>
      <c r="BB250">
        <f t="shared" si="201"/>
        <v>15.884089205069994</v>
      </c>
      <c r="BC250">
        <f t="shared" si="202"/>
        <v>-0.3078262823057436</v>
      </c>
      <c r="BD250">
        <f t="shared" si="185"/>
        <v>-197.63714681947511</v>
      </c>
      <c r="BF250">
        <f t="shared" si="186"/>
        <v>-21.584977533146951</v>
      </c>
      <c r="BG250">
        <f t="shared" si="187"/>
        <v>-160.39593935196947</v>
      </c>
      <c r="BH250">
        <f t="shared" si="203"/>
        <v>19.604060648030526</v>
      </c>
      <c r="BI250">
        <f t="shared" si="204"/>
        <v>19.604060648030526</v>
      </c>
      <c r="BJ250">
        <f t="shared" si="188"/>
        <v>0</v>
      </c>
      <c r="BK250">
        <f t="shared" si="205"/>
        <v>0</v>
      </c>
      <c r="BM250">
        <f t="shared" si="206"/>
        <v>-37.469066738216938</v>
      </c>
      <c r="BN250">
        <f t="shared" si="189"/>
        <v>-142.7587925324944</v>
      </c>
      <c r="BQ250" s="66">
        <f t="shared" si="207"/>
        <v>32.786050005355129</v>
      </c>
      <c r="BR250" s="71"/>
      <c r="BS250" s="71"/>
      <c r="BT250" s="71">
        <v>25118.864000000001</v>
      </c>
      <c r="BU250" s="71">
        <v>-3.1069800000000001</v>
      </c>
      <c r="BV250" s="71">
        <v>-162.52199999999999</v>
      </c>
      <c r="BY250" s="71"/>
      <c r="BZ250" s="71"/>
      <c r="CA250" s="71"/>
      <c r="CC250" s="71"/>
    </row>
    <row r="251" spans="1:81" x14ac:dyDescent="0.15">
      <c r="A251">
        <f t="shared" si="211"/>
        <v>185000</v>
      </c>
      <c r="B251">
        <f t="shared" si="191"/>
        <v>185</v>
      </c>
      <c r="C251">
        <f t="shared" si="159"/>
        <v>1.260381067158628</v>
      </c>
      <c r="D251">
        <f t="shared" si="160"/>
        <v>0.65440401166622619</v>
      </c>
      <c r="F251">
        <f t="shared" si="161"/>
        <v>6.7681835836159521E-4</v>
      </c>
      <c r="G251">
        <f t="shared" si="162"/>
        <v>8.5242130104502562E-3</v>
      </c>
      <c r="H251">
        <f t="shared" si="163"/>
        <v>-3.1330684369895501</v>
      </c>
      <c r="J251">
        <f t="shared" si="164"/>
        <v>15</v>
      </c>
      <c r="M251">
        <f t="shared" si="165"/>
        <v>5.1514789860416365E-3</v>
      </c>
      <c r="N251">
        <f t="shared" si="166"/>
        <v>-1.5707963250000001</v>
      </c>
      <c r="O251">
        <f t="shared" si="167"/>
        <v>78.641993009209159</v>
      </c>
      <c r="P251">
        <f t="shared" si="168"/>
        <v>1.5580801313818138</v>
      </c>
      <c r="Q251">
        <f t="shared" si="169"/>
        <v>35.604081094928802</v>
      </c>
      <c r="R251">
        <f t="shared" si="170"/>
        <v>1.5427059648825503</v>
      </c>
      <c r="S251">
        <f t="shared" si="171"/>
        <v>0.81216677443688323</v>
      </c>
      <c r="T251">
        <f t="shared" si="172"/>
        <v>-0.6229398695586178</v>
      </c>
      <c r="U251">
        <f t="shared" si="173"/>
        <v>0.57778526325299673</v>
      </c>
      <c r="V251">
        <f t="shared" si="174"/>
        <v>-0.95478376096429418</v>
      </c>
      <c r="X251">
        <f t="shared" si="192"/>
        <v>-21.248736705082329</v>
      </c>
      <c r="Y251">
        <f t="shared" si="175"/>
        <v>-144.75195924103556</v>
      </c>
      <c r="Z251">
        <f t="shared" si="193"/>
        <v>35.248040758964436</v>
      </c>
      <c r="AC251">
        <v>1</v>
      </c>
      <c r="AD251">
        <f t="shared" si="176"/>
        <v>78.635634825825008</v>
      </c>
      <c r="AE251">
        <f t="shared" si="177"/>
        <v>-1.3710782848027722E-2</v>
      </c>
      <c r="AF251">
        <f t="shared" si="178"/>
        <v>9.7059504921750018E-3</v>
      </c>
      <c r="AG251">
        <f t="shared" si="194"/>
        <v>2656.0828874628573</v>
      </c>
      <c r="AH251">
        <f t="shared" si="195"/>
        <v>-3855.0552804211702</v>
      </c>
      <c r="AJ251">
        <f t="shared" si="179"/>
        <v>20000</v>
      </c>
      <c r="AK251">
        <f t="shared" si="180"/>
        <v>14367.13150698</v>
      </c>
      <c r="AL251">
        <v>1</v>
      </c>
      <c r="AM251">
        <f t="shared" si="181"/>
        <v>35.590034990348997</v>
      </c>
      <c r="AN251">
        <f t="shared" si="196"/>
        <v>419.1428749990946</v>
      </c>
      <c r="AO251">
        <f t="shared" si="197"/>
        <v>-550.17808019325287</v>
      </c>
      <c r="AQ251">
        <f t="shared" si="182"/>
        <v>7.3045485423773385E-2</v>
      </c>
      <c r="AR251">
        <f t="shared" si="183"/>
        <v>-27.026829606796152</v>
      </c>
      <c r="AT251">
        <f t="shared" si="209"/>
        <v>-103995.90732488222</v>
      </c>
      <c r="AU251">
        <f t="shared" si="210"/>
        <v>-72067.094005279607</v>
      </c>
      <c r="AV251">
        <f t="shared" si="198"/>
        <v>-2.5355935870502644</v>
      </c>
      <c r="AW251">
        <f t="shared" si="199"/>
        <v>-12028.245252126746</v>
      </c>
      <c r="AX251">
        <f t="shared" si="200"/>
        <v>-16581.273052615692</v>
      </c>
      <c r="AY251">
        <f t="shared" si="208"/>
        <v>-2.1983741560950953</v>
      </c>
      <c r="BA251">
        <f t="shared" si="184"/>
        <v>6.1766486455721568</v>
      </c>
      <c r="BB251">
        <f t="shared" si="201"/>
        <v>15.815057949923222</v>
      </c>
      <c r="BC251">
        <f t="shared" si="202"/>
        <v>-0.33721943095516904</v>
      </c>
      <c r="BD251">
        <f t="shared" si="185"/>
        <v>-199.3212501856122</v>
      </c>
      <c r="BF251">
        <f t="shared" si="186"/>
        <v>-22.043636848968141</v>
      </c>
      <c r="BG251">
        <f t="shared" si="187"/>
        <v>-161.33826074813635</v>
      </c>
      <c r="BH251">
        <f t="shared" si="203"/>
        <v>18.661739251863651</v>
      </c>
      <c r="BI251">
        <f t="shared" si="204"/>
        <v>18.661739251863651</v>
      </c>
      <c r="BJ251">
        <f t="shared" si="188"/>
        <v>0</v>
      </c>
      <c r="BK251">
        <f t="shared" si="205"/>
        <v>0</v>
      </c>
      <c r="BM251">
        <f t="shared" si="206"/>
        <v>-37.858694798891364</v>
      </c>
      <c r="BN251">
        <f t="shared" si="189"/>
        <v>-142.01701056252415</v>
      </c>
      <c r="BQ251" s="66">
        <f t="shared" si="207"/>
        <v>32.717018750208361</v>
      </c>
      <c r="BR251" s="71"/>
      <c r="BS251" s="71"/>
      <c r="BT251" s="71">
        <v>25703.957999999999</v>
      </c>
      <c r="BU251" s="71">
        <v>-3.0172699999999999</v>
      </c>
      <c r="BV251" s="71">
        <v>-161.32599999999999</v>
      </c>
      <c r="BY251" s="71"/>
      <c r="BZ251" s="71"/>
      <c r="CA251" s="71"/>
      <c r="CC251" s="71"/>
    </row>
    <row r="252" spans="1:81" x14ac:dyDescent="0.15">
      <c r="A252">
        <f t="shared" si="211"/>
        <v>190000</v>
      </c>
      <c r="B252">
        <f t="shared" si="191"/>
        <v>190</v>
      </c>
      <c r="C252">
        <f t="shared" si="159"/>
        <v>1.2731081776332256</v>
      </c>
      <c r="D252">
        <f t="shared" si="160"/>
        <v>0.66732627883948348</v>
      </c>
      <c r="F252">
        <f t="shared" si="161"/>
        <v>6.4164333781499539E-4</v>
      </c>
      <c r="G252">
        <f t="shared" si="162"/>
        <v>8.2996055392629293E-3</v>
      </c>
      <c r="H252">
        <f t="shared" si="163"/>
        <v>-3.1332930444607374</v>
      </c>
      <c r="J252">
        <f t="shared" si="164"/>
        <v>15</v>
      </c>
      <c r="M252">
        <f t="shared" si="165"/>
        <v>5.0159137495668568E-3</v>
      </c>
      <c r="N252">
        <f t="shared" si="166"/>
        <v>-1.5707963250000001</v>
      </c>
      <c r="O252">
        <f t="shared" si="167"/>
        <v>80.767113129317366</v>
      </c>
      <c r="P252">
        <f t="shared" si="168"/>
        <v>1.5584147334414464</v>
      </c>
      <c r="Q252">
        <f t="shared" si="169"/>
        <v>36.565604438295722</v>
      </c>
      <c r="R252">
        <f t="shared" si="170"/>
        <v>1.5434448113344077</v>
      </c>
      <c r="S252">
        <f t="shared" si="171"/>
        <v>0.80469848852797665</v>
      </c>
      <c r="T252">
        <f t="shared" si="172"/>
        <v>-0.63562889902684461</v>
      </c>
      <c r="U252">
        <f t="shared" si="173"/>
        <v>0.56752206860729815</v>
      </c>
      <c r="V252">
        <f t="shared" si="174"/>
        <v>-0.96730314657745464</v>
      </c>
      <c r="X252">
        <f t="shared" si="192"/>
        <v>-21.629528542935745</v>
      </c>
      <c r="Y252">
        <f t="shared" si="175"/>
        <v>-145.40726865430685</v>
      </c>
      <c r="Z252">
        <f t="shared" si="193"/>
        <v>34.592731345693153</v>
      </c>
      <c r="AC252">
        <v>1</v>
      </c>
      <c r="AD252">
        <f t="shared" si="176"/>
        <v>80.760922253550007</v>
      </c>
      <c r="AE252">
        <f t="shared" si="177"/>
        <v>-1.4461921426261529E-2</v>
      </c>
      <c r="AF252">
        <f t="shared" si="178"/>
        <v>9.9682734784500016E-3</v>
      </c>
      <c r="AG252">
        <f t="shared" si="194"/>
        <v>2562.5609901709504</v>
      </c>
      <c r="AH252">
        <f t="shared" si="195"/>
        <v>-3818.0689737430057</v>
      </c>
      <c r="AJ252">
        <f t="shared" si="179"/>
        <v>20000</v>
      </c>
      <c r="AK252">
        <f t="shared" si="180"/>
        <v>14755.432358520002</v>
      </c>
      <c r="AL252">
        <v>1</v>
      </c>
      <c r="AM252">
        <f t="shared" si="181"/>
        <v>36.551927827926001</v>
      </c>
      <c r="AN252">
        <f t="shared" si="196"/>
        <v>418.34056168326737</v>
      </c>
      <c r="AO252">
        <f t="shared" si="197"/>
        <v>-535.72165962081408</v>
      </c>
      <c r="AQ252">
        <f t="shared" si="182"/>
        <v>6.92515979806234E-2</v>
      </c>
      <c r="AR252">
        <f t="shared" si="183"/>
        <v>-26.315607232636893</v>
      </c>
      <c r="AT252">
        <f t="shared" si="209"/>
        <v>-100297.34205664581</v>
      </c>
      <c r="AU252">
        <f t="shared" si="210"/>
        <v>-67699.755904647755</v>
      </c>
      <c r="AV252">
        <f t="shared" si="198"/>
        <v>-2.5478494938531515</v>
      </c>
      <c r="AW252">
        <f t="shared" si="199"/>
        <v>-11343.485725182796</v>
      </c>
      <c r="AX252">
        <f t="shared" si="200"/>
        <v>-16179.420168311161</v>
      </c>
      <c r="AY252">
        <f t="shared" si="208"/>
        <v>-2.1822640701145359</v>
      </c>
      <c r="BA252">
        <f t="shared" si="184"/>
        <v>6.1239339565376092</v>
      </c>
      <c r="BB252">
        <f t="shared" si="201"/>
        <v>15.740609968199376</v>
      </c>
      <c r="BC252">
        <f t="shared" si="202"/>
        <v>-0.36558542373861558</v>
      </c>
      <c r="BD252">
        <f t="shared" si="185"/>
        <v>-200.94650185565936</v>
      </c>
      <c r="BF252">
        <f t="shared" si="186"/>
        <v>-22.494384908192838</v>
      </c>
      <c r="BG252">
        <f t="shared" si="187"/>
        <v>-162.23599010673024</v>
      </c>
      <c r="BH252">
        <f t="shared" si="203"/>
        <v>17.764009893269758</v>
      </c>
      <c r="BI252">
        <f t="shared" si="204"/>
        <v>17.764009893269758</v>
      </c>
      <c r="BJ252">
        <f t="shared" si="188"/>
        <v>0</v>
      </c>
      <c r="BK252">
        <f t="shared" si="205"/>
        <v>0</v>
      </c>
      <c r="BM252">
        <f t="shared" si="206"/>
        <v>-38.234994876392214</v>
      </c>
      <c r="BN252">
        <f t="shared" si="189"/>
        <v>-141.28948825107088</v>
      </c>
      <c r="BQ252" s="66">
        <f t="shared" si="207"/>
        <v>32.642570768484511</v>
      </c>
      <c r="BR252" s="71"/>
      <c r="BS252" s="71"/>
      <c r="BT252" s="71">
        <v>26302.68</v>
      </c>
      <c r="BU252" s="71">
        <v>-2.9494799999999999</v>
      </c>
      <c r="BV252" s="71">
        <v>-160.22999999999999</v>
      </c>
      <c r="BY252" s="71"/>
      <c r="BZ252" s="71"/>
      <c r="CA252" s="71"/>
      <c r="CC252" s="71"/>
    </row>
    <row r="253" spans="1:81" x14ac:dyDescent="0.15">
      <c r="A253">
        <f t="shared" si="211"/>
        <v>195000</v>
      </c>
      <c r="B253">
        <f t="shared" si="191"/>
        <v>195</v>
      </c>
      <c r="C253">
        <f t="shared" si="159"/>
        <v>1.2860436498792416</v>
      </c>
      <c r="D253">
        <f t="shared" si="160"/>
        <v>0.67999067244750577</v>
      </c>
      <c r="F253">
        <f t="shared" si="161"/>
        <v>6.0914136060921426E-4</v>
      </c>
      <c r="G253">
        <f t="shared" si="162"/>
        <v>8.0865375818770357E-3</v>
      </c>
      <c r="H253">
        <f t="shared" si="163"/>
        <v>-3.1335061124181234</v>
      </c>
      <c r="J253">
        <f t="shared" si="164"/>
        <v>15</v>
      </c>
      <c r="M253">
        <f t="shared" si="165"/>
        <v>4.8873005765010394E-3</v>
      </c>
      <c r="N253">
        <f t="shared" si="166"/>
        <v>-1.5707963250000001</v>
      </c>
      <c r="O253">
        <f t="shared" si="167"/>
        <v>82.892241828341724</v>
      </c>
      <c r="P253">
        <f t="shared" si="168"/>
        <v>1.5587321789852635</v>
      </c>
      <c r="Q253">
        <f t="shared" si="169"/>
        <v>37.527146719721713</v>
      </c>
      <c r="R253">
        <f t="shared" si="170"/>
        <v>1.5441457958495932</v>
      </c>
      <c r="S253">
        <f t="shared" si="171"/>
        <v>0.79724143449617335</v>
      </c>
      <c r="T253">
        <f t="shared" si="172"/>
        <v>-0.64808472766615721</v>
      </c>
      <c r="U253">
        <f t="shared" si="173"/>
        <v>0.55753426475990842</v>
      </c>
      <c r="V253">
        <f t="shared" si="174"/>
        <v>-0.97938371411498293</v>
      </c>
      <c r="X253">
        <f t="shared" si="192"/>
        <v>-22.002900744994211</v>
      </c>
      <c r="Y253">
        <f t="shared" si="175"/>
        <v>-146.04134044719072</v>
      </c>
      <c r="Z253">
        <f t="shared" si="193"/>
        <v>33.95865955280928</v>
      </c>
      <c r="AC253">
        <v>1</v>
      </c>
      <c r="AD253">
        <f t="shared" si="176"/>
        <v>82.886209681275005</v>
      </c>
      <c r="AE253">
        <f t="shared" si="177"/>
        <v>-1.5233090366581565E-2</v>
      </c>
      <c r="AF253">
        <f t="shared" si="178"/>
        <v>1.0230596464725001E-2</v>
      </c>
      <c r="AG253">
        <f t="shared" si="194"/>
        <v>2473.1578082891233</v>
      </c>
      <c r="AH253">
        <f t="shared" si="195"/>
        <v>-3780.2132571480101</v>
      </c>
      <c r="AJ253">
        <f t="shared" si="179"/>
        <v>20000</v>
      </c>
      <c r="AK253">
        <f t="shared" si="180"/>
        <v>15143.73321006</v>
      </c>
      <c r="AL253">
        <v>1</v>
      </c>
      <c r="AM253">
        <f t="shared" si="181"/>
        <v>37.513820665502998</v>
      </c>
      <c r="AN253">
        <f t="shared" si="196"/>
        <v>417.59911157208779</v>
      </c>
      <c r="AO253">
        <f t="shared" si="197"/>
        <v>-522.00497152868036</v>
      </c>
      <c r="AQ253">
        <f t="shared" si="182"/>
        <v>6.5745787338676268E-2</v>
      </c>
      <c r="AR253">
        <f t="shared" si="183"/>
        <v>-25.640857062083747</v>
      </c>
      <c r="AT253">
        <f t="shared" si="209"/>
        <v>-96765.308083407392</v>
      </c>
      <c r="AU253">
        <f t="shared" si="210"/>
        <v>-63662.418951217027</v>
      </c>
      <c r="AV253">
        <f t="shared" si="198"/>
        <v>-2.5596800917747222</v>
      </c>
      <c r="AW253">
        <f t="shared" si="199"/>
        <v>-10713.324231085116</v>
      </c>
      <c r="AX253">
        <f t="shared" si="200"/>
        <v>-15797.410757470596</v>
      </c>
      <c r="AY253">
        <f t="shared" si="208"/>
        <v>-2.1667202997406378</v>
      </c>
      <c r="BA253">
        <f t="shared" si="184"/>
        <v>6.0683260127654197</v>
      </c>
      <c r="BB253">
        <f t="shared" si="201"/>
        <v>15.661378092728055</v>
      </c>
      <c r="BC253">
        <f t="shared" si="202"/>
        <v>-0.39295979203408438</v>
      </c>
      <c r="BD253">
        <f t="shared" si="185"/>
        <v>-202.51493762761865</v>
      </c>
      <c r="BF253">
        <f t="shared" si="186"/>
        <v>-22.937320759088728</v>
      </c>
      <c r="BG253">
        <f t="shared" si="187"/>
        <v>-163.0910174687499</v>
      </c>
      <c r="BH253">
        <f t="shared" si="203"/>
        <v>16.908982531250103</v>
      </c>
      <c r="BI253">
        <f t="shared" si="204"/>
        <v>16.908982531250103</v>
      </c>
      <c r="BJ253">
        <f t="shared" si="188"/>
        <v>0</v>
      </c>
      <c r="BK253">
        <f t="shared" si="205"/>
        <v>0</v>
      </c>
      <c r="BM253">
        <f t="shared" si="206"/>
        <v>-38.598698851816785</v>
      </c>
      <c r="BN253">
        <f t="shared" si="189"/>
        <v>-140.57607984113127</v>
      </c>
      <c r="BQ253" s="66">
        <f t="shared" si="207"/>
        <v>32.563338893013196</v>
      </c>
      <c r="BR253" s="71"/>
      <c r="BS253" s="71"/>
      <c r="BT253" s="71">
        <v>26915.348000000002</v>
      </c>
      <c r="BU253" s="71">
        <v>-2.8411300000000002</v>
      </c>
      <c r="BV253" s="71">
        <v>-159.27600000000001</v>
      </c>
      <c r="BY253" s="71"/>
      <c r="BZ253" s="71"/>
      <c r="CA253" s="71"/>
      <c r="CC253" s="71"/>
    </row>
    <row r="254" spans="1:81" x14ac:dyDescent="0.15">
      <c r="A254">
        <f t="shared" si="211"/>
        <v>200000</v>
      </c>
      <c r="B254">
        <f t="shared" si="191"/>
        <v>200</v>
      </c>
      <c r="C254">
        <f t="shared" si="159"/>
        <v>1.2991812601659198</v>
      </c>
      <c r="D254">
        <f t="shared" si="160"/>
        <v>0.69240089297259244</v>
      </c>
      <c r="F254">
        <f t="shared" si="161"/>
        <v>5.7904824136730437E-4</v>
      </c>
      <c r="G254">
        <f t="shared" si="162"/>
        <v>7.884141633651939E-3</v>
      </c>
      <c r="H254">
        <f t="shared" si="163"/>
        <v>-3.1337085083663481</v>
      </c>
      <c r="J254">
        <f t="shared" si="164"/>
        <v>15</v>
      </c>
      <c r="M254">
        <f t="shared" si="165"/>
        <v>4.7651180620885136E-3</v>
      </c>
      <c r="N254">
        <f t="shared" si="166"/>
        <v>-1.5707963250000001</v>
      </c>
      <c r="O254">
        <f t="shared" si="167"/>
        <v>85.017378462956131</v>
      </c>
      <c r="P254">
        <f t="shared" si="168"/>
        <v>1.5590337545051332</v>
      </c>
      <c r="Q254">
        <f t="shared" si="169"/>
        <v>38.488706519849345</v>
      </c>
      <c r="R254">
        <f t="shared" si="170"/>
        <v>1.5448117554157297</v>
      </c>
      <c r="S254">
        <f t="shared" si="171"/>
        <v>0.78980214811407967</v>
      </c>
      <c r="T254">
        <f t="shared" si="172"/>
        <v>-0.66030996609356563</v>
      </c>
      <c r="U254">
        <f t="shared" si="173"/>
        <v>0.5478160891427073</v>
      </c>
      <c r="V254">
        <f t="shared" si="174"/>
        <v>-0.99104479065086448</v>
      </c>
      <c r="X254">
        <f t="shared" si="192"/>
        <v>-22.369129240426329</v>
      </c>
      <c r="Y254">
        <f t="shared" si="175"/>
        <v>-146.65503298115942</v>
      </c>
      <c r="Z254">
        <f t="shared" si="193"/>
        <v>33.344967018840578</v>
      </c>
      <c r="AC254">
        <v>1</v>
      </c>
      <c r="AD254">
        <f t="shared" si="176"/>
        <v>85.011497109000018</v>
      </c>
      <c r="AE254">
        <f t="shared" si="177"/>
        <v>-1.6024289668987841E-2</v>
      </c>
      <c r="AF254">
        <f t="shared" si="178"/>
        <v>1.0492919451000001E-2</v>
      </c>
      <c r="AG254">
        <f t="shared" si="194"/>
        <v>2387.6918040714627</v>
      </c>
      <c r="AH254">
        <f t="shared" si="195"/>
        <v>-3741.6722097268748</v>
      </c>
      <c r="AJ254">
        <f t="shared" si="179"/>
        <v>20000</v>
      </c>
      <c r="AK254">
        <f t="shared" si="180"/>
        <v>15532.034061600001</v>
      </c>
      <c r="AL254">
        <v>1</v>
      </c>
      <c r="AM254">
        <f t="shared" si="181"/>
        <v>38.475713503080001</v>
      </c>
      <c r="AN254">
        <f t="shared" si="196"/>
        <v>416.91252203309199</v>
      </c>
      <c r="AO254">
        <f t="shared" si="197"/>
        <v>-508.97269199177487</v>
      </c>
      <c r="AQ254">
        <f t="shared" si="182"/>
        <v>6.2499609377441388E-2</v>
      </c>
      <c r="AR254">
        <f t="shared" si="183"/>
        <v>-24.999843750976556</v>
      </c>
      <c r="AT254">
        <f t="shared" si="209"/>
        <v>-93391.990805474867</v>
      </c>
      <c r="AU254">
        <f t="shared" si="210"/>
        <v>-59925.775078800252</v>
      </c>
      <c r="AV254">
        <f t="shared" si="198"/>
        <v>-2.5711036949438384</v>
      </c>
      <c r="AW254">
        <f t="shared" si="199"/>
        <v>-10132.176048313462</v>
      </c>
      <c r="AX254">
        <f t="shared" si="200"/>
        <v>-15433.698634524912</v>
      </c>
      <c r="AY254">
        <f t="shared" si="208"/>
        <v>-2.151725271490041</v>
      </c>
      <c r="BA254">
        <f t="shared" si="184"/>
        <v>6.0103083911520958</v>
      </c>
      <c r="BB254">
        <f t="shared" si="201"/>
        <v>15.577935127707034</v>
      </c>
      <c r="BC254">
        <f t="shared" si="202"/>
        <v>-0.41937842345379739</v>
      </c>
      <c r="BD254">
        <f t="shared" si="185"/>
        <v>-204.02861371020953</v>
      </c>
      <c r="BF254">
        <f t="shared" si="186"/>
        <v>-23.372549801536881</v>
      </c>
      <c r="BG254">
        <f t="shared" si="187"/>
        <v>-163.90523672525129</v>
      </c>
      <c r="BH254">
        <f t="shared" si="203"/>
        <v>16.094763274748715</v>
      </c>
      <c r="BI254">
        <f t="shared" si="204"/>
        <v>16.094763274748715</v>
      </c>
      <c r="BJ254">
        <f t="shared" si="188"/>
        <v>0</v>
      </c>
      <c r="BK254">
        <f t="shared" si="205"/>
        <v>0</v>
      </c>
      <c r="BM254">
        <f t="shared" si="206"/>
        <v>-38.950484929243913</v>
      </c>
      <c r="BN254">
        <f t="shared" si="189"/>
        <v>-139.87662301504176</v>
      </c>
      <c r="BQ254" s="66">
        <f t="shared" si="207"/>
        <v>32.479895927992175</v>
      </c>
      <c r="BR254" s="71"/>
      <c r="BS254" s="71"/>
      <c r="BT254" s="71">
        <v>27542.287</v>
      </c>
      <c r="BU254" s="71">
        <v>-2.7366600000000001</v>
      </c>
      <c r="BV254" s="71">
        <v>-158.108</v>
      </c>
      <c r="BY254" s="71"/>
      <c r="BZ254" s="71"/>
      <c r="CA254" s="71"/>
      <c r="CC254" s="71"/>
    </row>
    <row r="255" spans="1:81" x14ac:dyDescent="0.15">
      <c r="A255">
        <f t="shared" si="211"/>
        <v>205000</v>
      </c>
      <c r="B255">
        <f t="shared" si="191"/>
        <v>205</v>
      </c>
      <c r="C255">
        <f t="shared" si="159"/>
        <v>1.3125149386088342</v>
      </c>
      <c r="D255">
        <f t="shared" si="160"/>
        <v>0.70456080709699587</v>
      </c>
      <c r="F255">
        <f t="shared" si="161"/>
        <v>5.5113164951944165E-4</v>
      </c>
      <c r="G255">
        <f t="shared" si="162"/>
        <v>7.6916350646497678E-3</v>
      </c>
      <c r="H255">
        <f t="shared" si="163"/>
        <v>-3.1339010149353506</v>
      </c>
      <c r="J255">
        <f t="shared" si="164"/>
        <v>15</v>
      </c>
      <c r="M255">
        <f t="shared" si="165"/>
        <v>4.6488956703302576E-3</v>
      </c>
      <c r="N255">
        <f t="shared" si="166"/>
        <v>-1.5707963250000001</v>
      </c>
      <c r="O255">
        <f t="shared" si="167"/>
        <v>87.142522452587045</v>
      </c>
      <c r="P255">
        <f t="shared" si="168"/>
        <v>1.5593206210105188</v>
      </c>
      <c r="Q255">
        <f t="shared" si="169"/>
        <v>39.450282557677959</v>
      </c>
      <c r="R255">
        <f t="shared" si="170"/>
        <v>1.5454452505531995</v>
      </c>
      <c r="S255">
        <f t="shared" si="171"/>
        <v>0.78238671445998886</v>
      </c>
      <c r="T255">
        <f t="shared" si="172"/>
        <v>-0.67230740490746643</v>
      </c>
      <c r="U255">
        <f t="shared" si="173"/>
        <v>0.53836141539827198</v>
      </c>
      <c r="V255">
        <f t="shared" si="174"/>
        <v>-1.0023048412844964</v>
      </c>
      <c r="X255">
        <f t="shared" si="192"/>
        <v>-22.728473912446123</v>
      </c>
      <c r="Y255">
        <f t="shared" si="175"/>
        <v>-147.24917418685322</v>
      </c>
      <c r="Z255">
        <f t="shared" si="193"/>
        <v>32.750825813146776</v>
      </c>
      <c r="AC255">
        <v>1</v>
      </c>
      <c r="AD255">
        <f t="shared" si="176"/>
        <v>87.136784536725017</v>
      </c>
      <c r="AE255">
        <f t="shared" si="177"/>
        <v>-1.6835519333480351E-2</v>
      </c>
      <c r="AF255">
        <f t="shared" si="178"/>
        <v>1.0755242437275003E-2</v>
      </c>
      <c r="AG255">
        <f t="shared" si="194"/>
        <v>2305.9854082767533</v>
      </c>
      <c r="AH255">
        <f t="shared" si="195"/>
        <v>-3702.6094163858252</v>
      </c>
      <c r="AJ255">
        <f t="shared" si="179"/>
        <v>20000</v>
      </c>
      <c r="AK255">
        <f t="shared" si="180"/>
        <v>15920.334913139999</v>
      </c>
      <c r="AL255">
        <v>1</v>
      </c>
      <c r="AM255">
        <f t="shared" si="181"/>
        <v>39.437606340656998</v>
      </c>
      <c r="AN255">
        <f t="shared" si="196"/>
        <v>416.27551245291289</v>
      </c>
      <c r="AO255">
        <f t="shared" si="197"/>
        <v>-496.57487623324243</v>
      </c>
      <c r="AQ255">
        <f t="shared" si="182"/>
        <v>5.9488045877180984E-2</v>
      </c>
      <c r="AR255">
        <f t="shared" si="183"/>
        <v>-24.390098809644201</v>
      </c>
      <c r="AT255">
        <f t="shared" si="209"/>
        <v>-90169.830953409648</v>
      </c>
      <c r="AU255">
        <f t="shared" si="210"/>
        <v>-56463.472960294981</v>
      </c>
      <c r="AV255">
        <f t="shared" si="198"/>
        <v>-2.5821378543099645</v>
      </c>
      <c r="AW255">
        <f t="shared" si="199"/>
        <v>-9595.1440684285117</v>
      </c>
      <c r="AX255">
        <f t="shared" si="200"/>
        <v>-15086.905455768747</v>
      </c>
      <c r="AY255">
        <f t="shared" si="208"/>
        <v>-2.1372606467773325</v>
      </c>
      <c r="BA255">
        <f t="shared" si="184"/>
        <v>5.9503148216654571</v>
      </c>
      <c r="BB255">
        <f t="shared" si="201"/>
        <v>15.490798883293913</v>
      </c>
      <c r="BC255">
        <f t="shared" si="202"/>
        <v>-0.44487720753263194</v>
      </c>
      <c r="BD255">
        <f t="shared" si="185"/>
        <v>-205.48958642231153</v>
      </c>
      <c r="BF255">
        <f t="shared" si="186"/>
        <v>-23.800183799152897</v>
      </c>
      <c r="BG255">
        <f t="shared" si="187"/>
        <v>-164.68052749193234</v>
      </c>
      <c r="BH255">
        <f t="shared" si="203"/>
        <v>15.319472508067662</v>
      </c>
      <c r="BI255">
        <f t="shared" si="204"/>
        <v>15.319472508067662</v>
      </c>
      <c r="BJ255">
        <f t="shared" si="188"/>
        <v>0</v>
      </c>
      <c r="BK255">
        <f t="shared" si="205"/>
        <v>0</v>
      </c>
      <c r="BM255">
        <f t="shared" si="206"/>
        <v>-39.290982682446803</v>
      </c>
      <c r="BN255">
        <f t="shared" si="189"/>
        <v>-139.19094106962081</v>
      </c>
      <c r="BQ255" s="66">
        <f t="shared" si="207"/>
        <v>32.392759683579044</v>
      </c>
      <c r="BR255" s="71"/>
      <c r="BS255" s="71"/>
      <c r="BT255" s="71">
        <v>28183.829000000002</v>
      </c>
      <c r="BU255" s="71">
        <v>-2.6523400000000001</v>
      </c>
      <c r="BV255" s="71">
        <v>-157.06299999999999</v>
      </c>
      <c r="BY255" s="71"/>
      <c r="BZ255" s="71"/>
      <c r="CA255" s="71"/>
      <c r="CC255" s="71"/>
    </row>
    <row r="256" spans="1:81" x14ac:dyDescent="0.15">
      <c r="A256">
        <f t="shared" si="211"/>
        <v>210000</v>
      </c>
      <c r="B256">
        <f t="shared" si="191"/>
        <v>210</v>
      </c>
      <c r="C256">
        <f t="shared" si="159"/>
        <v>1.3260387706661725</v>
      </c>
      <c r="D256">
        <f t="shared" si="160"/>
        <v>0.71647442326969213</v>
      </c>
      <c r="F256">
        <f t="shared" si="161"/>
        <v>5.2518660814162752E-4</v>
      </c>
      <c r="G256">
        <f t="shared" si="162"/>
        <v>7.5083099823854667E-3</v>
      </c>
      <c r="H256">
        <f t="shared" si="163"/>
        <v>-3.1340843400176146</v>
      </c>
      <c r="J256">
        <f t="shared" si="164"/>
        <v>15</v>
      </c>
      <c r="M256">
        <f t="shared" si="165"/>
        <v>4.5382076781795367E-3</v>
      </c>
      <c r="N256">
        <f t="shared" si="166"/>
        <v>-1.5707963250000001</v>
      </c>
      <c r="O256">
        <f t="shared" si="167"/>
        <v>89.267673271944588</v>
      </c>
      <c r="P256">
        <f t="shared" si="168"/>
        <v>1.5595938289628681</v>
      </c>
      <c r="Q256">
        <f t="shared" si="169"/>
        <v>40.411873674108833</v>
      </c>
      <c r="R256">
        <f t="shared" si="170"/>
        <v>1.5460485981849603</v>
      </c>
      <c r="S256">
        <f t="shared" si="171"/>
        <v>0.77500078221516</v>
      </c>
      <c r="T256">
        <f t="shared" si="172"/>
        <v>-0.68407999403625031</v>
      </c>
      <c r="U256">
        <f t="shared" si="173"/>
        <v>0.52916384697616892</v>
      </c>
      <c r="V256">
        <f t="shared" si="174"/>
        <v>-1.0131814902184129</v>
      </c>
      <c r="X256">
        <f t="shared" si="192"/>
        <v>-23.081180026279231</v>
      </c>
      <c r="Y256">
        <f t="shared" si="175"/>
        <v>-147.82456083027066</v>
      </c>
      <c r="Z256">
        <f t="shared" si="193"/>
        <v>32.175439169729344</v>
      </c>
      <c r="AC256">
        <v>1</v>
      </c>
      <c r="AD256">
        <f t="shared" si="176"/>
        <v>89.262071964450001</v>
      </c>
      <c r="AE256">
        <f t="shared" si="177"/>
        <v>-1.7666779360059098E-2</v>
      </c>
      <c r="AF256">
        <f t="shared" si="178"/>
        <v>1.1017565423550001E-2</v>
      </c>
      <c r="AG256">
        <f t="shared" si="194"/>
        <v>2227.8658298769774</v>
      </c>
      <c r="AH256">
        <f t="shared" si="195"/>
        <v>-3663.1699026705001</v>
      </c>
      <c r="AJ256">
        <f t="shared" si="179"/>
        <v>20000</v>
      </c>
      <c r="AK256">
        <f t="shared" si="180"/>
        <v>16308.635764680001</v>
      </c>
      <c r="AL256">
        <v>1</v>
      </c>
      <c r="AM256">
        <f t="shared" si="181"/>
        <v>40.399499178233995</v>
      </c>
      <c r="AN256">
        <f t="shared" si="196"/>
        <v>415.68342249390702</v>
      </c>
      <c r="AO256">
        <f t="shared" si="197"/>
        <v>-484.76632076809307</v>
      </c>
      <c r="AQ256">
        <f t="shared" si="182"/>
        <v>5.6689021037295707E-2</v>
      </c>
      <c r="AR256">
        <f t="shared" si="183"/>
        <v>-23.809388835664198</v>
      </c>
      <c r="AT256">
        <f t="shared" si="209"/>
        <v>-87091.54105088595</v>
      </c>
      <c r="AU256">
        <f t="shared" si="210"/>
        <v>-53251.785332906329</v>
      </c>
      <c r="AV256">
        <f t="shared" si="198"/>
        <v>-2.5927993669635248</v>
      </c>
      <c r="AW256">
        <f t="shared" si="199"/>
        <v>-9097.9206939977903</v>
      </c>
      <c r="AX256">
        <f t="shared" si="200"/>
        <v>-14755.797637798107</v>
      </c>
      <c r="AY256">
        <f t="shared" si="208"/>
        <v>-2.1233076221898237</v>
      </c>
      <c r="BA256">
        <f t="shared" si="184"/>
        <v>5.8887327596235899</v>
      </c>
      <c r="BB256">
        <f t="shared" si="201"/>
        <v>15.400436915382008</v>
      </c>
      <c r="BC256">
        <f t="shared" si="202"/>
        <v>-0.46949174477370104</v>
      </c>
      <c r="BD256">
        <f t="shared" si="185"/>
        <v>-206.8998955225039</v>
      </c>
      <c r="BF256">
        <f t="shared" si="186"/>
        <v>-24.220340593133727</v>
      </c>
      <c r="BG256">
        <f t="shared" si="187"/>
        <v>-165.41874041941503</v>
      </c>
      <c r="BH256">
        <f t="shared" si="203"/>
        <v>14.58125958058497</v>
      </c>
      <c r="BI256">
        <f t="shared" si="204"/>
        <v>14.58125958058497</v>
      </c>
      <c r="BJ256">
        <f t="shared" si="188"/>
        <v>0</v>
      </c>
      <c r="BK256">
        <f t="shared" si="205"/>
        <v>0</v>
      </c>
      <c r="BM256">
        <f t="shared" si="206"/>
        <v>-39.620777508515737</v>
      </c>
      <c r="BN256">
        <f t="shared" si="189"/>
        <v>-138.51884489691113</v>
      </c>
      <c r="BQ256" s="66">
        <f t="shared" si="207"/>
        <v>32.302397715667141</v>
      </c>
      <c r="BR256" s="71"/>
      <c r="BS256" s="71"/>
      <c r="BT256" s="71">
        <v>28840.314999999999</v>
      </c>
      <c r="BU256" s="71">
        <v>-2.5506799999999998</v>
      </c>
      <c r="BV256" s="71">
        <v>-156.01</v>
      </c>
      <c r="BY256" s="71"/>
      <c r="BZ256" s="71"/>
      <c r="CA256" s="71"/>
      <c r="CC256" s="71"/>
    </row>
    <row r="257" spans="1:81" x14ac:dyDescent="0.15">
      <c r="A257">
        <f t="shared" si="211"/>
        <v>215000</v>
      </c>
      <c r="B257">
        <f t="shared" si="191"/>
        <v>215</v>
      </c>
      <c r="C257">
        <f t="shared" si="159"/>
        <v>1.3397469979372276</v>
      </c>
      <c r="D257">
        <f t="shared" si="160"/>
        <v>0.72814586895179045</v>
      </c>
      <c r="F257">
        <f t="shared" si="161"/>
        <v>5.0103171783176254E-4</v>
      </c>
      <c r="G257">
        <f t="shared" si="162"/>
        <v>7.3335245142873186E-3</v>
      </c>
      <c r="H257">
        <f t="shared" si="163"/>
        <v>-3.1342591254857131</v>
      </c>
      <c r="J257">
        <f t="shared" si="164"/>
        <v>15</v>
      </c>
      <c r="M257">
        <f t="shared" si="165"/>
        <v>4.4326679647335018E-3</v>
      </c>
      <c r="N257">
        <f t="shared" si="166"/>
        <v>-1.5707963250000001</v>
      </c>
      <c r="O257">
        <f t="shared" si="167"/>
        <v>91.392830444595361</v>
      </c>
      <c r="P257">
        <f t="shared" si="168"/>
        <v>1.559854331126759</v>
      </c>
      <c r="Q257">
        <f t="shared" si="169"/>
        <v>41.373478817783678</v>
      </c>
      <c r="R257">
        <f t="shared" si="170"/>
        <v>1.5466238999266186</v>
      </c>
      <c r="S257">
        <f t="shared" si="171"/>
        <v>0.76764957899210751</v>
      </c>
      <c r="T257">
        <f t="shared" si="172"/>
        <v>-0.69563082322452585</v>
      </c>
      <c r="U257">
        <f t="shared" si="173"/>
        <v>0.52021679703332024</v>
      </c>
      <c r="V257">
        <f t="shared" si="174"/>
        <v>-1.0236915452025654</v>
      </c>
      <c r="X257">
        <f t="shared" si="192"/>
        <v>-23.427479472820323</v>
      </c>
      <c r="Y257">
        <f t="shared" si="175"/>
        <v>-148.38195824126799</v>
      </c>
      <c r="Z257">
        <f t="shared" si="193"/>
        <v>31.618041758732005</v>
      </c>
      <c r="AC257">
        <v>1</v>
      </c>
      <c r="AD257">
        <f t="shared" si="176"/>
        <v>91.387359392175014</v>
      </c>
      <c r="AE257">
        <f t="shared" si="177"/>
        <v>-1.851806974872407E-2</v>
      </c>
      <c r="AF257">
        <f t="shared" si="178"/>
        <v>1.1279888409825E-2</v>
      </c>
      <c r="AG257">
        <f t="shared" si="194"/>
        <v>2153.1656559054049</v>
      </c>
      <c r="AH257">
        <f t="shared" si="195"/>
        <v>-3623.4819274464448</v>
      </c>
      <c r="AJ257">
        <f t="shared" si="179"/>
        <v>20000</v>
      </c>
      <c r="AK257">
        <f t="shared" si="180"/>
        <v>16696.936616220002</v>
      </c>
      <c r="AL257">
        <v>1</v>
      </c>
      <c r="AM257">
        <f t="shared" si="181"/>
        <v>41.361392015810999</v>
      </c>
      <c r="AN257">
        <f t="shared" si="196"/>
        <v>415.13212668982158</v>
      </c>
      <c r="AO257">
        <f t="shared" si="197"/>
        <v>-473.50601415502587</v>
      </c>
      <c r="AQ257">
        <f t="shared" si="182"/>
        <v>5.4082995765301428E-2</v>
      </c>
      <c r="AR257">
        <f t="shared" si="183"/>
        <v>-23.255688179079616</v>
      </c>
      <c r="AT257">
        <f t="shared" si="209"/>
        <v>-84150.11617817459</v>
      </c>
      <c r="AU257">
        <f t="shared" si="210"/>
        <v>-50269.317849377265</v>
      </c>
      <c r="AV257">
        <f t="shared" si="198"/>
        <v>-2.6031042904627402</v>
      </c>
      <c r="AW257">
        <f t="shared" si="199"/>
        <v>-8636.7055592944234</v>
      </c>
      <c r="AX257">
        <f t="shared" si="200"/>
        <v>-14439.267026379413</v>
      </c>
      <c r="AY257">
        <f t="shared" si="208"/>
        <v>-2.1098471790678306</v>
      </c>
      <c r="BA257">
        <f t="shared" si="184"/>
        <v>5.8259070053918443</v>
      </c>
      <c r="BB257">
        <f t="shared" si="201"/>
        <v>15.307270960561768</v>
      </c>
      <c r="BC257">
        <f t="shared" si="202"/>
        <v>-0.49325711139490958</v>
      </c>
      <c r="BD257">
        <f t="shared" si="185"/>
        <v>-208.26155073003616</v>
      </c>
      <c r="BF257">
        <f t="shared" si="186"/>
        <v>-24.633143611736365</v>
      </c>
      <c r="BG257">
        <f t="shared" si="187"/>
        <v>-166.12168551743642</v>
      </c>
      <c r="BH257">
        <f t="shared" si="203"/>
        <v>13.878314482563582</v>
      </c>
      <c r="BI257">
        <f t="shared" si="204"/>
        <v>13.878314482563582</v>
      </c>
      <c r="BJ257">
        <f t="shared" si="188"/>
        <v>0</v>
      </c>
      <c r="BK257">
        <f t="shared" si="205"/>
        <v>0</v>
      </c>
      <c r="BM257">
        <f t="shared" si="206"/>
        <v>-39.940414572298131</v>
      </c>
      <c r="BN257">
        <f t="shared" si="189"/>
        <v>-137.86013478740028</v>
      </c>
      <c r="BQ257" s="66">
        <f t="shared" si="207"/>
        <v>32.209231760846905</v>
      </c>
      <c r="BR257" s="71"/>
      <c r="BS257" s="71"/>
      <c r="BT257" s="71">
        <v>29512.092000000001</v>
      </c>
      <c r="BU257" s="71">
        <v>-2.44991</v>
      </c>
      <c r="BV257" s="71">
        <v>-155.03200000000001</v>
      </c>
      <c r="BY257" s="71"/>
      <c r="BZ257" s="71"/>
      <c r="CA257" s="71"/>
      <c r="CC257" s="71"/>
    </row>
    <row r="258" spans="1:81" x14ac:dyDescent="0.15">
      <c r="A258">
        <f t="shared" si="211"/>
        <v>220000</v>
      </c>
      <c r="B258">
        <f t="shared" si="191"/>
        <v>220</v>
      </c>
      <c r="C258">
        <f t="shared" si="159"/>
        <v>1.353634018332589</v>
      </c>
      <c r="D258">
        <f t="shared" si="160"/>
        <v>0.7395793695090408</v>
      </c>
      <c r="F258">
        <f t="shared" si="161"/>
        <v>4.785059751400097E-4</v>
      </c>
      <c r="G258">
        <f t="shared" si="162"/>
        <v>7.1666952830885542E-3</v>
      </c>
      <c r="H258">
        <f t="shared" si="163"/>
        <v>-3.1344259547169115</v>
      </c>
      <c r="J258">
        <f t="shared" si="164"/>
        <v>15</v>
      </c>
      <c r="M258">
        <f t="shared" si="165"/>
        <v>4.3319255109895574E-3</v>
      </c>
      <c r="N258">
        <f t="shared" si="166"/>
        <v>-1.5707963250000001</v>
      </c>
      <c r="O258">
        <f t="shared" si="167"/>
        <v>93.517993537411584</v>
      </c>
      <c r="P258">
        <f t="shared" si="168"/>
        <v>1.5601029936691195</v>
      </c>
      <c r="Q258">
        <f t="shared" si="169"/>
        <v>42.335097032852339</v>
      </c>
      <c r="R258">
        <f t="shared" si="170"/>
        <v>1.5471730665241694</v>
      </c>
      <c r="S258">
        <f t="shared" si="171"/>
        <v>0.76033792745423123</v>
      </c>
      <c r="T258">
        <f t="shared" si="172"/>
        <v>-0.70696310366413551</v>
      </c>
      <c r="U258">
        <f t="shared" si="173"/>
        <v>0.51151355630531015</v>
      </c>
      <c r="V258">
        <f t="shared" si="174"/>
        <v>-1.0338510244260886</v>
      </c>
      <c r="X258">
        <f t="shared" si="192"/>
        <v>-23.767591858279712</v>
      </c>
      <c r="Y258">
        <f t="shared" si="175"/>
        <v>-148.92210040625889</v>
      </c>
      <c r="Z258">
        <f t="shared" si="193"/>
        <v>31.077899593741108</v>
      </c>
      <c r="AC258">
        <v>1</v>
      </c>
      <c r="AD258">
        <f t="shared" si="176"/>
        <v>93.512646819900013</v>
      </c>
      <c r="AE258">
        <f t="shared" si="177"/>
        <v>-1.9389390499475287E-2</v>
      </c>
      <c r="AF258">
        <f t="shared" si="178"/>
        <v>1.1542211396100002E-2</v>
      </c>
      <c r="AG258">
        <f t="shared" si="194"/>
        <v>2081.7232772167094</v>
      </c>
      <c r="AH258">
        <f t="shared" si="195"/>
        <v>-3583.6586347550769</v>
      </c>
      <c r="AJ258">
        <f t="shared" si="179"/>
        <v>20000</v>
      </c>
      <c r="AK258">
        <f t="shared" si="180"/>
        <v>17085.237467759998</v>
      </c>
      <c r="AL258">
        <v>1</v>
      </c>
      <c r="AM258">
        <f t="shared" si="181"/>
        <v>42.323284853388003</v>
      </c>
      <c r="AN258">
        <f t="shared" si="196"/>
        <v>414.61796244967502</v>
      </c>
      <c r="AO258">
        <f t="shared" si="197"/>
        <v>-462.75666232892843</v>
      </c>
      <c r="AQ258">
        <f t="shared" si="182"/>
        <v>5.1652625761230572E-2</v>
      </c>
      <c r="AR258">
        <f t="shared" si="183"/>
        <v>-22.72715533494145</v>
      </c>
      <c r="AT258">
        <f t="shared" si="209"/>
        <v>-81338.839986106323</v>
      </c>
      <c r="AU258">
        <f t="shared" si="210"/>
        <v>-47496.753663984542</v>
      </c>
      <c r="AV258">
        <f t="shared" si="198"/>
        <v>-2.6130679609871206</v>
      </c>
      <c r="AW258">
        <f t="shared" si="199"/>
        <v>-8208.1362377689093</v>
      </c>
      <c r="AX258">
        <f t="shared" si="200"/>
        <v>-14136.31462722256</v>
      </c>
      <c r="AY258">
        <f t="shared" si="208"/>
        <v>-2.0968602884751597</v>
      </c>
      <c r="BA258">
        <f t="shared" si="184"/>
        <v>5.7621432802957582</v>
      </c>
      <c r="BB258">
        <f t="shared" si="201"/>
        <v>15.211681063157787</v>
      </c>
      <c r="BC258">
        <f t="shared" si="202"/>
        <v>-0.51620767251196087</v>
      </c>
      <c r="BD258">
        <f t="shared" si="185"/>
        <v>-209.5765210210028</v>
      </c>
      <c r="BF258">
        <f t="shared" si="186"/>
        <v>-25.038721248702739</v>
      </c>
      <c r="BG258">
        <f t="shared" si="187"/>
        <v>-166.79112309152163</v>
      </c>
      <c r="BH258">
        <f t="shared" si="203"/>
        <v>13.208876908478373</v>
      </c>
      <c r="BI258">
        <f t="shared" si="204"/>
        <v>13.208876908478373</v>
      </c>
      <c r="BJ258">
        <f t="shared" si="188"/>
        <v>0</v>
      </c>
      <c r="BK258">
        <f t="shared" si="205"/>
        <v>0</v>
      </c>
      <c r="BM258">
        <f t="shared" si="206"/>
        <v>-40.250402311860526</v>
      </c>
      <c r="BN258">
        <f t="shared" si="189"/>
        <v>-137.21460207051882</v>
      </c>
      <c r="BQ258" s="66">
        <f t="shared" si="207"/>
        <v>32.113641863442922</v>
      </c>
      <c r="BR258" s="71"/>
      <c r="BS258" s="71"/>
      <c r="BT258" s="71">
        <v>30199.517</v>
      </c>
      <c r="BU258" s="71">
        <v>-2.3553299999999999</v>
      </c>
      <c r="BV258" s="71">
        <v>-154.00200000000001</v>
      </c>
      <c r="BY258" s="71"/>
      <c r="BZ258" s="71"/>
      <c r="CA258" s="71"/>
      <c r="CC258" s="71"/>
    </row>
    <row r="259" spans="1:81" x14ac:dyDescent="0.15">
      <c r="A259">
        <f t="shared" si="211"/>
        <v>225000</v>
      </c>
      <c r="B259">
        <f t="shared" si="191"/>
        <v>225</v>
      </c>
      <c r="C259">
        <f t="shared" si="159"/>
        <v>1.3676943856820163</v>
      </c>
      <c r="D259">
        <f t="shared" si="160"/>
        <v>0.75077922870803337</v>
      </c>
      <c r="F259">
        <f t="shared" si="161"/>
        <v>4.5746608090981846E-4</v>
      </c>
      <c r="G259">
        <f t="shared" si="162"/>
        <v>7.0072908888643712E-3</v>
      </c>
      <c r="H259">
        <f t="shared" si="163"/>
        <v>-3.1345853591111359</v>
      </c>
      <c r="J259">
        <f t="shared" si="164"/>
        <v>15</v>
      </c>
      <c r="M259">
        <f t="shared" si="165"/>
        <v>4.2356604996342346E-3</v>
      </c>
      <c r="N259">
        <f t="shared" si="166"/>
        <v>-1.5707963250000001</v>
      </c>
      <c r="O259">
        <f t="shared" si="167"/>
        <v>95.643162155760223</v>
      </c>
      <c r="P259">
        <f t="shared" si="168"/>
        <v>1.5603406057789591</v>
      </c>
      <c r="Q259">
        <f t="shared" si="169"/>
        <v>43.296727448369751</v>
      </c>
      <c r="R259">
        <f t="shared" si="170"/>
        <v>1.5476978390377294</v>
      </c>
      <c r="S259">
        <f t="shared" si="171"/>
        <v>0.75307026201044014</v>
      </c>
      <c r="T259">
        <f t="shared" si="172"/>
        <v>-0.71808015076587073</v>
      </c>
      <c r="U259">
        <f t="shared" si="173"/>
        <v>0.50304735045348092</v>
      </c>
      <c r="V259">
        <f t="shared" si="174"/>
        <v>-1.0436751850967734</v>
      </c>
      <c r="X259">
        <f t="shared" si="192"/>
        <v>-24.101725464460113</v>
      </c>
      <c r="Y259">
        <f t="shared" si="175"/>
        <v>-149.44569034461878</v>
      </c>
      <c r="Z259">
        <f t="shared" si="193"/>
        <v>30.554309655381218</v>
      </c>
      <c r="AC259">
        <v>1</v>
      </c>
      <c r="AD259">
        <f t="shared" si="176"/>
        <v>95.637934247625012</v>
      </c>
      <c r="AE259">
        <f t="shared" si="177"/>
        <v>-2.0280741612312737E-2</v>
      </c>
      <c r="AF259">
        <f t="shared" si="178"/>
        <v>1.1804534382375E-2</v>
      </c>
      <c r="AG259">
        <f t="shared" si="194"/>
        <v>2013.3831708717098</v>
      </c>
      <c r="AH259">
        <f t="shared" si="195"/>
        <v>-3543.799568874781</v>
      </c>
      <c r="AJ259">
        <f t="shared" si="179"/>
        <v>20000</v>
      </c>
      <c r="AK259">
        <f t="shared" si="180"/>
        <v>17473.538319300002</v>
      </c>
      <c r="AL259">
        <v>1</v>
      </c>
      <c r="AM259">
        <f t="shared" si="181"/>
        <v>43.285177690965</v>
      </c>
      <c r="AN259">
        <f t="shared" si="196"/>
        <v>414.13766911735917</v>
      </c>
      <c r="AO259">
        <f t="shared" si="197"/>
        <v>-452.48427696695899</v>
      </c>
      <c r="AQ259">
        <f t="shared" si="182"/>
        <v>4.9382472185322539E-2</v>
      </c>
      <c r="AR259">
        <f t="shared" si="183"/>
        <v>-22.222112483395144</v>
      </c>
      <c r="AT259">
        <f t="shared" si="209"/>
        <v>-78651.286799708643</v>
      </c>
      <c r="AU259">
        <f t="shared" si="210"/>
        <v>-44916.62887892624</v>
      </c>
      <c r="AV259">
        <f t="shared" si="198"/>
        <v>-2.6227050143433535</v>
      </c>
      <c r="AW259">
        <f t="shared" si="199"/>
        <v>-7809.2296580182983</v>
      </c>
      <c r="AX259">
        <f t="shared" si="200"/>
        <v>-13846.036849220976</v>
      </c>
      <c r="AY259">
        <f t="shared" si="208"/>
        <v>-2.0843280773279789</v>
      </c>
      <c r="BA259">
        <f t="shared" si="184"/>
        <v>5.6977116917676112</v>
      </c>
      <c r="BB259">
        <f t="shared" si="201"/>
        <v>15.114009397043418</v>
      </c>
      <c r="BC259">
        <f t="shared" si="202"/>
        <v>-0.53837693701537459</v>
      </c>
      <c r="BD259">
        <f t="shared" si="185"/>
        <v>-210.84672631340902</v>
      </c>
      <c r="BF259">
        <f t="shared" si="186"/>
        <v>-25.437206166930331</v>
      </c>
      <c r="BG259">
        <f t="shared" si="187"/>
        <v>-167.42875691898686</v>
      </c>
      <c r="BH259">
        <f t="shared" si="203"/>
        <v>12.571243081013137</v>
      </c>
      <c r="BI259">
        <f t="shared" si="204"/>
        <v>12.571243081013137</v>
      </c>
      <c r="BJ259">
        <f t="shared" si="188"/>
        <v>0</v>
      </c>
      <c r="BK259">
        <f t="shared" si="205"/>
        <v>0</v>
      </c>
      <c r="BM259">
        <f t="shared" si="206"/>
        <v>-40.551215563973749</v>
      </c>
      <c r="BN259">
        <f t="shared" si="189"/>
        <v>-136.58203060557784</v>
      </c>
      <c r="BQ259" s="66">
        <f t="shared" si="207"/>
        <v>32.015970197328556</v>
      </c>
      <c r="BR259" s="71"/>
      <c r="BS259" s="71"/>
      <c r="BT259" s="71">
        <v>30902.954000000002</v>
      </c>
      <c r="BU259" s="71">
        <v>-2.2543500000000001</v>
      </c>
      <c r="BV259" s="71">
        <v>-152.994</v>
      </c>
      <c r="BY259" s="71"/>
      <c r="BZ259" s="71"/>
      <c r="CA259" s="71"/>
      <c r="CC259" s="71"/>
    </row>
    <row r="260" spans="1:81" x14ac:dyDescent="0.15">
      <c r="A260">
        <f t="shared" si="211"/>
        <v>230000</v>
      </c>
      <c r="B260">
        <f t="shared" si="191"/>
        <v>230</v>
      </c>
      <c r="C260">
        <f t="shared" si="159"/>
        <v>1.3819228088422457</v>
      </c>
      <c r="D260">
        <f t="shared" si="160"/>
        <v>0.76174981076317039</v>
      </c>
      <c r="F260">
        <f t="shared" si="161"/>
        <v>4.3778415416177052E-4</v>
      </c>
      <c r="G260">
        <f t="shared" si="162"/>
        <v>6.8548262439624731E-3</v>
      </c>
      <c r="H260">
        <f t="shared" si="163"/>
        <v>-3.1347378237560379</v>
      </c>
      <c r="J260">
        <f t="shared" si="164"/>
        <v>15</v>
      </c>
      <c r="M260">
        <f t="shared" si="165"/>
        <v>4.1435809235552297E-3</v>
      </c>
      <c r="N260">
        <f t="shared" si="166"/>
        <v>-1.5707963250000001</v>
      </c>
      <c r="O260">
        <f t="shared" si="167"/>
        <v>97.768335939319471</v>
      </c>
      <c r="P260">
        <f t="shared" si="168"/>
        <v>1.5605678880326772</v>
      </c>
      <c r="Q260">
        <f t="shared" si="169"/>
        <v>44.258369269074642</v>
      </c>
      <c r="R260">
        <f t="shared" si="170"/>
        <v>1.5481998072657037</v>
      </c>
      <c r="S260">
        <f t="shared" si="171"/>
        <v>0.74585064589120675</v>
      </c>
      <c r="T260">
        <f t="shared" si="172"/>
        <v>-0.72898536805816105</v>
      </c>
      <c r="U260">
        <f t="shared" si="173"/>
        <v>0.49481138823711629</v>
      </c>
      <c r="V260">
        <f t="shared" si="174"/>
        <v>-1.0531785530848294</v>
      </c>
      <c r="X260">
        <f t="shared" si="192"/>
        <v>-24.430078099778182</v>
      </c>
      <c r="Y260">
        <f t="shared" si="175"/>
        <v>-149.95340070290325</v>
      </c>
      <c r="Z260">
        <f t="shared" si="193"/>
        <v>30.046599297096748</v>
      </c>
      <c r="AC260">
        <v>1</v>
      </c>
      <c r="AD260">
        <f t="shared" si="176"/>
        <v>97.76322167535001</v>
      </c>
      <c r="AE260">
        <f t="shared" si="177"/>
        <v>-2.1192123087236423E-2</v>
      </c>
      <c r="AF260">
        <f t="shared" si="178"/>
        <v>1.2066857368650001E-2</v>
      </c>
      <c r="AG260">
        <f t="shared" si="194"/>
        <v>1947.9960653590024</v>
      </c>
      <c r="AH260">
        <f t="shared" si="195"/>
        <v>-3503.9920584783222</v>
      </c>
      <c r="AJ260">
        <f t="shared" si="179"/>
        <v>20000</v>
      </c>
      <c r="AK260">
        <f t="shared" si="180"/>
        <v>17861.839170839998</v>
      </c>
      <c r="AL260">
        <v>1</v>
      </c>
      <c r="AM260">
        <f t="shared" si="181"/>
        <v>44.247070528541997</v>
      </c>
      <c r="AN260">
        <f t="shared" si="196"/>
        <v>413.68833618875522</v>
      </c>
      <c r="AO260">
        <f t="shared" si="197"/>
        <v>-442.65781733904635</v>
      </c>
      <c r="AQ260">
        <f t="shared" si="182"/>
        <v>4.7258755865993068E-2</v>
      </c>
      <c r="AR260">
        <f t="shared" si="183"/>
        <v>-21.739027698356814</v>
      </c>
      <c r="AT260">
        <f t="shared" si="209"/>
        <v>-76081.320543601832</v>
      </c>
      <c r="AU260">
        <f t="shared" si="210"/>
        <v>-42513.134726377451</v>
      </c>
      <c r="AV260">
        <f t="shared" si="198"/>
        <v>-2.632029409023021</v>
      </c>
      <c r="AW260">
        <f t="shared" si="199"/>
        <v>-7437.3323885625623</v>
      </c>
      <c r="AX260">
        <f t="shared" si="200"/>
        <v>-13567.613819365099</v>
      </c>
      <c r="AY260">
        <f t="shared" si="208"/>
        <v>-2.0722319610280033</v>
      </c>
      <c r="BA260">
        <f t="shared" si="184"/>
        <v>5.6328500406963231</v>
      </c>
      <c r="BB260">
        <f t="shared" si="201"/>
        <v>15.014563789610275</v>
      </c>
      <c r="BC260">
        <f t="shared" si="202"/>
        <v>-0.55979744799501763</v>
      </c>
      <c r="BD260">
        <f t="shared" si="185"/>
        <v>-212.07403118895863</v>
      </c>
      <c r="BF260">
        <f t="shared" si="186"/>
        <v>-25.828734569809821</v>
      </c>
      <c r="BG260">
        <f t="shared" si="187"/>
        <v>-168.03622932394475</v>
      </c>
      <c r="BH260">
        <f t="shared" si="203"/>
        <v>11.963770676055248</v>
      </c>
      <c r="BI260">
        <f t="shared" si="204"/>
        <v>11.963770676055248</v>
      </c>
      <c r="BJ260">
        <f t="shared" si="188"/>
        <v>0</v>
      </c>
      <c r="BK260">
        <f t="shared" si="205"/>
        <v>0</v>
      </c>
      <c r="BM260">
        <f t="shared" si="206"/>
        <v>-40.843298359420089</v>
      </c>
      <c r="BN260">
        <f t="shared" si="189"/>
        <v>-135.96219813498612</v>
      </c>
      <c r="BQ260" s="66">
        <f t="shared" si="207"/>
        <v>31.91652458989541</v>
      </c>
      <c r="BR260" s="71"/>
      <c r="BS260" s="71"/>
      <c r="BT260" s="71">
        <v>31622.776999999998</v>
      </c>
      <c r="BU260" s="71">
        <v>-2.1282199999999998</v>
      </c>
      <c r="BV260" s="71">
        <v>-152.041</v>
      </c>
      <c r="BY260" s="71"/>
      <c r="BZ260" s="71"/>
      <c r="CA260" s="71"/>
      <c r="CC260" s="71"/>
    </row>
    <row r="261" spans="1:81" x14ac:dyDescent="0.15">
      <c r="A261">
        <f t="shared" si="211"/>
        <v>235000</v>
      </c>
      <c r="B261">
        <f t="shared" si="191"/>
        <v>235</v>
      </c>
      <c r="C261">
        <f t="shared" si="159"/>
        <v>1.3963141503631027</v>
      </c>
      <c r="D261">
        <f t="shared" si="160"/>
        <v>0.77249552387407527</v>
      </c>
      <c r="F261">
        <f t="shared" si="161"/>
        <v>4.1934578315464617E-4</v>
      </c>
      <c r="G261">
        <f t="shared" si="162"/>
        <v>6.7088576333508895E-3</v>
      </c>
      <c r="H261">
        <f t="shared" si="163"/>
        <v>-3.1348837923666495</v>
      </c>
      <c r="J261">
        <f t="shared" si="164"/>
        <v>15</v>
      </c>
      <c r="M261">
        <f t="shared" si="165"/>
        <v>4.0554196273093731E-3</v>
      </c>
      <c r="N261">
        <f t="shared" si="166"/>
        <v>-1.5707963250000001</v>
      </c>
      <c r="O261">
        <f t="shared" si="167"/>
        <v>99.89351455842916</v>
      </c>
      <c r="P261">
        <f t="shared" si="168"/>
        <v>1.5607854996917325</v>
      </c>
      <c r="Q261">
        <f t="shared" si="169"/>
        <v>45.220021767344278</v>
      </c>
      <c r="R261">
        <f t="shared" si="170"/>
        <v>1.5486804258198077</v>
      </c>
      <c r="S261">
        <f t="shared" si="171"/>
        <v>0.73868278843442503</v>
      </c>
      <c r="T261">
        <f t="shared" si="172"/>
        <v>-0.73968223219089524</v>
      </c>
      <c r="U261">
        <f t="shared" si="173"/>
        <v>0.48679890171352164</v>
      </c>
      <c r="V261">
        <f t="shared" si="174"/>
        <v>-1.0623749531235835</v>
      </c>
      <c r="X261">
        <f t="shared" si="192"/>
        <v>-24.752837857511857</v>
      </c>
      <c r="Y261">
        <f t="shared" si="175"/>
        <v>-150.44587451310474</v>
      </c>
      <c r="Z261">
        <f t="shared" si="193"/>
        <v>29.554125486895259</v>
      </c>
      <c r="AC261">
        <v>1</v>
      </c>
      <c r="AD261">
        <f t="shared" si="176"/>
        <v>99.888509103075009</v>
      </c>
      <c r="AE261">
        <f t="shared" si="177"/>
        <v>-2.2123534924246336E-2</v>
      </c>
      <c r="AF261">
        <f t="shared" si="178"/>
        <v>1.2329180354925001E-2</v>
      </c>
      <c r="AG261">
        <f t="shared" si="194"/>
        <v>1885.4190109028791</v>
      </c>
      <c r="AH261">
        <f t="shared" si="195"/>
        <v>-3464.3124769836045</v>
      </c>
      <c r="AJ261">
        <f t="shared" si="179"/>
        <v>20000</v>
      </c>
      <c r="AK261">
        <f t="shared" si="180"/>
        <v>18250.140022380001</v>
      </c>
      <c r="AL261">
        <v>1</v>
      </c>
      <c r="AM261">
        <f t="shared" si="181"/>
        <v>45.208963366119001</v>
      </c>
      <c r="AN261">
        <f t="shared" si="196"/>
        <v>413.26735914703602</v>
      </c>
      <c r="AO261">
        <f t="shared" si="197"/>
        <v>-433.2488777110928</v>
      </c>
      <c r="AQ261">
        <f t="shared" si="182"/>
        <v>4.526914771775592E-2</v>
      </c>
      <c r="AR261">
        <f t="shared" si="183"/>
        <v>-21.276499427345282</v>
      </c>
      <c r="AT261">
        <f t="shared" si="209"/>
        <v>-73623.091120972342</v>
      </c>
      <c r="AU261">
        <f t="shared" si="210"/>
        <v>-40271.942979042047</v>
      </c>
      <c r="AV261">
        <f t="shared" si="198"/>
        <v>-2.6410544506577596</v>
      </c>
      <c r="AW261">
        <f t="shared" si="199"/>
        <v>-7090.0782985976939</v>
      </c>
      <c r="AX261">
        <f t="shared" si="200"/>
        <v>-13300.299413887653</v>
      </c>
      <c r="AY261">
        <f t="shared" si="208"/>
        <v>-2.0605537474658551</v>
      </c>
      <c r="BA261">
        <f t="shared" si="184"/>
        <v>5.5677669400302339</v>
      </c>
      <c r="BB261">
        <f t="shared" si="201"/>
        <v>14.913620958856164</v>
      </c>
      <c r="BC261">
        <f t="shared" si="202"/>
        <v>-0.5805007031919045</v>
      </c>
      <c r="BD261">
        <f t="shared" si="185"/>
        <v>-213.26024033527796</v>
      </c>
      <c r="BF261">
        <f t="shared" si="186"/>
        <v>-26.213445471471818</v>
      </c>
      <c r="BG261">
        <f t="shared" si="187"/>
        <v>-168.6151178457863</v>
      </c>
      <c r="BH261">
        <f t="shared" si="203"/>
        <v>11.384882154213699</v>
      </c>
      <c r="BI261">
        <f t="shared" si="204"/>
        <v>11.384882154213699</v>
      </c>
      <c r="BJ261">
        <f t="shared" si="188"/>
        <v>0</v>
      </c>
      <c r="BK261">
        <f t="shared" si="205"/>
        <v>0</v>
      </c>
      <c r="BM261">
        <f t="shared" si="206"/>
        <v>-41.127066430327979</v>
      </c>
      <c r="BN261">
        <f t="shared" si="189"/>
        <v>-135.35487751050835</v>
      </c>
      <c r="BQ261" s="66">
        <f t="shared" si="207"/>
        <v>31.815581759141303</v>
      </c>
      <c r="BR261" s="71"/>
      <c r="BS261" s="71"/>
      <c r="BT261" s="71">
        <v>32359.366000000002</v>
      </c>
      <c r="BU261" s="71">
        <v>-2.03586</v>
      </c>
      <c r="BV261" s="71">
        <v>-151.05000000000001</v>
      </c>
      <c r="BY261" s="71"/>
      <c r="BZ261" s="71"/>
      <c r="CA261" s="71"/>
      <c r="CC261" s="71"/>
    </row>
    <row r="262" spans="1:81" x14ac:dyDescent="0.15">
      <c r="A262">
        <f t="shared" si="211"/>
        <v>240000</v>
      </c>
      <c r="B262">
        <f t="shared" si="191"/>
        <v>240</v>
      </c>
      <c r="C262">
        <f t="shared" si="159"/>
        <v>1.4108634247663672</v>
      </c>
      <c r="D262">
        <f t="shared" si="160"/>
        <v>0.78302080518755224</v>
      </c>
      <c r="F262">
        <f t="shared" si="161"/>
        <v>4.0204835795723027E-4</v>
      </c>
      <c r="G262">
        <f t="shared" si="162"/>
        <v>6.5689783942347365E-3</v>
      </c>
      <c r="H262">
        <f t="shared" si="163"/>
        <v>-3.1350236716057656</v>
      </c>
      <c r="J262">
        <f t="shared" si="164"/>
        <v>15</v>
      </c>
      <c r="M262">
        <f t="shared" si="165"/>
        <v>3.9709317184070947E-3</v>
      </c>
      <c r="N262">
        <f t="shared" si="166"/>
        <v>-1.5707963250000001</v>
      </c>
      <c r="O262">
        <f t="shared" si="167"/>
        <v>102.01869771089741</v>
      </c>
      <c r="P262">
        <f t="shared" si="168"/>
        <v>1.5609940450883169</v>
      </c>
      <c r="Q262">
        <f t="shared" si="169"/>
        <v>46.181684276154044</v>
      </c>
      <c r="R262">
        <f t="shared" si="170"/>
        <v>1.5491410281930582</v>
      </c>
      <c r="S262">
        <f t="shared" si="171"/>
        <v>0.73157006243032263</v>
      </c>
      <c r="T262">
        <f t="shared" si="172"/>
        <v>-0.75017427901582123</v>
      </c>
      <c r="U262">
        <f t="shared" si="173"/>
        <v>0.47900317953288574</v>
      </c>
      <c r="V262">
        <f t="shared" si="174"/>
        <v>-1.0712775391580258</v>
      </c>
      <c r="X262">
        <f t="shared" si="192"/>
        <v>-25.070183794831156</v>
      </c>
      <c r="Y262">
        <f t="shared" si="175"/>
        <v>-150.9237260712089</v>
      </c>
      <c r="Z262">
        <f t="shared" si="193"/>
        <v>29.076273928791096</v>
      </c>
      <c r="AC262">
        <v>1</v>
      </c>
      <c r="AD262">
        <f t="shared" si="176"/>
        <v>102.01379653080001</v>
      </c>
      <c r="AE262">
        <f t="shared" si="177"/>
        <v>-2.3074977123342489E-2</v>
      </c>
      <c r="AF262">
        <f t="shared" si="178"/>
        <v>1.2591503341200001E-2</v>
      </c>
      <c r="AG262">
        <f t="shared" si="194"/>
        <v>1825.5153736459549</v>
      </c>
      <c r="AH262">
        <f t="shared" si="195"/>
        <v>-3424.8273869004615</v>
      </c>
      <c r="AJ262">
        <f t="shared" si="179"/>
        <v>20000</v>
      </c>
      <c r="AK262">
        <f t="shared" si="180"/>
        <v>18638.440873920001</v>
      </c>
      <c r="AL262">
        <v>1</v>
      </c>
      <c r="AM262">
        <f t="shared" si="181"/>
        <v>46.170856203695998</v>
      </c>
      <c r="AN262">
        <f t="shared" si="196"/>
        <v>412.87240166187274</v>
      </c>
      <c r="AO262">
        <f t="shared" si="197"/>
        <v>-424.23141368494203</v>
      </c>
      <c r="AQ262">
        <f t="shared" si="182"/>
        <v>4.3402589398483515E-2</v>
      </c>
      <c r="AR262">
        <f t="shared" si="183"/>
        <v>-20.833242911272087</v>
      </c>
      <c r="AT262">
        <f t="shared" si="209"/>
        <v>-71271.028786271563</v>
      </c>
      <c r="AU262">
        <f t="shared" si="210"/>
        <v>-38180.051594262128</v>
      </c>
      <c r="AV262">
        <f t="shared" si="198"/>
        <v>-2.6497928173402427</v>
      </c>
      <c r="AW262">
        <f t="shared" si="199"/>
        <v>-6765.3523776978818</v>
      </c>
      <c r="AX262">
        <f t="shared" si="200"/>
        <v>-13043.412717620848</v>
      </c>
      <c r="AY262">
        <f t="shared" si="208"/>
        <v>-2.0492757167584155</v>
      </c>
      <c r="BA262">
        <f t="shared" si="184"/>
        <v>5.5026447263638794</v>
      </c>
      <c r="BB262">
        <f t="shared" si="201"/>
        <v>14.811429477155215</v>
      </c>
      <c r="BC262">
        <f t="shared" si="202"/>
        <v>-0.60051710058182728</v>
      </c>
      <c r="BD262">
        <f t="shared" si="185"/>
        <v>-214.4070954280877</v>
      </c>
      <c r="BF262">
        <f t="shared" si="186"/>
        <v>-26.591479988291734</v>
      </c>
      <c r="BG262">
        <f t="shared" si="187"/>
        <v>-169.16693323050882</v>
      </c>
      <c r="BH262">
        <f t="shared" si="203"/>
        <v>10.833066769491182</v>
      </c>
      <c r="BI262">
        <f t="shared" si="204"/>
        <v>10.833066769491182</v>
      </c>
      <c r="BJ262">
        <f t="shared" si="188"/>
        <v>0</v>
      </c>
      <c r="BK262">
        <f t="shared" si="205"/>
        <v>0</v>
      </c>
      <c r="BM262">
        <f t="shared" si="206"/>
        <v>-41.402909465446953</v>
      </c>
      <c r="BN262">
        <f t="shared" si="189"/>
        <v>-134.75983780242112</v>
      </c>
      <c r="BQ262" s="66">
        <f t="shared" si="207"/>
        <v>31.713390277440354</v>
      </c>
      <c r="BR262" s="71"/>
      <c r="BS262" s="71"/>
      <c r="BT262" s="71">
        <v>33113.112000000001</v>
      </c>
      <c r="BU262" s="71">
        <v>-1.91717</v>
      </c>
      <c r="BV262" s="71">
        <v>-150.17400000000001</v>
      </c>
      <c r="BY262" s="71"/>
      <c r="BZ262" s="71"/>
      <c r="CA262" s="71"/>
      <c r="CC262" s="71"/>
    </row>
    <row r="263" spans="1:81" x14ac:dyDescent="0.15">
      <c r="A263">
        <f t="shared" si="211"/>
        <v>245000</v>
      </c>
      <c r="B263">
        <f t="shared" si="191"/>
        <v>245</v>
      </c>
      <c r="C263">
        <f t="shared" si="159"/>
        <v>1.4255657964879034</v>
      </c>
      <c r="D263">
        <f t="shared" si="160"/>
        <v>0.79333010711429108</v>
      </c>
      <c r="F263">
        <f t="shared" si="161"/>
        <v>3.8579963899527324E-4</v>
      </c>
      <c r="G263">
        <f t="shared" si="162"/>
        <v>6.4348151261877009E-3</v>
      </c>
      <c r="H263">
        <f t="shared" si="163"/>
        <v>-3.1351578348738127</v>
      </c>
      <c r="J263">
        <f t="shared" si="164"/>
        <v>15</v>
      </c>
      <c r="M263">
        <f t="shared" si="165"/>
        <v>3.8898922955824602E-3</v>
      </c>
      <c r="N263">
        <f t="shared" si="166"/>
        <v>-1.5707963250000001</v>
      </c>
      <c r="O263">
        <f t="shared" si="167"/>
        <v>104.14388511919805</v>
      </c>
      <c r="P263">
        <f t="shared" si="168"/>
        <v>1.5611940792292927</v>
      </c>
      <c r="Q263">
        <f t="shared" si="169"/>
        <v>47.143356182898366</v>
      </c>
      <c r="R263">
        <f t="shared" si="170"/>
        <v>1.5495828391070883</v>
      </c>
      <c r="S263">
        <f t="shared" si="171"/>
        <v>0.72451552139433129</v>
      </c>
      <c r="T263">
        <f t="shared" si="172"/>
        <v>-0.76046509070953006</v>
      </c>
      <c r="U263">
        <f t="shared" si="173"/>
        <v>0.47141759427015789</v>
      </c>
      <c r="V263">
        <f t="shared" si="174"/>
        <v>-1.0798988245149088</v>
      </c>
      <c r="X263">
        <f t="shared" si="192"/>
        <v>-25.382286543810704</v>
      </c>
      <c r="Y263">
        <f t="shared" si="175"/>
        <v>-151.38754190062298</v>
      </c>
      <c r="Z263">
        <f t="shared" si="193"/>
        <v>28.612458099377022</v>
      </c>
      <c r="AC263">
        <v>1</v>
      </c>
      <c r="AD263">
        <f t="shared" si="176"/>
        <v>104.13908395852502</v>
      </c>
      <c r="AE263">
        <f t="shared" si="177"/>
        <v>-2.4046449684524879E-2</v>
      </c>
      <c r="AF263">
        <f t="shared" si="178"/>
        <v>1.2853826327475002E-2</v>
      </c>
      <c r="AG263">
        <f t="shared" si="194"/>
        <v>1768.1547694938001</v>
      </c>
      <c r="AH263">
        <f t="shared" si="195"/>
        <v>-3385.5945763065224</v>
      </c>
      <c r="AJ263">
        <f t="shared" si="179"/>
        <v>20000</v>
      </c>
      <c r="AK263">
        <f t="shared" si="180"/>
        <v>19026.74172546</v>
      </c>
      <c r="AL263">
        <v>1</v>
      </c>
      <c r="AM263">
        <f t="shared" si="181"/>
        <v>47.132749041272994</v>
      </c>
      <c r="AN263">
        <f t="shared" si="196"/>
        <v>412.50136312586676</v>
      </c>
      <c r="AO263">
        <f t="shared" si="197"/>
        <v>-415.58150193450075</v>
      </c>
      <c r="AQ263">
        <f t="shared" si="182"/>
        <v>4.164913932053594E-2</v>
      </c>
      <c r="AR263">
        <f t="shared" si="183"/>
        <v>-20.40807826706261</v>
      </c>
      <c r="AT263">
        <f t="shared" si="209"/>
        <v>-69019.836969471275</v>
      </c>
      <c r="AU263">
        <f t="shared" si="210"/>
        <v>-36225.648024300965</v>
      </c>
      <c r="AV263">
        <f t="shared" si="198"/>
        <v>-2.658256585382158</v>
      </c>
      <c r="AW263">
        <f t="shared" si="199"/>
        <v>-6461.259717871696</v>
      </c>
      <c r="AX263">
        <f t="shared" si="200"/>
        <v>-12796.330677082013</v>
      </c>
      <c r="AY263">
        <f t="shared" si="208"/>
        <v>-2.038380680585449</v>
      </c>
      <c r="BA263">
        <f t="shared" si="184"/>
        <v>5.4376421560203934</v>
      </c>
      <c r="BB263">
        <f t="shared" si="201"/>
        <v>14.708212477022034</v>
      </c>
      <c r="BC263">
        <f t="shared" si="202"/>
        <v>-0.61987590479670907</v>
      </c>
      <c r="BD263">
        <f t="shared" si="185"/>
        <v>-215.5162732072879</v>
      </c>
      <c r="BF263">
        <f t="shared" si="186"/>
        <v>-26.962980667017966</v>
      </c>
      <c r="BG263">
        <f t="shared" si="187"/>
        <v>-169.6931185079394</v>
      </c>
      <c r="BH263">
        <f t="shared" si="203"/>
        <v>10.306881492060597</v>
      </c>
      <c r="BI263">
        <f t="shared" si="204"/>
        <v>10.306881492060597</v>
      </c>
      <c r="BJ263">
        <f t="shared" si="188"/>
        <v>0</v>
      </c>
      <c r="BK263">
        <f t="shared" si="205"/>
        <v>0</v>
      </c>
      <c r="BM263">
        <f t="shared" si="206"/>
        <v>-41.671193144040004</v>
      </c>
      <c r="BN263">
        <f t="shared" si="189"/>
        <v>-134.17684530065151</v>
      </c>
      <c r="BQ263" s="66">
        <f t="shared" si="207"/>
        <v>31.610173277307169</v>
      </c>
      <c r="BR263" s="71"/>
      <c r="BS263" s="71"/>
      <c r="BT263" s="71">
        <v>33884.415999999997</v>
      </c>
      <c r="BU263" s="71">
        <v>-1.81593</v>
      </c>
      <c r="BV263" s="71">
        <v>-149.483</v>
      </c>
      <c r="BY263" s="71"/>
      <c r="BZ263" s="71"/>
      <c r="CA263" s="71"/>
      <c r="CC263" s="71"/>
    </row>
    <row r="264" spans="1:81" x14ac:dyDescent="0.15">
      <c r="A264">
        <f t="shared" si="211"/>
        <v>250000</v>
      </c>
      <c r="B264">
        <f t="shared" si="191"/>
        <v>250</v>
      </c>
      <c r="C264">
        <f t="shared" si="159"/>
        <v>1.4404165775296935</v>
      </c>
      <c r="D264">
        <f t="shared" si="160"/>
        <v>0.80342788492801243</v>
      </c>
      <c r="F264">
        <f t="shared" si="161"/>
        <v>3.7051652416075434E-4</v>
      </c>
      <c r="G264">
        <f t="shared" si="162"/>
        <v>6.3060243572950064E-3</v>
      </c>
      <c r="H264">
        <f t="shared" si="163"/>
        <v>-3.135286625642705</v>
      </c>
      <c r="J264">
        <f t="shared" si="164"/>
        <v>15</v>
      </c>
      <c r="M264">
        <f t="shared" si="165"/>
        <v>3.8120944496708108E-3</v>
      </c>
      <c r="N264">
        <f t="shared" si="166"/>
        <v>-1.5707963250000001</v>
      </c>
      <c r="O264">
        <f t="shared" si="167"/>
        <v>106.26907652800446</v>
      </c>
      <c r="P264">
        <f t="shared" si="168"/>
        <v>1.5613861127278055</v>
      </c>
      <c r="Q264">
        <f t="shared" si="169"/>
        <v>48.10503692395249</v>
      </c>
      <c r="R264">
        <f t="shared" si="170"/>
        <v>1.5500069853793743</v>
      </c>
      <c r="S264">
        <f t="shared" si="171"/>
        <v>0.7175219166551472</v>
      </c>
      <c r="T264">
        <f t="shared" si="172"/>
        <v>-0.77055828390073644</v>
      </c>
      <c r="U264">
        <f t="shared" si="173"/>
        <v>0.46403562462295295</v>
      </c>
      <c r="V264">
        <f t="shared" si="174"/>
        <v>-1.0882507116374855</v>
      </c>
      <c r="X264">
        <f t="shared" si="192"/>
        <v>-25.68930886371227</v>
      </c>
      <c r="Y264">
        <f t="shared" si="175"/>
        <v>-151.83788177191983</v>
      </c>
      <c r="Z264">
        <f t="shared" si="193"/>
        <v>28.162118228080175</v>
      </c>
      <c r="AC264">
        <v>1</v>
      </c>
      <c r="AD264">
        <f t="shared" si="176"/>
        <v>106.26437138625002</v>
      </c>
      <c r="AE264">
        <f t="shared" si="177"/>
        <v>-2.5037952607793505E-2</v>
      </c>
      <c r="AF264">
        <f t="shared" si="178"/>
        <v>1.311614931375E-2</v>
      </c>
      <c r="AG264">
        <f t="shared" si="194"/>
        <v>1713.2129508224125</v>
      </c>
      <c r="AH264">
        <f t="shared" si="195"/>
        <v>-3346.6639956387962</v>
      </c>
      <c r="AJ264">
        <f t="shared" si="179"/>
        <v>20000</v>
      </c>
      <c r="AK264">
        <f t="shared" si="180"/>
        <v>19415.042577</v>
      </c>
      <c r="AL264">
        <v>1</v>
      </c>
      <c r="AM264">
        <f t="shared" si="181"/>
        <v>48.094641878849998</v>
      </c>
      <c r="AN264">
        <f t="shared" si="196"/>
        <v>412.15235068414393</v>
      </c>
      <c r="AO264">
        <f t="shared" si="197"/>
        <v>-407.27712868010286</v>
      </c>
      <c r="AQ264">
        <f t="shared" si="182"/>
        <v>3.9999840000639997E-2</v>
      </c>
      <c r="AR264">
        <f t="shared" si="183"/>
        <v>-19.99992000032</v>
      </c>
      <c r="AT264">
        <f t="shared" si="209"/>
        <v>-66864.483936807286</v>
      </c>
      <c r="AU264">
        <f t="shared" si="210"/>
        <v>-34397.987984321866</v>
      </c>
      <c r="AV264">
        <f t="shared" si="198"/>
        <v>-2.6664572551661334</v>
      </c>
      <c r="AW264">
        <f t="shared" si="199"/>
        <v>-6176.098838420211</v>
      </c>
      <c r="AX264">
        <f t="shared" si="200"/>
        <v>-12558.48175552626</v>
      </c>
      <c r="AY264">
        <f t="shared" si="208"/>
        <v>-2.0278520245130709</v>
      </c>
      <c r="BA264">
        <f t="shared" si="184"/>
        <v>5.3728968845000011</v>
      </c>
      <c r="BB264">
        <f t="shared" si="201"/>
        <v>14.604170115217642</v>
      </c>
      <c r="BC264">
        <f t="shared" si="202"/>
        <v>-0.63860523065306252</v>
      </c>
      <c r="BD264">
        <f t="shared" si="185"/>
        <v>-216.58938453320843</v>
      </c>
      <c r="BF264">
        <f t="shared" si="186"/>
        <v>-27.32809085947769</v>
      </c>
      <c r="BG264">
        <f t="shared" si="187"/>
        <v>-170.19504894951797</v>
      </c>
      <c r="BH264">
        <f t="shared" si="203"/>
        <v>9.8049510504820319</v>
      </c>
      <c r="BI264">
        <f t="shared" si="204"/>
        <v>9.8049510504820319</v>
      </c>
      <c r="BJ264">
        <f t="shared" si="188"/>
        <v>0</v>
      </c>
      <c r="BK264">
        <f t="shared" si="205"/>
        <v>0</v>
      </c>
      <c r="BM264">
        <f t="shared" si="206"/>
        <v>-41.932260974695332</v>
      </c>
      <c r="BN264">
        <f t="shared" si="189"/>
        <v>-133.60566441630957</v>
      </c>
      <c r="BQ264" s="66">
        <f t="shared" si="207"/>
        <v>31.50613091550278</v>
      </c>
      <c r="BR264" s="71"/>
      <c r="BS264" s="71"/>
      <c r="BT264" s="71">
        <v>34673.684999999998</v>
      </c>
      <c r="BU264" s="71">
        <v>-1.6807799999999999</v>
      </c>
      <c r="BV264" s="71">
        <v>-148.328</v>
      </c>
      <c r="BY264" s="71"/>
      <c r="BZ264" s="71"/>
      <c r="CA264" s="71"/>
      <c r="CC264" s="71"/>
    </row>
    <row r="265" spans="1:81" x14ac:dyDescent="0.15">
      <c r="A265">
        <f t="shared" si="211"/>
        <v>255000</v>
      </c>
      <c r="B265">
        <f t="shared" si="191"/>
        <v>255</v>
      </c>
      <c r="C265">
        <f t="shared" ref="C265:C328" si="212">SQRT((A265/Fesr)^2+1)</f>
        <v>1.4554112248646356</v>
      </c>
      <c r="D265">
        <f t="shared" ref="D265:D328" si="213">ATAN(A265/Fesr)</f>
        <v>0.81331858557345438</v>
      </c>
      <c r="F265">
        <f t="shared" ref="F265:F328" si="214">(Ro/(Ro+Rdcr))/SQRT((A265/(Q*Fo))^2+(1-(A265^2/Fo^2))^2)</f>
        <v>3.5612398361454037E-4</v>
      </c>
      <c r="G265">
        <f t="shared" ref="G265:G328" si="215">-ATAN(A265*Fo/(Q*(Fo^2-A265^2)))</f>
        <v>6.1822896035309671E-3</v>
      </c>
      <c r="H265">
        <f t="shared" ref="H265:H328" si="216">IF(G265&gt;0,G265-Pi,G265)</f>
        <v>-3.1354103603964694</v>
      </c>
      <c r="J265">
        <f t="shared" ref="J265:J328" si="217">Vin/Vramp</f>
        <v>15</v>
      </c>
      <c r="M265">
        <f t="shared" ref="M265:M328" si="218">1/(2*Pi*_Rfb1*(Cc1ea_u+Cc2ea_u)*A265)</f>
        <v>3.7373474996772659E-3</v>
      </c>
      <c r="N265">
        <f t="shared" ref="N265:N328" si="219">-Pi/2</f>
        <v>-1.5707963250000001</v>
      </c>
      <c r="O265">
        <f t="shared" ref="O265:O328" si="220">SQRT(1+(A265/Fz1_u)^2)</f>
        <v>108.39427170201343</v>
      </c>
      <c r="P265">
        <f t="shared" ref="P265:P328" si="221">ATAN2(Fz1_u,A265)</f>
        <v>1.5615706161548288</v>
      </c>
      <c r="Q265">
        <f t="shared" ref="Q265:Q328" si="222">SQRT(1+(A265/Fz2_u)^2)</f>
        <v>49.066725979873659</v>
      </c>
      <c r="R265">
        <f t="shared" ref="R265:R328" si="223">ATAN2(Fz2_u,A265)</f>
        <v>1.5504145055132865</v>
      </c>
      <c r="S265">
        <f t="shared" ref="S265:S328" si="224">1/SQRT(1+(A265/Fp1_u)^2)</f>
        <v>0.7105917141621505</v>
      </c>
      <c r="T265">
        <f t="shared" ref="T265:T328" si="225">-ATAN2(Fp1_u,A265)</f>
        <v>-0.78045749876030457</v>
      </c>
      <c r="U265">
        <f t="shared" ref="U265:U328" si="226">1/SQRT(1+(A265/Fp2_u)^2)</f>
        <v>0.45685087320243856</v>
      </c>
      <c r="V265">
        <f t="shared" ref="V265:V328" si="227">-ATAN2(Fp2_u,A265)</f>
        <v>-1.0963445211858687</v>
      </c>
      <c r="X265">
        <f t="shared" si="192"/>
        <v>-25.991406142275835</v>
      </c>
      <c r="Y265">
        <f t="shared" ref="Y265:Y328" si="228">(180/Pi)*(D265+H265+N265+P265+R265+T265+V265)</f>
        <v>-152.27527975601581</v>
      </c>
      <c r="Z265">
        <f t="shared" si="193"/>
        <v>27.724720243984194</v>
      </c>
      <c r="AC265">
        <v>1</v>
      </c>
      <c r="AD265">
        <f t="shared" ref="AD265:AD328" si="229">Rcea1_u*Cc1ea_u*A265*2*Pi</f>
        <v>108.389658813975</v>
      </c>
      <c r="AE265">
        <f t="shared" ref="AE265:AE328" si="230">-Rcea1_u*Cc1ea_u*Cc2ea_u*(A265*2*Pi)^2</f>
        <v>-2.6049485893148355E-2</v>
      </c>
      <c r="AF265">
        <f t="shared" ref="AF265:AF328" si="231">(Cc2ea_u+Cc1ea_u)*A265*2*Pi</f>
        <v>1.3378472300025002E-2</v>
      </c>
      <c r="AG265">
        <f t="shared" si="194"/>
        <v>1660.5716570324169</v>
      </c>
      <c r="AH265">
        <f t="shared" si="195"/>
        <v>-3308.0786028420621</v>
      </c>
      <c r="AJ265">
        <f t="shared" ref="AJ265:AJ328" si="232">_Rfb1</f>
        <v>20000</v>
      </c>
      <c r="AK265">
        <f t="shared" ref="AK265:AK328" si="233">_Rfb1*Rcea2_u*Cc3ea_u*A265*2*Pi</f>
        <v>19803.34342854</v>
      </c>
      <c r="AL265">
        <v>1</v>
      </c>
      <c r="AM265">
        <f t="shared" ref="AM265:AM328" si="234">(_Rfb1+Rcea2_u)*Cc3ea_u*A265*2*Pi</f>
        <v>49.056534716427002</v>
      </c>
      <c r="AN265">
        <f t="shared" si="196"/>
        <v>411.82365506028759</v>
      </c>
      <c r="AO265">
        <f t="shared" si="197"/>
        <v>-399.29800297085484</v>
      </c>
      <c r="AQ265">
        <f t="shared" ref="AQ265:AQ328" si="235">Eadcg/(1+(Eadcg*A265/GBP)^2)</f>
        <v>3.8446603434819551E-2</v>
      </c>
      <c r="AR265">
        <f t="shared" ref="AR265:AR328" si="236">-(A265*Eadcg*Eadcg/GBP)/(1+(Eadcg*A265/GBP)^2)</f>
        <v>-19.607767751757972</v>
      </c>
      <c r="AT265">
        <f t="shared" si="209"/>
        <v>-64800.193609114125</v>
      </c>
      <c r="AU265">
        <f t="shared" si="210"/>
        <v>-32687.287772418204</v>
      </c>
      <c r="AV265">
        <f t="shared" si="198"/>
        <v>-2.6744057768199614</v>
      </c>
      <c r="AW265">
        <f t="shared" si="199"/>
        <v>-5908.3386769048211</v>
      </c>
      <c r="AX265">
        <f t="shared" si="200"/>
        <v>-12329.340432459361</v>
      </c>
      <c r="AY265">
        <f t="shared" si="208"/>
        <v>-2.0176737362457589</v>
      </c>
      <c r="BA265">
        <f t="shared" ref="BA265:BA328" si="237">SQRT(AT265^2+AU265^2)/SQRT(AW265^2+AX265^2)</f>
        <v>5.30852773354317</v>
      </c>
      <c r="BB265">
        <f t="shared" si="201"/>
        <v>14.49948181200577</v>
      </c>
      <c r="BC265">
        <f t="shared" si="202"/>
        <v>-0.65673204057420254</v>
      </c>
      <c r="BD265">
        <f t="shared" ref="BD265:BD328" si="238">BC265*180/Pi-180</f>
        <v>-217.62797423891237</v>
      </c>
      <c r="BF265">
        <f t="shared" ref="BF265:BF328" si="239">20*LOG(BA265*J265*F265*C265)</f>
        <v>-27.686954149685178</v>
      </c>
      <c r="BG265">
        <f t="shared" ref="BG265:BG328" si="240">(180/Pi)*(D265+H265+BC265)</f>
        <v>-170.67403273034111</v>
      </c>
      <c r="BH265">
        <f t="shared" si="203"/>
        <v>9.3259672696588893</v>
      </c>
      <c r="BI265">
        <f t="shared" si="204"/>
        <v>9.3259672696588893</v>
      </c>
      <c r="BJ265">
        <f t="shared" ref="BJ265:BJ328" si="241">SUM((BF266&lt;0)*(BF265&gt;0))*A265</f>
        <v>0</v>
      </c>
      <c r="BK265">
        <f t="shared" si="205"/>
        <v>0</v>
      </c>
      <c r="BM265">
        <f t="shared" si="206"/>
        <v>-42.186435961690954</v>
      </c>
      <c r="BN265">
        <f t="shared" ref="BN265:BN328" si="242">(H265+D265)*180/Pi</f>
        <v>-133.04605849142874</v>
      </c>
      <c r="BQ265" s="66">
        <f t="shared" si="207"/>
        <v>31.401442612290907</v>
      </c>
      <c r="BR265" s="71"/>
      <c r="BS265" s="71"/>
      <c r="BT265" s="71">
        <v>35481.339</v>
      </c>
      <c r="BU265" s="71">
        <v>-1.5620799999999999</v>
      </c>
      <c r="BV265" s="71">
        <v>-147.47</v>
      </c>
      <c r="BY265" s="71"/>
      <c r="BZ265" s="71"/>
      <c r="CA265" s="71"/>
      <c r="CC265" s="71"/>
    </row>
    <row r="266" spans="1:81" x14ac:dyDescent="0.15">
      <c r="A266">
        <f t="shared" si="211"/>
        <v>260000</v>
      </c>
      <c r="B266">
        <f t="shared" ref="B266:B329" si="243">A266/1000</f>
        <v>260</v>
      </c>
      <c r="C266">
        <f t="shared" si="212"/>
        <v>1.4705453376333077</v>
      </c>
      <c r="D266">
        <f t="shared" si="213"/>
        <v>0.82300663760933779</v>
      </c>
      <c r="F266">
        <f t="shared" si="214"/>
        <v>3.425541367098359E-4</v>
      </c>
      <c r="G266">
        <f t="shared" si="215"/>
        <v>6.0633187682837507E-3</v>
      </c>
      <c r="H266">
        <f t="shared" si="216"/>
        <v>-3.1355293312317163</v>
      </c>
      <c r="J266">
        <f t="shared" si="217"/>
        <v>15</v>
      </c>
      <c r="M266">
        <f t="shared" si="218"/>
        <v>3.6654754323757798E-3</v>
      </c>
      <c r="N266">
        <f t="shared" si="219"/>
        <v>-1.5707963250000001</v>
      </c>
      <c r="O266">
        <f t="shared" si="220"/>
        <v>110.51947042402004</v>
      </c>
      <c r="P266">
        <f t="shared" si="221"/>
        <v>1.5617480238887096</v>
      </c>
      <c r="Q266">
        <f t="shared" si="222"/>
        <v>50.028422871155428</v>
      </c>
      <c r="R266">
        <f t="shared" si="223"/>
        <v>1.5508063581826914</v>
      </c>
      <c r="S266">
        <f t="shared" si="224"/>
        <v>0.70372711093187057</v>
      </c>
      <c r="T266">
        <f t="shared" si="225"/>
        <v>-0.7901663890101096</v>
      </c>
      <c r="U266">
        <f t="shared" si="226"/>
        <v>0.44985708055277018</v>
      </c>
      <c r="V266">
        <f t="shared" si="227"/>
        <v>-1.1041910203520404</v>
      </c>
      <c r="X266">
        <f t="shared" ref="X266:X329" si="244">20*LOG(C266*J266*O266*Q266*F266*M266*S266*U266)</f>
        <v>-26.288726852496048</v>
      </c>
      <c r="Y266">
        <f t="shared" si="228"/>
        <v>-152.7002452925789</v>
      </c>
      <c r="Z266">
        <f t="shared" ref="Z266:Z329" si="245">Y266+180</f>
        <v>27.299754707421101</v>
      </c>
      <c r="AC266">
        <v>1</v>
      </c>
      <c r="AD266">
        <f t="shared" si="229"/>
        <v>110.51494624170002</v>
      </c>
      <c r="AE266">
        <f t="shared" si="230"/>
        <v>-2.7081049540589451E-2</v>
      </c>
      <c r="AF266">
        <f t="shared" si="231"/>
        <v>1.3640795286300002E-2</v>
      </c>
      <c r="AG266">
        <f t="shared" ref="AG266:AG329" si="246">AC266*AE266/(AE266^2+AF266^2)+AD266*AF266/(AE266^2+AF266^2)</f>
        <v>1610.1184380426962</v>
      </c>
      <c r="AH266">
        <f t="shared" ref="AH266:AH329" si="247">AD266*AE266/(AE266^2+AF266^2)-AC266*AF266/(AE266^2+AF266^2)</f>
        <v>-3269.8751246306033</v>
      </c>
      <c r="AJ266">
        <f t="shared" si="232"/>
        <v>20000</v>
      </c>
      <c r="AK266">
        <f t="shared" si="233"/>
        <v>20191.64428008</v>
      </c>
      <c r="AL266">
        <v>1</v>
      </c>
      <c r="AM266">
        <f t="shared" si="234"/>
        <v>50.018427554003999</v>
      </c>
      <c r="AN266">
        <f t="shared" ref="AN266:AN329" si="248">AJ266*AL266/(AL266^2+AM266^2)+AK266*AM266/(AL266^2+AM266^2)</f>
        <v>411.51372960102731</v>
      </c>
      <c r="AO266">
        <f t="shared" ref="AO266:AO329" si="249">AK266*AL266/(AL266^2+AM266^2)-AJ266*AM266/(AL266^2+AM266^2)</f>
        <v>-391.62539144697496</v>
      </c>
      <c r="AQ266">
        <f t="shared" si="235"/>
        <v>3.6982111752545295E-2</v>
      </c>
      <c r="AR266">
        <f t="shared" si="236"/>
        <v>-19.230698111323552</v>
      </c>
      <c r="AT266">
        <f t="shared" si="209"/>
        <v>-62822.435803487082</v>
      </c>
      <c r="AU266">
        <f t="shared" si="210"/>
        <v>-31084.62849275086</v>
      </c>
      <c r="AV266">
        <f t="shared" ref="AV266:AV329" si="250">ATAN2(AT266,AU266)</f>
        <v>-2.6821125755006987</v>
      </c>
      <c r="AW266">
        <f t="shared" ref="AW266:AW329" si="251">AG266-AH266*AO266/_Rfb2+AG266*AN266/_Rfb2+AN266-AO266*AR266+AQ266*AN266</f>
        <v>-5656.598685324715</v>
      </c>
      <c r="AX266">
        <f t="shared" ref="AX266:AX329" si="252">AH266+AH266*AN266/_Rfb2+AG266*AO266/_Rfb2+AO266+AO266*AQ266+AN266*AR266</f>
        <v>-12108.422417694608</v>
      </c>
      <c r="AY266">
        <f t="shared" si="208"/>
        <v>-2.0078304223406827</v>
      </c>
      <c r="BA266">
        <f t="shared" si="237"/>
        <v>5.2446367538438263</v>
      </c>
      <c r="BB266">
        <f t="shared" ref="BB266:BB329" si="253">20*LOG(BA266)</f>
        <v>14.394308282377251</v>
      </c>
      <c r="BC266">
        <f t="shared" ref="BC266:BC329" si="254">AV266-AY266</f>
        <v>-0.67428215316001605</v>
      </c>
      <c r="BD266">
        <f t="shared" si="238"/>
        <v>-218.63352162120793</v>
      </c>
      <c r="BF266">
        <f t="shared" si="239"/>
        <v>-28.039713836079731</v>
      </c>
      <c r="BG266">
        <f t="shared" si="240"/>
        <v>-171.13131214539573</v>
      </c>
      <c r="BH266">
        <f t="shared" ref="BH266:BH329" si="255">IF(BG266&gt;180,BG266-180,BG266+180)</f>
        <v>8.8686878546042749</v>
      </c>
      <c r="BI266">
        <f t="shared" ref="BI266:BI329" si="256">IF(BH266&gt;180,BH266-360,BH266)</f>
        <v>8.8686878546042749</v>
      </c>
      <c r="BJ266">
        <f t="shared" si="241"/>
        <v>0</v>
      </c>
      <c r="BK266">
        <f t="shared" ref="BK266:BK329" si="257">IF(BJ266&gt;0,BI266,0)</f>
        <v>0</v>
      </c>
      <c r="BM266">
        <f t="shared" ref="BM266:BM329" si="258">20*LOG(J266*F266*C266)</f>
        <v>-42.434022118456987</v>
      </c>
      <c r="BN266">
        <f t="shared" si="242"/>
        <v>-132.49779052418782</v>
      </c>
      <c r="BQ266" s="66">
        <f t="shared" ref="BQ266:BQ329" si="259">20*LOG(BA266*7)</f>
        <v>31.296269082662388</v>
      </c>
      <c r="BR266" s="71"/>
      <c r="BS266" s="71"/>
      <c r="BT266" s="71">
        <v>36307.805</v>
      </c>
      <c r="BU266" s="71">
        <v>-1.4274800000000001</v>
      </c>
      <c r="BV266" s="71">
        <v>-146.52500000000001</v>
      </c>
      <c r="BY266" s="71"/>
      <c r="BZ266" s="71"/>
      <c r="CA266" s="71"/>
      <c r="CC266" s="71"/>
    </row>
    <row r="267" spans="1:81" x14ac:dyDescent="0.15">
      <c r="A267">
        <f t="shared" si="211"/>
        <v>265000</v>
      </c>
      <c r="B267">
        <f t="shared" si="243"/>
        <v>265</v>
      </c>
      <c r="C267">
        <f t="shared" si="212"/>
        <v>1.4858146541684123</v>
      </c>
      <c r="D267">
        <f t="shared" si="213"/>
        <v>0.8324964422130392</v>
      </c>
      <c r="F267">
        <f t="shared" si="214"/>
        <v>3.2974544976927076E-4</v>
      </c>
      <c r="G267">
        <f t="shared" si="215"/>
        <v>5.948841836978247E-3</v>
      </c>
      <c r="H267">
        <f t="shared" si="216"/>
        <v>-3.1356438081630218</v>
      </c>
      <c r="J267">
        <f t="shared" si="217"/>
        <v>15</v>
      </c>
      <c r="M267">
        <f t="shared" si="218"/>
        <v>3.5963155185573686E-3</v>
      </c>
      <c r="N267">
        <f t="shared" si="219"/>
        <v>-1.5707963250000001</v>
      </c>
      <c r="O267">
        <f t="shared" si="220"/>
        <v>112.64467249321056</v>
      </c>
      <c r="P267">
        <f t="shared" si="221"/>
        <v>1.5619187375290018</v>
      </c>
      <c r="Q267">
        <f t="shared" si="222"/>
        <v>50.990127154462471</v>
      </c>
      <c r="R267">
        <f t="shared" si="223"/>
        <v>1.5511834297569496</v>
      </c>
      <c r="S267">
        <f t="shared" si="224"/>
        <v>0.69693005106730177</v>
      </c>
      <c r="T267">
        <f t="shared" si="225"/>
        <v>-0.79968861280525461</v>
      </c>
      <c r="U267">
        <f t="shared" si="226"/>
        <v>0.44304813595324871</v>
      </c>
      <c r="V267">
        <f t="shared" si="227"/>
        <v>-1.1118004502782097</v>
      </c>
      <c r="X267">
        <f t="shared" si="244"/>
        <v>-26.581412970329769</v>
      </c>
      <c r="Y267">
        <f t="shared" si="228"/>
        <v>-153.11326425930781</v>
      </c>
      <c r="Z267">
        <f t="shared" si="245"/>
        <v>26.886735740692188</v>
      </c>
      <c r="AC267">
        <v>1</v>
      </c>
      <c r="AD267">
        <f t="shared" si="229"/>
        <v>112.64023366942502</v>
      </c>
      <c r="AE267">
        <f t="shared" si="230"/>
        <v>-2.8132643550116781E-2</v>
      </c>
      <c r="AF267">
        <f t="shared" si="231"/>
        <v>1.3903118272575E-2</v>
      </c>
      <c r="AG267">
        <f t="shared" si="246"/>
        <v>1561.74645821014</v>
      </c>
      <c r="AH267">
        <f t="shared" si="247"/>
        <v>-3232.0847412427715</v>
      </c>
      <c r="AJ267">
        <f t="shared" si="232"/>
        <v>20000</v>
      </c>
      <c r="AK267">
        <f t="shared" si="233"/>
        <v>20579.945131619999</v>
      </c>
      <c r="AL267">
        <v>1</v>
      </c>
      <c r="AM267">
        <f t="shared" si="234"/>
        <v>50.980320391580996</v>
      </c>
      <c r="AN267">
        <f t="shared" si="248"/>
        <v>411.22117205910388</v>
      </c>
      <c r="AO267">
        <f t="shared" si="249"/>
        <v>-384.24197175457203</v>
      </c>
      <c r="AQ267">
        <f t="shared" si="235"/>
        <v>3.559973086603465E-2</v>
      </c>
      <c r="AR267">
        <f t="shared" si="236"/>
        <v>-18.867857358998364</v>
      </c>
      <c r="AT267">
        <f t="shared" si="209"/>
        <v>-60926.916116370492</v>
      </c>
      <c r="AU267">
        <f t="shared" si="210"/>
        <v>-29581.870751354279</v>
      </c>
      <c r="AV267">
        <f t="shared" si="250"/>
        <v>-2.6895875761251506</v>
      </c>
      <c r="AW267">
        <f t="shared" si="251"/>
        <v>-5419.6315648573536</v>
      </c>
      <c r="AX267">
        <f t="shared" si="252"/>
        <v>-11895.280472358078</v>
      </c>
      <c r="AY267">
        <f t="shared" ref="AY267:AY330" si="260">ATAN2(AW267,AX267)</f>
        <v>-1.9983073155508184</v>
      </c>
      <c r="BA267">
        <f t="shared" si="237"/>
        <v>5.1813110939794882</v>
      </c>
      <c r="BB267">
        <f t="shared" si="253"/>
        <v>14.288793375727234</v>
      </c>
      <c r="BC267">
        <f t="shared" si="254"/>
        <v>-0.69128026057433223</v>
      </c>
      <c r="BD267">
        <f t="shared" si="238"/>
        <v>-219.60744143687114</v>
      </c>
      <c r="BF267">
        <f t="shared" si="239"/>
        <v>-28.386512469343863</v>
      </c>
      <c r="BG267">
        <f t="shared" si="240"/>
        <v>-171.56806525326462</v>
      </c>
      <c r="BH267">
        <f t="shared" si="255"/>
        <v>8.4319347467353793</v>
      </c>
      <c r="BI267">
        <f t="shared" si="256"/>
        <v>8.4319347467353793</v>
      </c>
      <c r="BJ267">
        <f t="shared" si="241"/>
        <v>0</v>
      </c>
      <c r="BK267">
        <f t="shared" si="257"/>
        <v>0</v>
      </c>
      <c r="BM267">
        <f t="shared" si="258"/>
        <v>-42.675305845071101</v>
      </c>
      <c r="BN267">
        <f t="shared" si="242"/>
        <v>-131.96062381639351</v>
      </c>
      <c r="BQ267" s="66">
        <f t="shared" si="259"/>
        <v>31.190754176012369</v>
      </c>
      <c r="BR267" s="71"/>
      <c r="BS267" s="71"/>
      <c r="BT267" s="71">
        <v>37153.523000000001</v>
      </c>
      <c r="BU267" s="71">
        <v>-1.30297</v>
      </c>
      <c r="BV267" s="71">
        <v>-145.744</v>
      </c>
      <c r="BY267" s="71"/>
      <c r="BZ267" s="71"/>
      <c r="CA267" s="71"/>
      <c r="CC267" s="71"/>
    </row>
    <row r="268" spans="1:81" x14ac:dyDescent="0.15">
      <c r="A268">
        <f t="shared" si="211"/>
        <v>270000</v>
      </c>
      <c r="B268">
        <f t="shared" si="243"/>
        <v>270</v>
      </c>
      <c r="C268">
        <f t="shared" si="212"/>
        <v>1.5012150488792719</v>
      </c>
      <c r="D268">
        <f t="shared" si="213"/>
        <v>0.84179236517498457</v>
      </c>
      <c r="F268">
        <f t="shared" si="214"/>
        <v>3.1764203696322852E-4</v>
      </c>
      <c r="G268">
        <f t="shared" si="215"/>
        <v>5.8386088284419846E-3</v>
      </c>
      <c r="H268">
        <f t="shared" si="216"/>
        <v>-3.1357540411715581</v>
      </c>
      <c r="J268">
        <f t="shared" si="217"/>
        <v>15</v>
      </c>
      <c r="M268">
        <f t="shared" si="218"/>
        <v>3.5297170830285293E-3</v>
      </c>
      <c r="N268">
        <f t="shared" si="219"/>
        <v>-1.5707963250000001</v>
      </c>
      <c r="O268">
        <f t="shared" si="220"/>
        <v>114.76987772364483</v>
      </c>
      <c r="P268">
        <f t="shared" si="221"/>
        <v>1.5620831289310559</v>
      </c>
      <c r="Q268">
        <f t="shared" si="222"/>
        <v>51.95183841928327</v>
      </c>
      <c r="R268">
        <f t="shared" si="223"/>
        <v>1.5515465409905682</v>
      </c>
      <c r="S268">
        <f t="shared" si="224"/>
        <v>0.69020224129660723</v>
      </c>
      <c r="T268">
        <f t="shared" si="225"/>
        <v>-0.80902782444328947</v>
      </c>
      <c r="U268">
        <f t="shared" si="226"/>
        <v>0.43641808548521432</v>
      </c>
      <c r="V268">
        <f t="shared" si="227"/>
        <v>-1.1191825524997945</v>
      </c>
      <c r="X268">
        <f t="shared" si="244"/>
        <v>-26.869600357936783</v>
      </c>
      <c r="Y268">
        <f t="shared" si="228"/>
        <v>-153.51480003088429</v>
      </c>
      <c r="Z268">
        <f t="shared" si="245"/>
        <v>26.485199969115712</v>
      </c>
      <c r="AC268">
        <v>1</v>
      </c>
      <c r="AD268">
        <f t="shared" si="229"/>
        <v>114.76552109715003</v>
      </c>
      <c r="AE268">
        <f t="shared" si="230"/>
        <v>-2.920426792173034E-2</v>
      </c>
      <c r="AF268">
        <f t="shared" si="231"/>
        <v>1.4165441258850001E-2</v>
      </c>
      <c r="AG268">
        <f t="shared" si="246"/>
        <v>1515.3542868036925</v>
      </c>
      <c r="AH268">
        <f t="shared" si="247"/>
        <v>-3194.7337016334905</v>
      </c>
      <c r="AJ268">
        <f t="shared" si="232"/>
        <v>20000</v>
      </c>
      <c r="AK268">
        <f t="shared" si="233"/>
        <v>20968.245983159999</v>
      </c>
      <c r="AL268">
        <v>1</v>
      </c>
      <c r="AM268">
        <f t="shared" si="234"/>
        <v>51.942213229158</v>
      </c>
      <c r="AN268">
        <f t="shared" si="248"/>
        <v>410.94470871295789</v>
      </c>
      <c r="AO268">
        <f t="shared" si="249"/>
        <v>-377.13170220268233</v>
      </c>
      <c r="AQ268">
        <f t="shared" si="235"/>
        <v>3.4293435207698189E-2</v>
      </c>
      <c r="AR268">
        <f t="shared" si="236"/>
        <v>-18.518455012157023</v>
      </c>
      <c r="AT268">
        <f t="shared" si="209"/>
        <v>-59109.565625470466</v>
      </c>
      <c r="AU268">
        <f t="shared" si="210"/>
        <v>-28171.578580856287</v>
      </c>
      <c r="AV268">
        <f t="shared" si="250"/>
        <v>-2.6968402274235612</v>
      </c>
      <c r="AW268">
        <f t="shared" si="251"/>
        <v>-5196.3082495506105</v>
      </c>
      <c r="AX268">
        <f t="shared" si="252"/>
        <v>-11689.500747379921</v>
      </c>
      <c r="AY268">
        <f t="shared" si="260"/>
        <v>-1.989090274636871</v>
      </c>
      <c r="BA268">
        <f t="shared" si="237"/>
        <v>5.1186246876832939</v>
      </c>
      <c r="BB268">
        <f t="shared" si="253"/>
        <v>14.183065739886874</v>
      </c>
      <c r="BC268">
        <f t="shared" si="254"/>
        <v>-0.70774995278669017</v>
      </c>
      <c r="BD268">
        <f t="shared" si="238"/>
        <v>-220.55108529159699</v>
      </c>
      <c r="BF268">
        <f t="shared" si="239"/>
        <v>-28.727491444623286</v>
      </c>
      <c r="BG268">
        <f t="shared" si="240"/>
        <v>-171.98540784114306</v>
      </c>
      <c r="BH268">
        <f t="shared" si="255"/>
        <v>8.0145921588569422</v>
      </c>
      <c r="BI268">
        <f t="shared" si="256"/>
        <v>8.0145921588569422</v>
      </c>
      <c r="BJ268">
        <f t="shared" si="241"/>
        <v>0</v>
      </c>
      <c r="BK268">
        <f t="shared" si="257"/>
        <v>0</v>
      </c>
      <c r="BM268">
        <f t="shared" si="258"/>
        <v>-42.910557184510161</v>
      </c>
      <c r="BN268">
        <f t="shared" si="242"/>
        <v>-131.4343225495461</v>
      </c>
      <c r="BQ268" s="66">
        <f t="shared" si="259"/>
        <v>31.085026540172013</v>
      </c>
      <c r="BR268" s="71"/>
      <c r="BS268" s="71"/>
      <c r="BT268" s="71">
        <v>38018.94</v>
      </c>
      <c r="BU268" s="71">
        <v>-1.18652</v>
      </c>
      <c r="BV268" s="71">
        <v>-144.86799999999999</v>
      </c>
      <c r="BY268" s="71"/>
      <c r="BZ268" s="71"/>
      <c r="CA268" s="71"/>
      <c r="CC268" s="71"/>
    </row>
    <row r="269" spans="1:81" x14ac:dyDescent="0.15">
      <c r="A269">
        <f t="shared" si="211"/>
        <v>275000</v>
      </c>
      <c r="B269">
        <f t="shared" si="243"/>
        <v>275</v>
      </c>
      <c r="C269">
        <f t="shared" si="212"/>
        <v>1.5167425290256253</v>
      </c>
      <c r="D269">
        <f t="shared" si="213"/>
        <v>0.85089872981263737</v>
      </c>
      <c r="F269">
        <f t="shared" si="214"/>
        <v>3.0619304941796767E-4</v>
      </c>
      <c r="G269">
        <f t="shared" si="215"/>
        <v>5.7323879702541368E-3</v>
      </c>
      <c r="H269">
        <f t="shared" si="216"/>
        <v>-3.135860262029746</v>
      </c>
      <c r="J269">
        <f t="shared" si="217"/>
        <v>15</v>
      </c>
      <c r="M269">
        <f t="shared" si="218"/>
        <v>3.4655404087916464E-3</v>
      </c>
      <c r="N269">
        <f t="shared" si="219"/>
        <v>-1.5707963250000001</v>
      </c>
      <c r="O269">
        <f t="shared" si="220"/>
        <v>116.89508594290434</v>
      </c>
      <c r="P269">
        <f t="shared" si="221"/>
        <v>1.562241542909623</v>
      </c>
      <c r="Q269">
        <f t="shared" si="222"/>
        <v>52.913556284947887</v>
      </c>
      <c r="R269">
        <f t="shared" si="223"/>
        <v>1.5518964529837196</v>
      </c>
      <c r="S269">
        <f t="shared" si="224"/>
        <v>0.68354516598915094</v>
      </c>
      <c r="T269">
        <f t="shared" si="225"/>
        <v>-0.81818766685377964</v>
      </c>
      <c r="U269">
        <f t="shared" si="226"/>
        <v>0.42996113778197886</v>
      </c>
      <c r="V269">
        <f t="shared" si="227"/>
        <v>-1.1263465943608824</v>
      </c>
      <c r="X269">
        <f t="shared" si="244"/>
        <v>-27.15341911636088</v>
      </c>
      <c r="Y269">
        <f t="shared" si="228"/>
        <v>-153.90529451898129</v>
      </c>
      <c r="Z269">
        <f t="shared" si="245"/>
        <v>26.094705481018707</v>
      </c>
      <c r="AC269">
        <v>1</v>
      </c>
      <c r="AD269">
        <f t="shared" si="229"/>
        <v>116.89080852487501</v>
      </c>
      <c r="AE269">
        <f t="shared" si="230"/>
        <v>-3.0295922655430137E-2</v>
      </c>
      <c r="AF269">
        <f t="shared" si="231"/>
        <v>1.4427764245125001E-2</v>
      </c>
      <c r="AG269">
        <f t="shared" si="246"/>
        <v>1470.8456800163328</v>
      </c>
      <c r="AH269">
        <f t="shared" si="247"/>
        <v>-3157.8438755847324</v>
      </c>
      <c r="AJ269">
        <f t="shared" si="232"/>
        <v>20000</v>
      </c>
      <c r="AK269">
        <f t="shared" si="233"/>
        <v>21356.546834700002</v>
      </c>
      <c r="AL269">
        <v>1</v>
      </c>
      <c r="AM269">
        <f t="shared" si="234"/>
        <v>52.904106066735004</v>
      </c>
      <c r="AN269">
        <f t="shared" si="248"/>
        <v>410.6831804868753</v>
      </c>
      <c r="AO269">
        <f t="shared" si="249"/>
        <v>-370.27970560172605</v>
      </c>
      <c r="AQ269">
        <f t="shared" si="235"/>
        <v>3.3057741957877827E-2</v>
      </c>
      <c r="AR269">
        <f t="shared" si="236"/>
        <v>-18.181758076832804</v>
      </c>
      <c r="AT269">
        <f t="shared" si="209"/>
        <v>-57366.530553339871</v>
      </c>
      <c r="AU269">
        <f t="shared" si="210"/>
        <v>-26846.951510393945</v>
      </c>
      <c r="AV269">
        <f t="shared" si="250"/>
        <v>-2.7038795252263728</v>
      </c>
      <c r="AW269">
        <f t="shared" si="251"/>
        <v>-4985.604812563497</v>
      </c>
      <c r="AX269">
        <f t="shared" si="252"/>
        <v>-11490.699564801249</v>
      </c>
      <c r="AY269">
        <f t="shared" si="260"/>
        <v>-1.9801657782009316</v>
      </c>
      <c r="BA269">
        <f t="shared" si="237"/>
        <v>5.0566397724005734</v>
      </c>
      <c r="BB269">
        <f t="shared" si="253"/>
        <v>14.077240324654136</v>
      </c>
      <c r="BC269">
        <f t="shared" si="254"/>
        <v>-0.72371374702544111</v>
      </c>
      <c r="BD269">
        <f t="shared" si="238"/>
        <v>-221.46574332753784</v>
      </c>
      <c r="BF269">
        <f t="shared" si="239"/>
        <v>-29.062790645844771</v>
      </c>
      <c r="BG269">
        <f t="shared" si="240"/>
        <v>-172.38439562292041</v>
      </c>
      <c r="BH269">
        <f t="shared" si="255"/>
        <v>7.6156043770795918</v>
      </c>
      <c r="BI269">
        <f t="shared" si="256"/>
        <v>7.6156043770795918</v>
      </c>
      <c r="BJ269">
        <f t="shared" si="241"/>
        <v>0</v>
      </c>
      <c r="BK269">
        <f t="shared" si="257"/>
        <v>0</v>
      </c>
      <c r="BM269">
        <f t="shared" si="258"/>
        <v>-43.140030970498906</v>
      </c>
      <c r="BN269">
        <f t="shared" si="242"/>
        <v>-130.91865229538257</v>
      </c>
      <c r="BQ269" s="66">
        <f t="shared" si="259"/>
        <v>30.979201124939273</v>
      </c>
      <c r="BR269" s="71"/>
      <c r="BS269" s="71"/>
      <c r="BT269" s="71">
        <v>38904.514000000003</v>
      </c>
      <c r="BU269" s="71">
        <v>-1.0515600000000001</v>
      </c>
      <c r="BV269" s="71">
        <v>-144.06</v>
      </c>
      <c r="BY269" s="71"/>
      <c r="BZ269" s="71"/>
      <c r="CA269" s="71"/>
      <c r="CC269" s="71"/>
    </row>
    <row r="270" spans="1:81" x14ac:dyDescent="0.15">
      <c r="A270">
        <f t="shared" si="211"/>
        <v>280000</v>
      </c>
      <c r="B270">
        <f t="shared" si="243"/>
        <v>280</v>
      </c>
      <c r="C270">
        <f t="shared" si="212"/>
        <v>1.5323932314069919</v>
      </c>
      <c r="D270">
        <f t="shared" si="213"/>
        <v>0.85981981073624869</v>
      </c>
      <c r="F270">
        <f t="shared" si="214"/>
        <v>2.9535214005271235E-4</v>
      </c>
      <c r="G270">
        <f t="shared" si="215"/>
        <v>5.6299640700107883E-3</v>
      </c>
      <c r="H270">
        <f t="shared" si="216"/>
        <v>-3.1359626859299894</v>
      </c>
      <c r="J270">
        <f t="shared" si="217"/>
        <v>15</v>
      </c>
      <c r="M270">
        <f t="shared" si="218"/>
        <v>3.4036557586346527E-3</v>
      </c>
      <c r="N270">
        <f t="shared" si="219"/>
        <v>-1.5707963250000001</v>
      </c>
      <c r="O270">
        <f t="shared" si="220"/>
        <v>119.0202969908851</v>
      </c>
      <c r="P270">
        <f t="shared" si="221"/>
        <v>1.5623942996528355</v>
      </c>
      <c r="Q270">
        <f t="shared" si="222"/>
        <v>53.875280397964914</v>
      </c>
      <c r="R270">
        <f t="shared" si="223"/>
        <v>1.5522338725046736</v>
      </c>
      <c r="S270">
        <f t="shared" si="224"/>
        <v>0.6769601016169432</v>
      </c>
      <c r="T270">
        <f t="shared" si="225"/>
        <v>-0.827171764821786</v>
      </c>
      <c r="U270">
        <f t="shared" si="226"/>
        <v>0.4236716678240231</v>
      </c>
      <c r="V270">
        <f t="shared" si="227"/>
        <v>-1.1333013933715679</v>
      </c>
      <c r="X270">
        <f t="shared" si="244"/>
        <v>-27.432993910986397</v>
      </c>
      <c r="Y270">
        <f t="shared" si="228"/>
        <v>-154.28516918682163</v>
      </c>
      <c r="Z270">
        <f t="shared" si="245"/>
        <v>25.714830813178366</v>
      </c>
      <c r="AC270">
        <v>1</v>
      </c>
      <c r="AD270">
        <f t="shared" si="229"/>
        <v>119.01609595260001</v>
      </c>
      <c r="AE270">
        <f t="shared" si="230"/>
        <v>-3.1407607751216163E-2</v>
      </c>
      <c r="AF270">
        <f t="shared" si="231"/>
        <v>1.4690087231400003E-2</v>
      </c>
      <c r="AG270">
        <f t="shared" si="246"/>
        <v>1428.1293585377259</v>
      </c>
      <c r="AH270">
        <f t="shared" si="247"/>
        <v>-3121.4332487376819</v>
      </c>
      <c r="AJ270">
        <f t="shared" si="232"/>
        <v>20000</v>
      </c>
      <c r="AK270">
        <f t="shared" si="233"/>
        <v>21744.847686239998</v>
      </c>
      <c r="AL270">
        <v>1</v>
      </c>
      <c r="AM270">
        <f t="shared" si="234"/>
        <v>53.865998904311994</v>
      </c>
      <c r="AN270">
        <f t="shared" si="248"/>
        <v>410.435530788721</v>
      </c>
      <c r="AO270">
        <f t="shared" si="249"/>
        <v>-363.67216551595641</v>
      </c>
      <c r="AQ270">
        <f t="shared" si="235"/>
        <v>3.1887653419472514E-2</v>
      </c>
      <c r="AR270">
        <f t="shared" si="236"/>
        <v>-17.857085914904609</v>
      </c>
      <c r="AT270">
        <f t="shared" si="209"/>
        <v>-55694.162006325372</v>
      </c>
      <c r="AU270">
        <f t="shared" si="210"/>
        <v>-25601.763834613543</v>
      </c>
      <c r="AV270">
        <f t="shared" si="250"/>
        <v>-2.7107140349208882</v>
      </c>
      <c r="AW270">
        <f t="shared" si="251"/>
        <v>-4786.59102061065</v>
      </c>
      <c r="AX270">
        <f t="shared" si="252"/>
        <v>-11298.520579339516</v>
      </c>
      <c r="AY270">
        <f t="shared" si="260"/>
        <v>-1.971520913844673</v>
      </c>
      <c r="BA270">
        <f t="shared" si="237"/>
        <v>4.9954082523391197</v>
      </c>
      <c r="BB270">
        <f t="shared" si="253"/>
        <v>13.971419739099353</v>
      </c>
      <c r="BC270">
        <f t="shared" si="254"/>
        <v>-0.73919312107621526</v>
      </c>
      <c r="BD270">
        <f t="shared" si="238"/>
        <v>-222.35264613116493</v>
      </c>
      <c r="BF270">
        <f t="shared" si="239"/>
        <v>-29.392548139090408</v>
      </c>
      <c r="BG270">
        <f t="shared" si="240"/>
        <v>-172.76602659755775</v>
      </c>
      <c r="BH270">
        <f t="shared" si="255"/>
        <v>7.2339734024422455</v>
      </c>
      <c r="BI270">
        <f t="shared" si="256"/>
        <v>7.2339734024422455</v>
      </c>
      <c r="BJ270">
        <f t="shared" si="241"/>
        <v>0</v>
      </c>
      <c r="BK270">
        <f t="shared" si="257"/>
        <v>0</v>
      </c>
      <c r="BM270">
        <f t="shared" si="258"/>
        <v>-43.363967878189762</v>
      </c>
      <c r="BN270">
        <f t="shared" si="242"/>
        <v>-130.41338046639282</v>
      </c>
      <c r="BQ270" s="66">
        <f t="shared" si="259"/>
        <v>30.873380539384492</v>
      </c>
      <c r="BR270" s="71"/>
      <c r="BS270" s="71"/>
      <c r="BT270" s="71">
        <v>39810.716999999997</v>
      </c>
      <c r="BU270" s="71">
        <v>-0.92721699999999996</v>
      </c>
      <c r="BV270" s="71">
        <v>-143.22999999999999</v>
      </c>
      <c r="BY270" s="71"/>
      <c r="BZ270" s="71"/>
      <c r="CA270" s="71"/>
      <c r="CC270" s="71"/>
    </row>
    <row r="271" spans="1:81" x14ac:dyDescent="0.15">
      <c r="A271">
        <f t="shared" si="211"/>
        <v>285000</v>
      </c>
      <c r="B271">
        <f t="shared" si="243"/>
        <v>285</v>
      </c>
      <c r="C271">
        <f t="shared" si="212"/>
        <v>1.5481634189911391</v>
      </c>
      <c r="D271">
        <f t="shared" si="213"/>
        <v>0.86855982840117552</v>
      </c>
      <c r="F271">
        <f t="shared" si="214"/>
        <v>2.8507699360291424E-4</v>
      </c>
      <c r="G271">
        <f t="shared" si="215"/>
        <v>5.5311370583893491E-3</v>
      </c>
      <c r="H271">
        <f t="shared" si="216"/>
        <v>-3.1360615129416107</v>
      </c>
      <c r="J271">
        <f t="shared" si="217"/>
        <v>15</v>
      </c>
      <c r="M271">
        <f t="shared" si="218"/>
        <v>3.3439424997112376E-3</v>
      </c>
      <c r="N271">
        <f t="shared" si="219"/>
        <v>-1.5707963250000001</v>
      </c>
      <c r="O271">
        <f t="shared" si="220"/>
        <v>121.14551071871745</v>
      </c>
      <c r="P271">
        <f t="shared" si="221"/>
        <v>1.56254169688213</v>
      </c>
      <c r="Q271">
        <f t="shared" si="222"/>
        <v>54.837010429638681</v>
      </c>
      <c r="R271">
        <f t="shared" si="223"/>
        <v>1.5525594567524366</v>
      </c>
      <c r="S271">
        <f t="shared" si="224"/>
        <v>0.67044813063852604</v>
      </c>
      <c r="T271">
        <f t="shared" si="225"/>
        <v>-0.83598371889943157</v>
      </c>
      <c r="U271">
        <f t="shared" si="226"/>
        <v>0.41754421909249673</v>
      </c>
      <c r="V271">
        <f t="shared" si="227"/>
        <v>-1.1400553404938798</v>
      </c>
      <c r="X271">
        <f t="shared" si="244"/>
        <v>-27.708444272630693</v>
      </c>
      <c r="Y271">
        <f t="shared" si="228"/>
        <v>-154.65482603349363</v>
      </c>
      <c r="Z271">
        <f t="shared" si="245"/>
        <v>25.345173966506366</v>
      </c>
      <c r="AC271">
        <v>1</v>
      </c>
      <c r="AD271">
        <f t="shared" si="229"/>
        <v>121.14138338032502</v>
      </c>
      <c r="AE271">
        <f t="shared" si="230"/>
        <v>-3.2539323209088436E-2</v>
      </c>
      <c r="AF271">
        <f t="shared" si="231"/>
        <v>1.4952410217675001E-2</v>
      </c>
      <c r="AG271">
        <f t="shared" si="246"/>
        <v>1387.1187839065592</v>
      </c>
      <c r="AH271">
        <f t="shared" si="247"/>
        <v>-3085.516366077004</v>
      </c>
      <c r="AJ271">
        <f t="shared" si="232"/>
        <v>20000</v>
      </c>
      <c r="AK271">
        <f t="shared" si="233"/>
        <v>22133.148537780002</v>
      </c>
      <c r="AL271">
        <v>1</v>
      </c>
      <c r="AM271">
        <f t="shared" si="234"/>
        <v>54.827891741888998</v>
      </c>
      <c r="AN271">
        <f t="shared" si="248"/>
        <v>410.20079482660151</v>
      </c>
      <c r="AO271">
        <f t="shared" si="249"/>
        <v>-357.29623340973029</v>
      </c>
      <c r="AQ271">
        <f t="shared" si="235"/>
        <v>3.0778606406259137E-2</v>
      </c>
      <c r="AR271">
        <f t="shared" si="236"/>
        <v>-17.543805651567709</v>
      </c>
      <c r="AT271">
        <f t="shared" si="209"/>
        <v>-54089.005878097814</v>
      </c>
      <c r="AU271">
        <f t="shared" si="210"/>
        <v>-24430.310254287178</v>
      </c>
      <c r="AV271">
        <f t="shared" si="250"/>
        <v>-2.7173519130365511</v>
      </c>
      <c r="AW271">
        <f t="shared" si="251"/>
        <v>-4598.4203052948969</v>
      </c>
      <c r="AX271">
        <f t="shared" si="252"/>
        <v>-11112.632267613495</v>
      </c>
      <c r="AY271">
        <f t="shared" si="260"/>
        <v>-1.963143363738596</v>
      </c>
      <c r="BA271">
        <f t="shared" si="237"/>
        <v>4.9349729190882439</v>
      </c>
      <c r="BB271">
        <f t="shared" si="253"/>
        <v>13.865695475988247</v>
      </c>
      <c r="BC271">
        <f t="shared" si="254"/>
        <v>-0.75420854929795511</v>
      </c>
      <c r="BD271">
        <f t="shared" si="238"/>
        <v>-223.21296679683533</v>
      </c>
      <c r="BF271">
        <f t="shared" si="239"/>
        <v>-29.716899911543674</v>
      </c>
      <c r="BG271">
        <f t="shared" si="240"/>
        <v>-173.1312435082601</v>
      </c>
      <c r="BH271">
        <f t="shared" si="255"/>
        <v>6.8687564917399015</v>
      </c>
      <c r="BI271">
        <f t="shared" si="256"/>
        <v>6.8687564917399015</v>
      </c>
      <c r="BJ271">
        <f t="shared" si="241"/>
        <v>0</v>
      </c>
      <c r="BK271">
        <f t="shared" si="257"/>
        <v>0</v>
      </c>
      <c r="BM271">
        <f t="shared" si="258"/>
        <v>-43.582595387531917</v>
      </c>
      <c r="BN271">
        <f t="shared" si="242"/>
        <v>-129.9182767114248</v>
      </c>
      <c r="BQ271" s="66">
        <f t="shared" si="259"/>
        <v>30.767656276273382</v>
      </c>
      <c r="BR271" s="71"/>
      <c r="BS271" s="71"/>
      <c r="BT271" s="71">
        <v>40738.027999999998</v>
      </c>
      <c r="BU271" s="71">
        <v>-0.80365399999999998</v>
      </c>
      <c r="BV271" s="71">
        <v>-142.31399999999999</v>
      </c>
      <c r="BY271" s="71"/>
      <c r="BZ271" s="71"/>
      <c r="CA271" s="71"/>
      <c r="CC271" s="71"/>
    </row>
    <row r="272" spans="1:81" x14ac:dyDescent="0.15">
      <c r="A272">
        <f t="shared" si="211"/>
        <v>290000</v>
      </c>
      <c r="B272">
        <f t="shared" si="243"/>
        <v>290</v>
      </c>
      <c r="C272">
        <f t="shared" si="212"/>
        <v>1.5640494775026015</v>
      </c>
      <c r="D272">
        <f t="shared" si="213"/>
        <v>0.87712294438445804</v>
      </c>
      <c r="F272">
        <f t="shared" si="214"/>
        <v>2.753289129099554E-4</v>
      </c>
      <c r="G272">
        <f t="shared" si="215"/>
        <v>5.4357206832302768E-3</v>
      </c>
      <c r="H272">
        <f t="shared" si="216"/>
        <v>-3.1361569293167699</v>
      </c>
      <c r="J272">
        <f t="shared" si="217"/>
        <v>15</v>
      </c>
      <c r="M272">
        <f t="shared" si="218"/>
        <v>3.2862883186817338E-3</v>
      </c>
      <c r="N272">
        <f t="shared" si="219"/>
        <v>-1.5707963250000001</v>
      </c>
      <c r="O272">
        <f t="shared" si="220"/>
        <v>123.27072698779774</v>
      </c>
      <c r="P272">
        <f t="shared" si="221"/>
        <v>1.5626840117887639</v>
      </c>
      <c r="Q272">
        <f t="shared" si="222"/>
        <v>55.798746073932733</v>
      </c>
      <c r="R272">
        <f t="shared" si="223"/>
        <v>1.5528738176270902</v>
      </c>
      <c r="S272">
        <f t="shared" si="224"/>
        <v>0.66401015479016334</v>
      </c>
      <c r="T272">
        <f t="shared" si="225"/>
        <v>-0.84462709996069907</v>
      </c>
      <c r="U272">
        <f t="shared" si="226"/>
        <v>0.4115735043510042</v>
      </c>
      <c r="V272">
        <f t="shared" si="227"/>
        <v>-1.1466164223568012</v>
      </c>
      <c r="X272">
        <f t="shared" si="244"/>
        <v>-27.97988487673889</v>
      </c>
      <c r="Y272">
        <f t="shared" si="228"/>
        <v>-155.01464854462031</v>
      </c>
      <c r="Z272">
        <f t="shared" si="245"/>
        <v>24.985351455379686</v>
      </c>
      <c r="AC272">
        <v>1</v>
      </c>
      <c r="AD272">
        <f t="shared" si="229"/>
        <v>123.26667080805001</v>
      </c>
      <c r="AE272">
        <f t="shared" si="230"/>
        <v>-3.3691069029046936E-2</v>
      </c>
      <c r="AF272">
        <f t="shared" si="231"/>
        <v>1.5214733203950002E-2</v>
      </c>
      <c r="AG272">
        <f t="shared" si="246"/>
        <v>1347.7319361917537</v>
      </c>
      <c r="AH272">
        <f t="shared" si="247"/>
        <v>-3050.1047289373128</v>
      </c>
      <c r="AJ272">
        <f t="shared" si="232"/>
        <v>20000</v>
      </c>
      <c r="AK272">
        <f t="shared" si="233"/>
        <v>22521.449389319998</v>
      </c>
      <c r="AL272">
        <v>1</v>
      </c>
      <c r="AM272">
        <f t="shared" si="234"/>
        <v>55.789784579465994</v>
      </c>
      <c r="AN272">
        <f t="shared" si="248"/>
        <v>409.97809020246581</v>
      </c>
      <c r="AO272">
        <f t="shared" si="249"/>
        <v>-351.13994537644879</v>
      </c>
      <c r="AQ272">
        <f t="shared" si="235"/>
        <v>2.9726427686005689E-2</v>
      </c>
      <c r="AR272">
        <f t="shared" si="236"/>
        <v>-17.241328057883301</v>
      </c>
      <c r="AT272">
        <f t="shared" si="209"/>
        <v>-52547.7929865681</v>
      </c>
      <c r="AU272">
        <f t="shared" si="210"/>
        <v>-23327.35716362777</v>
      </c>
      <c r="AV272">
        <f t="shared" si="250"/>
        <v>-2.7238009279352133</v>
      </c>
      <c r="AW272">
        <f t="shared" si="251"/>
        <v>-4420.3209557013724</v>
      </c>
      <c r="AX272">
        <f t="shared" si="252"/>
        <v>-10932.725700645567</v>
      </c>
      <c r="AY272">
        <f t="shared" si="260"/>
        <v>-1.9550213875031104</v>
      </c>
      <c r="BA272">
        <f t="shared" si="237"/>
        <v>4.8753685424666555</v>
      </c>
      <c r="BB272">
        <f t="shared" si="253"/>
        <v>13.760149015706205</v>
      </c>
      <c r="BC272">
        <f t="shared" si="254"/>
        <v>-0.76877954043210295</v>
      </c>
      <c r="BD272">
        <f t="shared" si="238"/>
        <v>-224.04782309309851</v>
      </c>
      <c r="BF272">
        <f t="shared" si="239"/>
        <v>-30.035979652299496</v>
      </c>
      <c r="BG272">
        <f t="shared" si="240"/>
        <v>-173.48093635423885</v>
      </c>
      <c r="BH272">
        <f t="shared" si="255"/>
        <v>6.5190636457611504</v>
      </c>
      <c r="BI272">
        <f t="shared" si="256"/>
        <v>6.5190636457611504</v>
      </c>
      <c r="BJ272">
        <f t="shared" si="241"/>
        <v>0</v>
      </c>
      <c r="BK272">
        <f t="shared" si="257"/>
        <v>0</v>
      </c>
      <c r="BM272">
        <f t="shared" si="258"/>
        <v>-43.7961286680057</v>
      </c>
      <c r="BN272">
        <f t="shared" si="242"/>
        <v>-129.43311326114036</v>
      </c>
      <c r="BQ272" s="66">
        <f t="shared" si="259"/>
        <v>30.662109815991343</v>
      </c>
      <c r="BR272" s="71"/>
      <c r="BS272" s="71"/>
      <c r="BT272" s="71">
        <v>41686.938000000002</v>
      </c>
      <c r="BU272" s="71">
        <v>-0.666377</v>
      </c>
      <c r="BV272" s="71">
        <v>-141.465</v>
      </c>
      <c r="BY272" s="71"/>
      <c r="BZ272" s="71"/>
      <c r="CA272" s="71"/>
      <c r="CC272" s="71"/>
    </row>
    <row r="273" spans="1:81" x14ac:dyDescent="0.15">
      <c r="A273">
        <f t="shared" si="211"/>
        <v>295000</v>
      </c>
      <c r="B273">
        <f t="shared" si="243"/>
        <v>295</v>
      </c>
      <c r="C273">
        <f t="shared" si="212"/>
        <v>1.5800479119898381</v>
      </c>
      <c r="D273">
        <f t="shared" si="213"/>
        <v>0.88551325732639985</v>
      </c>
      <c r="F273">
        <f t="shared" si="214"/>
        <v>2.6607245390764548E-4</v>
      </c>
      <c r="G273">
        <f t="shared" si="215"/>
        <v>5.3435413366790937E-3</v>
      </c>
      <c r="H273">
        <f t="shared" si="216"/>
        <v>-3.1362491086633213</v>
      </c>
      <c r="J273">
        <f t="shared" si="217"/>
        <v>15</v>
      </c>
      <c r="M273">
        <f t="shared" si="218"/>
        <v>3.2305885166701788E-3</v>
      </c>
      <c r="N273">
        <f t="shared" si="219"/>
        <v>-1.5707963250000001</v>
      </c>
      <c r="O273">
        <f t="shared" si="220"/>
        <v>125.39594566891843</v>
      </c>
      <c r="P273">
        <f t="shared" si="221"/>
        <v>1.56282150277343</v>
      </c>
      <c r="Q273">
        <f t="shared" si="222"/>
        <v>56.760487045550533</v>
      </c>
      <c r="R273">
        <f t="shared" si="223"/>
        <v>1.5531775255661944</v>
      </c>
      <c r="S273">
        <f t="shared" si="224"/>
        <v>0.65764690777599932</v>
      </c>
      <c r="T273">
        <f t="shared" si="225"/>
        <v>-0.85310544435583746</v>
      </c>
      <c r="U273">
        <f t="shared" si="226"/>
        <v>0.40575440528807299</v>
      </c>
      <c r="V273">
        <f t="shared" si="227"/>
        <v>-1.152992242411746</v>
      </c>
      <c r="X273">
        <f t="shared" si="244"/>
        <v>-28.247425802818139</v>
      </c>
      <c r="Y273">
        <f t="shared" si="228"/>
        <v>-155.36500260709437</v>
      </c>
      <c r="Z273">
        <f t="shared" si="245"/>
        <v>24.634997392905632</v>
      </c>
      <c r="AC273">
        <v>1</v>
      </c>
      <c r="AD273">
        <f t="shared" si="229"/>
        <v>125.39195823577502</v>
      </c>
      <c r="AE273">
        <f t="shared" si="230"/>
        <v>-3.4862845211091668E-2</v>
      </c>
      <c r="AF273">
        <f t="shared" si="231"/>
        <v>1.5477056190225002E-2</v>
      </c>
      <c r="AG273">
        <f t="shared" si="246"/>
        <v>1309.8910949955227</v>
      </c>
      <c r="AH273">
        <f t="shared" si="247"/>
        <v>-3015.2071501614068</v>
      </c>
      <c r="AJ273">
        <f t="shared" si="232"/>
        <v>20000</v>
      </c>
      <c r="AK273">
        <f t="shared" si="233"/>
        <v>22909.750240860001</v>
      </c>
      <c r="AL273">
        <v>1</v>
      </c>
      <c r="AM273">
        <f t="shared" si="234"/>
        <v>56.751677417042998</v>
      </c>
      <c r="AN273">
        <f t="shared" si="248"/>
        <v>409.76660861115994</v>
      </c>
      <c r="AO273">
        <f t="shared" si="249"/>
        <v>-345.19214731626124</v>
      </c>
      <c r="AQ273">
        <f t="shared" si="235"/>
        <v>2.8727294664479562E-2</v>
      </c>
      <c r="AR273">
        <f t="shared" si="236"/>
        <v>-16.949103852042942</v>
      </c>
      <c r="AT273">
        <f t="shared" si="209"/>
        <v>-51067.429496043806</v>
      </c>
      <c r="AU273">
        <f t="shared" si="210"/>
        <v>-22288.098948222494</v>
      </c>
      <c r="AV273">
        <f t="shared" si="250"/>
        <v>-2.7300684795968846</v>
      </c>
      <c r="AW273">
        <f t="shared" si="251"/>
        <v>-4251.5883663264358</v>
      </c>
      <c r="AX273">
        <f t="shared" si="252"/>
        <v>-10758.51256206307</v>
      </c>
      <c r="AY273">
        <f t="shared" si="260"/>
        <v>-1.9471438031437083</v>
      </c>
      <c r="BA273">
        <f t="shared" si="237"/>
        <v>4.8166228436550531</v>
      </c>
      <c r="BB273">
        <f t="shared" si="253"/>
        <v>13.654852821110525</v>
      </c>
      <c r="BC273">
        <f t="shared" si="254"/>
        <v>-0.78292467645317632</v>
      </c>
      <c r="BD273">
        <f t="shared" si="238"/>
        <v>-224.85827968867056</v>
      </c>
      <c r="BF273">
        <f t="shared" si="239"/>
        <v>-30.349918571268582</v>
      </c>
      <c r="BG273">
        <f t="shared" si="240"/>
        <v>-173.81594491641607</v>
      </c>
      <c r="BH273">
        <f t="shared" si="255"/>
        <v>6.1840550835839281</v>
      </c>
      <c r="BI273">
        <f t="shared" si="256"/>
        <v>6.1840550835839281</v>
      </c>
      <c r="BJ273">
        <f t="shared" si="241"/>
        <v>0</v>
      </c>
      <c r="BK273">
        <f t="shared" si="257"/>
        <v>0</v>
      </c>
      <c r="BM273">
        <f t="shared" si="258"/>
        <v>-44.004771392379105</v>
      </c>
      <c r="BN273">
        <f t="shared" si="242"/>
        <v>-128.95766522774551</v>
      </c>
      <c r="BQ273" s="66">
        <f t="shared" si="259"/>
        <v>30.556813621395662</v>
      </c>
      <c r="BR273" s="71"/>
      <c r="BS273" s="71"/>
      <c r="BT273" s="71">
        <v>42657.951999999997</v>
      </c>
      <c r="BU273" s="71">
        <v>-0.55182299999999995</v>
      </c>
      <c r="BV273" s="71">
        <v>-140.39099999999999</v>
      </c>
      <c r="BY273" s="71"/>
      <c r="BZ273" s="71"/>
      <c r="CA273" s="71"/>
      <c r="CC273" s="71"/>
    </row>
    <row r="274" spans="1:81" x14ac:dyDescent="0.15">
      <c r="A274">
        <f t="shared" si="211"/>
        <v>300000</v>
      </c>
      <c r="B274">
        <f t="shared" si="243"/>
        <v>300</v>
      </c>
      <c r="C274">
        <f t="shared" si="212"/>
        <v>1.5961553433874134</v>
      </c>
      <c r="D274">
        <f t="shared" si="213"/>
        <v>0.89373479948105183</v>
      </c>
      <c r="F274">
        <f t="shared" si="214"/>
        <v>2.5727510286264121E-4</v>
      </c>
      <c r="G274">
        <f t="shared" si="215"/>
        <v>5.2544369998318531E-3</v>
      </c>
      <c r="H274">
        <f t="shared" si="216"/>
        <v>-3.1363382130001685</v>
      </c>
      <c r="J274">
        <f t="shared" si="217"/>
        <v>15</v>
      </c>
      <c r="M274">
        <f t="shared" si="218"/>
        <v>3.1767453747256758E-3</v>
      </c>
      <c r="N274">
        <f t="shared" si="219"/>
        <v>-1.5707963250000001</v>
      </c>
      <c r="O274">
        <f t="shared" si="220"/>
        <v>127.5211666414851</v>
      </c>
      <c r="P274">
        <f t="shared" si="221"/>
        <v>1.5629544110119362</v>
      </c>
      <c r="Q274">
        <f t="shared" si="222"/>
        <v>57.722233078207914</v>
      </c>
      <c r="R274">
        <f t="shared" si="223"/>
        <v>1.5534711129978287</v>
      </c>
      <c r="S274">
        <f t="shared" si="224"/>
        <v>0.65135896735471022</v>
      </c>
      <c r="T274">
        <f t="shared" si="225"/>
        <v>-0.86142224962321368</v>
      </c>
      <c r="U274">
        <f t="shared" si="226"/>
        <v>0.40008197121995304</v>
      </c>
      <c r="V274">
        <f t="shared" si="227"/>
        <v>-1.1591900410482738</v>
      </c>
      <c r="X274">
        <f t="shared" si="244"/>
        <v>-28.511172775972916</v>
      </c>
      <c r="Y274">
        <f t="shared" si="228"/>
        <v>-155.70623738648962</v>
      </c>
      <c r="Z274">
        <f t="shared" si="245"/>
        <v>24.293762613510381</v>
      </c>
      <c r="AC274">
        <v>1</v>
      </c>
      <c r="AD274">
        <f t="shared" si="229"/>
        <v>127.51724566350002</v>
      </c>
      <c r="AE274">
        <f t="shared" si="230"/>
        <v>-3.6054651755222641E-2</v>
      </c>
      <c r="AF274">
        <f t="shared" si="231"/>
        <v>1.5739379176500003E-2</v>
      </c>
      <c r="AG274">
        <f t="shared" si="246"/>
        <v>1273.5226253112326</v>
      </c>
      <c r="AH274">
        <f t="shared" si="247"/>
        <v>-2980.8300716233371</v>
      </c>
      <c r="AJ274">
        <f t="shared" si="232"/>
        <v>20000</v>
      </c>
      <c r="AK274">
        <f t="shared" si="233"/>
        <v>23298.051092400001</v>
      </c>
      <c r="AL274">
        <v>1</v>
      </c>
      <c r="AM274">
        <f t="shared" si="234"/>
        <v>57.713570254620002</v>
      </c>
      <c r="AN274">
        <f t="shared" si="248"/>
        <v>409.56560849893327</v>
      </c>
      <c r="AO274">
        <f t="shared" si="249"/>
        <v>-339.44242757937582</v>
      </c>
      <c r="AQ274">
        <f t="shared" si="235"/>
        <v>2.7777700617498284E-2</v>
      </c>
      <c r="AR274">
        <f t="shared" si="236"/>
        <v>-16.666620370498972</v>
      </c>
      <c r="AT274">
        <f t="shared" si="209"/>
        <v>-49644.987662497915</v>
      </c>
      <c r="AU274">
        <f t="shared" si="210"/>
        <v>-21308.11873462471</v>
      </c>
      <c r="AV274">
        <f t="shared" si="250"/>
        <v>-2.7361616185026709</v>
      </c>
      <c r="AW274">
        <f t="shared" si="251"/>
        <v>-4091.5781992092025</v>
      </c>
      <c r="AX274">
        <f t="shared" si="252"/>
        <v>-10589.723380074693</v>
      </c>
      <c r="AY274">
        <f t="shared" si="260"/>
        <v>-1.9394999666478938</v>
      </c>
      <c r="BA274">
        <f t="shared" si="237"/>
        <v>4.7587573619468468</v>
      </c>
      <c r="BB274">
        <f t="shared" si="253"/>
        <v>13.549871233802477</v>
      </c>
      <c r="BC274">
        <f t="shared" si="254"/>
        <v>-0.79666165185477711</v>
      </c>
      <c r="BD274">
        <f t="shared" si="238"/>
        <v>-225.64535040335667</v>
      </c>
      <c r="BF274">
        <f t="shared" si="239"/>
        <v>-30.658845252460722</v>
      </c>
      <c r="BG274">
        <f t="shared" si="240"/>
        <v>-174.13706126645693</v>
      </c>
      <c r="BH274">
        <f t="shared" si="255"/>
        <v>5.8629387335430749</v>
      </c>
      <c r="BI274">
        <f t="shared" si="256"/>
        <v>5.8629387335430749</v>
      </c>
      <c r="BJ274">
        <f t="shared" si="241"/>
        <v>0</v>
      </c>
      <c r="BK274">
        <f t="shared" si="257"/>
        <v>0</v>
      </c>
      <c r="BM274">
        <f t="shared" si="258"/>
        <v>-44.208716486263199</v>
      </c>
      <c r="BN274">
        <f t="shared" si="242"/>
        <v>-128.49171086310028</v>
      </c>
      <c r="BQ274" s="66">
        <f t="shared" si="259"/>
        <v>30.451832034087612</v>
      </c>
      <c r="BR274" s="71"/>
      <c r="BS274" s="71"/>
      <c r="BT274" s="71">
        <v>43651.582999999999</v>
      </c>
      <c r="BU274" s="71">
        <v>-0.43071199999999998</v>
      </c>
      <c r="BV274" s="71">
        <v>-139.065</v>
      </c>
      <c r="BY274" s="71"/>
      <c r="BZ274" s="71"/>
      <c r="CA274" s="71"/>
      <c r="CC274" s="71"/>
    </row>
    <row r="275" spans="1:81" x14ac:dyDescent="0.15">
      <c r="A275">
        <f t="shared" si="211"/>
        <v>305000</v>
      </c>
      <c r="B275">
        <f t="shared" si="243"/>
        <v>305</v>
      </c>
      <c r="C275">
        <f t="shared" si="212"/>
        <v>1.6123685050875913</v>
      </c>
      <c r="D275">
        <f t="shared" si="213"/>
        <v>0.90179153382270749</v>
      </c>
      <c r="F275">
        <f t="shared" si="214"/>
        <v>2.4890699036935176E-4</v>
      </c>
      <c r="G275">
        <f t="shared" si="215"/>
        <v>5.1682562913721707E-3</v>
      </c>
      <c r="H275">
        <f t="shared" si="216"/>
        <v>-3.1364243937086282</v>
      </c>
      <c r="J275">
        <f t="shared" si="217"/>
        <v>15</v>
      </c>
      <c r="M275">
        <f t="shared" si="218"/>
        <v>3.1246675816973862E-3</v>
      </c>
      <c r="N275">
        <f t="shared" si="219"/>
        <v>-1.5707963250000001</v>
      </c>
      <c r="O275">
        <f t="shared" si="220"/>
        <v>129.64638979281054</v>
      </c>
      <c r="P275">
        <f t="shared" si="221"/>
        <v>1.5630829618669051</v>
      </c>
      <c r="Q275">
        <f t="shared" si="222"/>
        <v>58.683983923075409</v>
      </c>
      <c r="R275">
        <f t="shared" si="223"/>
        <v>1.5537550774542368</v>
      </c>
      <c r="S275">
        <f t="shared" si="224"/>
        <v>0.64514676682516692</v>
      </c>
      <c r="T275">
        <f t="shared" si="225"/>
        <v>-0.8695809707180624</v>
      </c>
      <c r="U275">
        <f t="shared" si="226"/>
        <v>0.39455141702491187</v>
      </c>
      <c r="V275">
        <f t="shared" si="227"/>
        <v>-1.1652167146962467</v>
      </c>
      <c r="X275">
        <f t="shared" si="244"/>
        <v>-28.771227392170495</v>
      </c>
      <c r="Y275">
        <f t="shared" si="228"/>
        <v>-156.03868616646903</v>
      </c>
      <c r="Z275">
        <f t="shared" si="245"/>
        <v>23.961313833530966</v>
      </c>
      <c r="AC275">
        <v>1</v>
      </c>
      <c r="AD275">
        <f t="shared" si="229"/>
        <v>129.642533091225</v>
      </c>
      <c r="AE275">
        <f t="shared" si="230"/>
        <v>-3.7266488661439848E-2</v>
      </c>
      <c r="AF275">
        <f t="shared" si="231"/>
        <v>1.6001702162775001E-2</v>
      </c>
      <c r="AG275">
        <f t="shared" si="246"/>
        <v>1238.5567693900891</v>
      </c>
      <c r="AH275">
        <f t="shared" si="247"/>
        <v>-2946.9778479396127</v>
      </c>
      <c r="AJ275">
        <f t="shared" si="232"/>
        <v>20000</v>
      </c>
      <c r="AK275">
        <f t="shared" si="233"/>
        <v>23686.351943940001</v>
      </c>
      <c r="AL275">
        <v>1</v>
      </c>
      <c r="AM275">
        <f t="shared" si="234"/>
        <v>58.675463092196992</v>
      </c>
      <c r="AN275">
        <f t="shared" si="248"/>
        <v>409.37440855673015</v>
      </c>
      <c r="AO275">
        <f t="shared" si="249"/>
        <v>-333.88105622039046</v>
      </c>
      <c r="AQ275">
        <f t="shared" si="235"/>
        <v>2.6874423879538083E-2</v>
      </c>
      <c r="AR275">
        <f t="shared" si="236"/>
        <v>-16.393398566518229</v>
      </c>
      <c r="AT275">
        <f t="shared" si="209"/>
        <v>-48277.696928354766</v>
      </c>
      <c r="AU275">
        <f t="shared" si="210"/>
        <v>-20383.353099720072</v>
      </c>
      <c r="AV275">
        <f t="shared" si="250"/>
        <v>-2.7420870636253891</v>
      </c>
      <c r="AW275">
        <f t="shared" si="251"/>
        <v>-3939.7003398968645</v>
      </c>
      <c r="AX275">
        <f t="shared" si="252"/>
        <v>-10426.105946012638</v>
      </c>
      <c r="AY275">
        <f t="shared" si="260"/>
        <v>-1.9320797507378507</v>
      </c>
      <c r="BA275">
        <f t="shared" si="237"/>
        <v>4.7017882256630621</v>
      </c>
      <c r="BB275">
        <f t="shared" si="253"/>
        <v>13.44526128141352</v>
      </c>
      <c r="BC275">
        <f t="shared" si="254"/>
        <v>-0.81000731288753847</v>
      </c>
      <c r="BD275">
        <f t="shared" si="238"/>
        <v>-226.41000045621985</v>
      </c>
      <c r="BF275">
        <f t="shared" si="239"/>
        <v>-30.962885538065169</v>
      </c>
      <c r="BG275">
        <f t="shared" si="240"/>
        <v>-174.44503223523347</v>
      </c>
      <c r="BH275">
        <f t="shared" si="255"/>
        <v>5.5549677647665305</v>
      </c>
      <c r="BI275">
        <f t="shared" si="256"/>
        <v>5.5549677647665305</v>
      </c>
      <c r="BJ275">
        <f t="shared" si="241"/>
        <v>0</v>
      </c>
      <c r="BK275">
        <f t="shared" si="257"/>
        <v>0</v>
      </c>
      <c r="BM275">
        <f t="shared" si="258"/>
        <v>-44.408146819478688</v>
      </c>
      <c r="BN275">
        <f t="shared" si="242"/>
        <v>-128.03503177901365</v>
      </c>
      <c r="BQ275" s="66">
        <f t="shared" si="259"/>
        <v>30.347222081698657</v>
      </c>
      <c r="BR275" s="71"/>
      <c r="BS275" s="71"/>
      <c r="BT275" s="71">
        <v>44668.358999999997</v>
      </c>
      <c r="BU275" s="71">
        <v>-0.21105299999999999</v>
      </c>
      <c r="BV275" s="71">
        <v>-136.58699999999999</v>
      </c>
      <c r="BY275" s="71"/>
      <c r="BZ275" s="71"/>
      <c r="CA275" s="71"/>
      <c r="CC275" s="71"/>
    </row>
    <row r="276" spans="1:81" x14ac:dyDescent="0.15">
      <c r="A276">
        <f t="shared" si="211"/>
        <v>310000</v>
      </c>
      <c r="B276">
        <f t="shared" si="243"/>
        <v>310</v>
      </c>
      <c r="C276">
        <f t="shared" si="212"/>
        <v>1.6286842395338801</v>
      </c>
      <c r="D276">
        <f t="shared" si="213"/>
        <v>0.9096873516587245</v>
      </c>
      <c r="F276">
        <f t="shared" si="214"/>
        <v>2.4094063739227747E-4</v>
      </c>
      <c r="G276">
        <f t="shared" si="215"/>
        <v>5.084857608435381E-3</v>
      </c>
      <c r="H276">
        <f t="shared" si="216"/>
        <v>-3.1365077923915647</v>
      </c>
      <c r="J276">
        <f t="shared" si="217"/>
        <v>15</v>
      </c>
      <c r="M276">
        <f t="shared" si="218"/>
        <v>3.0742697174764608E-3</v>
      </c>
      <c r="N276">
        <f t="shared" si="219"/>
        <v>-1.5707963250000001</v>
      </c>
      <c r="O276">
        <f t="shared" si="220"/>
        <v>131.77161501747719</v>
      </c>
      <c r="P276">
        <f t="shared" si="221"/>
        <v>1.5632073661628785</v>
      </c>
      <c r="Q276">
        <f t="shared" si="222"/>
        <v>59.645739347371254</v>
      </c>
      <c r="R276">
        <f t="shared" si="223"/>
        <v>1.5540298843843559</v>
      </c>
      <c r="S276">
        <f t="shared" si="224"/>
        <v>0.63901060591784364</v>
      </c>
      <c r="T276">
        <f t="shared" si="225"/>
        <v>-0.87758501671933575</v>
      </c>
      <c r="U276">
        <f t="shared" si="226"/>
        <v>0.38915812045546305</v>
      </c>
      <c r="V276">
        <f t="shared" si="227"/>
        <v>-1.1710788339453975</v>
      </c>
      <c r="X276">
        <f t="shared" si="244"/>
        <v>-29.027687328669597</v>
      </c>
      <c r="Y276">
        <f t="shared" si="228"/>
        <v>-156.36266715007147</v>
      </c>
      <c r="Z276">
        <f t="shared" si="245"/>
        <v>23.637332849928526</v>
      </c>
      <c r="AC276">
        <v>1</v>
      </c>
      <c r="AD276">
        <f t="shared" si="229"/>
        <v>131.76782051895003</v>
      </c>
      <c r="AE276">
        <f t="shared" si="230"/>
        <v>-3.8498355929743294E-2</v>
      </c>
      <c r="AF276">
        <f t="shared" si="231"/>
        <v>1.6264025149050003E-2</v>
      </c>
      <c r="AG276">
        <f t="shared" si="246"/>
        <v>1204.9274454599949</v>
      </c>
      <c r="AH276">
        <f t="shared" si="247"/>
        <v>-2913.6529998297005</v>
      </c>
      <c r="AJ276">
        <f t="shared" si="232"/>
        <v>20000</v>
      </c>
      <c r="AK276">
        <f t="shared" si="233"/>
        <v>24074.65279548</v>
      </c>
      <c r="AL276">
        <v>1</v>
      </c>
      <c r="AM276">
        <f t="shared" si="234"/>
        <v>59.637355929773996</v>
      </c>
      <c r="AN276">
        <f t="shared" si="248"/>
        <v>409.19238194152962</v>
      </c>
      <c r="AO276">
        <f t="shared" si="249"/>
        <v>-328.49893011902873</v>
      </c>
      <c r="AQ276">
        <f t="shared" si="235"/>
        <v>2.6014500482568984E-2</v>
      </c>
      <c r="AR276">
        <f t="shared" si="236"/>
        <v>-16.128990299192768</v>
      </c>
      <c r="AT276">
        <f t="shared" si="209"/>
        <v>-46962.935383855765</v>
      </c>
      <c r="AU276">
        <f t="shared" si="210"/>
        <v>-19510.06030642549</v>
      </c>
      <c r="AV276">
        <f t="shared" si="250"/>
        <v>-2.7478512195451361</v>
      </c>
      <c r="AW276">
        <f t="shared" si="251"/>
        <v>-3795.4135443142718</v>
      </c>
      <c r="AX276">
        <f t="shared" si="252"/>
        <v>-10267.423896175564</v>
      </c>
      <c r="AY276">
        <f t="shared" si="260"/>
        <v>-1.9248735231772407</v>
      </c>
      <c r="BA276">
        <f t="shared" si="237"/>
        <v>4.6457268369638953</v>
      </c>
      <c r="BB276">
        <f t="shared" si="253"/>
        <v>13.341073404648451</v>
      </c>
      <c r="BC276">
        <f t="shared" si="254"/>
        <v>-0.82297769636789542</v>
      </c>
      <c r="BD276">
        <f t="shared" si="238"/>
        <v>-227.15314868915968</v>
      </c>
      <c r="BF276">
        <f t="shared" si="239"/>
        <v>-31.262162439934272</v>
      </c>
      <c r="BG276">
        <f t="shared" si="240"/>
        <v>-174.74056182240318</v>
      </c>
      <c r="BH276">
        <f t="shared" si="255"/>
        <v>5.2594381775968202</v>
      </c>
      <c r="BI276">
        <f t="shared" si="256"/>
        <v>5.2594381775968202</v>
      </c>
      <c r="BJ276">
        <f t="shared" si="241"/>
        <v>0</v>
      </c>
      <c r="BK276">
        <f t="shared" si="257"/>
        <v>0</v>
      </c>
      <c r="BM276">
        <f t="shared" si="258"/>
        <v>-44.603235844582727</v>
      </c>
      <c r="BN276">
        <f t="shared" si="242"/>
        <v>-127.5874131332435</v>
      </c>
      <c r="BQ276" s="66">
        <f t="shared" si="259"/>
        <v>30.24303420493359</v>
      </c>
      <c r="BR276" s="71"/>
      <c r="BS276" s="71"/>
      <c r="BT276" s="71">
        <v>45708.819000000003</v>
      </c>
      <c r="BU276" s="71">
        <v>0.52166999999999997</v>
      </c>
      <c r="BV276" s="71">
        <v>-135.751</v>
      </c>
      <c r="BY276" s="71"/>
      <c r="BZ276" s="71"/>
      <c r="CA276" s="71"/>
      <c r="CC276" s="71"/>
    </row>
    <row r="277" spans="1:81" x14ac:dyDescent="0.15">
      <c r="A277">
        <f t="shared" si="211"/>
        <v>315000</v>
      </c>
      <c r="B277">
        <f t="shared" si="243"/>
        <v>315</v>
      </c>
      <c r="C277">
        <f t="shared" si="212"/>
        <v>1.6450994948474003</v>
      </c>
      <c r="D277">
        <f t="shared" si="213"/>
        <v>0.91742607070215842</v>
      </c>
      <c r="F277">
        <f t="shared" si="214"/>
        <v>2.3335072931625434E-4</v>
      </c>
      <c r="G277">
        <f t="shared" si="215"/>
        <v>5.0041083494325499E-3</v>
      </c>
      <c r="H277">
        <f t="shared" si="216"/>
        <v>-3.1365885416505677</v>
      </c>
      <c r="J277">
        <f t="shared" si="217"/>
        <v>15</v>
      </c>
      <c r="M277">
        <f t="shared" si="218"/>
        <v>3.0254717854530247E-3</v>
      </c>
      <c r="N277">
        <f t="shared" si="219"/>
        <v>-1.5707963250000001</v>
      </c>
      <c r="O277">
        <f t="shared" si="220"/>
        <v>133.89684221676015</v>
      </c>
      <c r="P277">
        <f t="shared" si="221"/>
        <v>1.5633278213399988</v>
      </c>
      <c r="Q277">
        <f t="shared" si="222"/>
        <v>60.607499133088247</v>
      </c>
      <c r="R277">
        <f t="shared" si="223"/>
        <v>1.554295969698666</v>
      </c>
      <c r="S277">
        <f t="shared" si="224"/>
        <v>0.63295066110222209</v>
      </c>
      <c r="T277">
        <f t="shared" si="225"/>
        <v>-0.88543774797766939</v>
      </c>
      <c r="U277">
        <f t="shared" si="226"/>
        <v>0.38389761895352809</v>
      </c>
      <c r="V277">
        <f t="shared" si="227"/>
        <v>-1.1767826607166947</v>
      </c>
      <c r="X277">
        <f t="shared" si="244"/>
        <v>-29.28064654087834</v>
      </c>
      <c r="Y277">
        <f t="shared" si="228"/>
        <v>-156.67848422319787</v>
      </c>
      <c r="Z277">
        <f t="shared" si="245"/>
        <v>23.32151577680213</v>
      </c>
      <c r="AC277">
        <v>1</v>
      </c>
      <c r="AD277">
        <f t="shared" si="229"/>
        <v>133.893107946675</v>
      </c>
      <c r="AE277">
        <f t="shared" si="230"/>
        <v>-3.975025356013296E-2</v>
      </c>
      <c r="AF277">
        <f t="shared" si="231"/>
        <v>1.6526348135325001E-2</v>
      </c>
      <c r="AG277">
        <f t="shared" si="246"/>
        <v>1172.5720538864525</v>
      </c>
      <c r="AH277">
        <f t="shared" si="247"/>
        <v>-2880.8564402528905</v>
      </c>
      <c r="AJ277">
        <f t="shared" si="232"/>
        <v>20000</v>
      </c>
      <c r="AK277">
        <f t="shared" si="233"/>
        <v>24462.95364702</v>
      </c>
      <c r="AL277">
        <v>1</v>
      </c>
      <c r="AM277">
        <f t="shared" si="234"/>
        <v>60.599248767351</v>
      </c>
      <c r="AN277">
        <f t="shared" si="248"/>
        <v>409.01895113411098</v>
      </c>
      <c r="AO277">
        <f t="shared" si="249"/>
        <v>-323.28752331697058</v>
      </c>
      <c r="AQ277">
        <f t="shared" si="235"/>
        <v>2.5195199810532098E-2</v>
      </c>
      <c r="AR277">
        <f t="shared" si="236"/>
        <v>-15.872975880635222</v>
      </c>
      <c r="AT277">
        <f t="shared" si="209"/>
        <v>-45698.221604516861</v>
      </c>
      <c r="AU277">
        <f t="shared" si="210"/>
        <v>-18684.791683284195</v>
      </c>
      <c r="AV277">
        <f t="shared" si="250"/>
        <v>-2.7534601927122679</v>
      </c>
      <c r="AW277">
        <f t="shared" si="251"/>
        <v>-3658.2206882976043</v>
      </c>
      <c r="AX277">
        <f t="shared" si="252"/>
        <v>-10113.45543701815</v>
      </c>
      <c r="AY277">
        <f t="shared" si="260"/>
        <v>-1.9178721249505075</v>
      </c>
      <c r="BA277">
        <f t="shared" si="237"/>
        <v>4.5905804794784606</v>
      </c>
      <c r="BB277">
        <f t="shared" si="253"/>
        <v>13.237352112029338</v>
      </c>
      <c r="BC277">
        <f t="shared" si="254"/>
        <v>-0.83558806776176042</v>
      </c>
      <c r="BD277">
        <f t="shared" si="238"/>
        <v>-227.87566974894625</v>
      </c>
      <c r="BF277">
        <f t="shared" si="239"/>
        <v>-31.556796075295903</v>
      </c>
      <c r="BG277">
        <f t="shared" si="240"/>
        <v>-175.02431353340174</v>
      </c>
      <c r="BH277">
        <f t="shared" si="255"/>
        <v>4.9756864665982619</v>
      </c>
      <c r="BI277">
        <f t="shared" si="256"/>
        <v>4.9756864665982619</v>
      </c>
      <c r="BJ277">
        <f t="shared" si="241"/>
        <v>0</v>
      </c>
      <c r="BK277">
        <f t="shared" si="257"/>
        <v>0</v>
      </c>
      <c r="BM277">
        <f t="shared" si="258"/>
        <v>-44.794148187325234</v>
      </c>
      <c r="BN277">
        <f t="shared" si="242"/>
        <v>-127.1486437844555</v>
      </c>
      <c r="BQ277" s="66">
        <f t="shared" si="259"/>
        <v>30.139312912314477</v>
      </c>
      <c r="BR277" s="71"/>
      <c r="BS277" s="71"/>
      <c r="BT277" s="71">
        <v>46773.514000000003</v>
      </c>
      <c r="BU277" s="71">
        <v>0.78233600000000003</v>
      </c>
      <c r="BV277" s="71">
        <v>-137.57599999999999</v>
      </c>
      <c r="BY277" s="71"/>
      <c r="BZ277" s="71"/>
      <c r="CA277" s="71"/>
      <c r="CC277" s="71"/>
    </row>
    <row r="278" spans="1:81" x14ac:dyDescent="0.15">
      <c r="A278">
        <f t="shared" si="211"/>
        <v>320000</v>
      </c>
      <c r="B278">
        <f t="shared" si="243"/>
        <v>320</v>
      </c>
      <c r="C278">
        <f t="shared" si="212"/>
        <v>1.6616113214954171</v>
      </c>
      <c r="D278">
        <f t="shared" si="213"/>
        <v>0.92501143356080262</v>
      </c>
      <c r="F278">
        <f t="shared" si="214"/>
        <v>2.2611391452904056E-4</v>
      </c>
      <c r="G278">
        <f t="shared" si="215"/>
        <v>4.9258842098531905E-3</v>
      </c>
      <c r="H278">
        <f t="shared" si="216"/>
        <v>-3.1366667657901468</v>
      </c>
      <c r="J278">
        <f t="shared" si="217"/>
        <v>15</v>
      </c>
      <c r="M278">
        <f t="shared" si="218"/>
        <v>2.978198788805321E-3</v>
      </c>
      <c r="N278">
        <f t="shared" si="219"/>
        <v>-1.5707963250000001</v>
      </c>
      <c r="O278">
        <f t="shared" si="220"/>
        <v>136.02207129810441</v>
      </c>
      <c r="P278">
        <f t="shared" si="221"/>
        <v>1.5634445124995477</v>
      </c>
      <c r="Q278">
        <f t="shared" si="222"/>
        <v>61.569263075840027</v>
      </c>
      <c r="R278">
        <f t="shared" si="223"/>
        <v>1.5545537420756139</v>
      </c>
      <c r="S278">
        <f t="shared" si="224"/>
        <v>0.62696699532332412</v>
      </c>
      <c r="T278">
        <f t="shared" si="225"/>
        <v>-0.89314247366936572</v>
      </c>
      <c r="U278">
        <f t="shared" si="226"/>
        <v>0.37876560607497506</v>
      </c>
      <c r="V278">
        <f t="shared" si="227"/>
        <v>-1.1823341645222145</v>
      </c>
      <c r="X278">
        <f t="shared" si="244"/>
        <v>-29.530195446765308</v>
      </c>
      <c r="Y278">
        <f t="shared" si="228"/>
        <v>-156.98642768095257</v>
      </c>
      <c r="Z278">
        <f t="shared" si="245"/>
        <v>23.013572319047427</v>
      </c>
      <c r="AC278">
        <v>1</v>
      </c>
      <c r="AD278">
        <f t="shared" si="229"/>
        <v>136.0183953744</v>
      </c>
      <c r="AE278">
        <f t="shared" si="230"/>
        <v>-4.1022181552608873E-2</v>
      </c>
      <c r="AF278">
        <f t="shared" si="231"/>
        <v>1.6788671121599999E-2</v>
      </c>
      <c r="AG278">
        <f t="shared" si="246"/>
        <v>1141.4312911598442</v>
      </c>
      <c r="AH278">
        <f t="shared" si="247"/>
        <v>-2848.5876761418244</v>
      </c>
      <c r="AJ278">
        <f t="shared" si="232"/>
        <v>20000</v>
      </c>
      <c r="AK278">
        <f t="shared" si="233"/>
        <v>24851.25449856</v>
      </c>
      <c r="AL278">
        <v>1</v>
      </c>
      <c r="AM278">
        <f t="shared" si="234"/>
        <v>61.561141604927997</v>
      </c>
      <c r="AN278">
        <f t="shared" si="248"/>
        <v>408.85358335438536</v>
      </c>
      <c r="AO278">
        <f t="shared" si="249"/>
        <v>-318.23884200154822</v>
      </c>
      <c r="AQ278">
        <f t="shared" si="235"/>
        <v>2.4414002895500744E-2</v>
      </c>
      <c r="AR278">
        <f t="shared" si="236"/>
        <v>-15.624961853120476</v>
      </c>
      <c r="AT278">
        <f t="shared" ref="AT278:AT341" si="261">-AR278*AH278+AG278*AQ278</f>
        <v>-44481.20686813772</v>
      </c>
      <c r="AU278">
        <f t="shared" ref="AU278:AU341" si="262">AQ278*AH278+AG278*AR278</f>
        <v>-17904.365810104031</v>
      </c>
      <c r="AV278">
        <f t="shared" si="250"/>
        <v>-2.7589198068840237</v>
      </c>
      <c r="AW278">
        <f t="shared" si="251"/>
        <v>-3527.6645439594249</v>
      </c>
      <c r="AX278">
        <f t="shared" si="252"/>
        <v>-9963.9921965206941</v>
      </c>
      <c r="AY278">
        <f t="shared" si="260"/>
        <v>-1.9110668485663882</v>
      </c>
      <c r="BA278">
        <f t="shared" si="237"/>
        <v>4.5363528568854043</v>
      </c>
      <c r="BB278">
        <f t="shared" si="253"/>
        <v>13.134136569540477</v>
      </c>
      <c r="BC278">
        <f t="shared" si="254"/>
        <v>-0.84785295831763552</v>
      </c>
      <c r="BD278">
        <f t="shared" si="238"/>
        <v>-228.57839621479073</v>
      </c>
      <c r="BF278">
        <f t="shared" si="239"/>
        <v>-31.846903623757832</v>
      </c>
      <c r="BG278">
        <f t="shared" si="240"/>
        <v>-175.29691263393306</v>
      </c>
      <c r="BH278">
        <f t="shared" si="255"/>
        <v>4.7030873660669386</v>
      </c>
      <c r="BI278">
        <f t="shared" si="256"/>
        <v>4.7030873660669386</v>
      </c>
      <c r="BJ278">
        <f t="shared" si="241"/>
        <v>0</v>
      </c>
      <c r="BK278">
        <f t="shared" si="257"/>
        <v>0</v>
      </c>
      <c r="BM278">
        <f t="shared" si="258"/>
        <v>-44.981040193298305</v>
      </c>
      <c r="BN278">
        <f t="shared" si="242"/>
        <v>-126.71851641914233</v>
      </c>
      <c r="BQ278" s="66">
        <f t="shared" si="259"/>
        <v>30.036097369825612</v>
      </c>
      <c r="BR278" s="71"/>
      <c r="BS278" s="71"/>
      <c r="BT278" s="71">
        <v>47863.008999999998</v>
      </c>
      <c r="BU278" s="71">
        <v>0.81724300000000005</v>
      </c>
      <c r="BV278" s="71">
        <v>-138.25</v>
      </c>
      <c r="BY278" s="71"/>
      <c r="BZ278" s="71"/>
      <c r="CA278" s="71"/>
      <c r="CC278" s="71"/>
    </row>
    <row r="279" spans="1:81" x14ac:dyDescent="0.15">
      <c r="A279">
        <f t="shared" si="211"/>
        <v>325000</v>
      </c>
      <c r="B279">
        <f t="shared" si="243"/>
        <v>325</v>
      </c>
      <c r="C279">
        <f t="shared" si="212"/>
        <v>1.6782168690100157</v>
      </c>
      <c r="D279">
        <f t="shared" si="213"/>
        <v>0.93244710660224828</v>
      </c>
      <c r="F279">
        <f t="shared" si="214"/>
        <v>2.1920862453849783E-4</v>
      </c>
      <c r="G279">
        <f t="shared" si="215"/>
        <v>4.8500685431731982E-3</v>
      </c>
      <c r="H279">
        <f t="shared" si="216"/>
        <v>-3.1367425814568271</v>
      </c>
      <c r="J279">
        <f t="shared" si="217"/>
        <v>15</v>
      </c>
      <c r="M279">
        <f t="shared" si="218"/>
        <v>2.9323803459006242E-3</v>
      </c>
      <c r="N279">
        <f t="shared" si="219"/>
        <v>-1.5707963250000001</v>
      </c>
      <c r="O279">
        <f t="shared" si="220"/>
        <v>138.14730217465024</v>
      </c>
      <c r="P279">
        <f t="shared" si="221"/>
        <v>1.5635576133529852</v>
      </c>
      <c r="Q279">
        <f t="shared" si="222"/>
        <v>62.531030983813686</v>
      </c>
      <c r="R279">
        <f t="shared" si="223"/>
        <v>1.5548035850552695</v>
      </c>
      <c r="S279">
        <f t="shared" si="224"/>
        <v>0.62105956718284294</v>
      </c>
      <c r="T279">
        <f t="shared" si="225"/>
        <v>-0.90070244972318569</v>
      </c>
      <c r="U279">
        <f t="shared" si="226"/>
        <v>0.37375792761393756</v>
      </c>
      <c r="V279">
        <f t="shared" si="227"/>
        <v>-1.1877390378516561</v>
      </c>
      <c r="X279">
        <f t="shared" si="244"/>
        <v>-29.776421099825452</v>
      </c>
      <c r="Y279">
        <f t="shared" si="228"/>
        <v>-157.28677491775065</v>
      </c>
      <c r="Z279">
        <f t="shared" si="245"/>
        <v>22.713225082249352</v>
      </c>
      <c r="AC279">
        <v>1</v>
      </c>
      <c r="AD279">
        <f t="shared" si="229"/>
        <v>138.14368280212503</v>
      </c>
      <c r="AE279">
        <f t="shared" si="230"/>
        <v>-4.2314139907171019E-2</v>
      </c>
      <c r="AF279">
        <f t="shared" si="231"/>
        <v>1.7050994107875E-2</v>
      </c>
      <c r="AG279">
        <f t="shared" si="246"/>
        <v>1111.4489719277803</v>
      </c>
      <c r="AH279">
        <f t="shared" si="247"/>
        <v>-2816.844988272609</v>
      </c>
      <c r="AJ279">
        <f t="shared" si="232"/>
        <v>20000</v>
      </c>
      <c r="AK279">
        <f t="shared" si="233"/>
        <v>25239.555350100003</v>
      </c>
      <c r="AL279">
        <v>1</v>
      </c>
      <c r="AM279">
        <f t="shared" si="234"/>
        <v>62.523034442505001</v>
      </c>
      <c r="AN279">
        <f t="shared" si="248"/>
        <v>408.69578646626519</v>
      </c>
      <c r="AO279">
        <f t="shared" si="249"/>
        <v>-313.34538363696225</v>
      </c>
      <c r="AQ279">
        <f t="shared" si="235"/>
        <v>2.3668583032939568E-2</v>
      </c>
      <c r="AR279">
        <f t="shared" si="236"/>
        <v>-15.384578971410718</v>
      </c>
      <c r="AT279">
        <f t="shared" si="261"/>
        <v>-43309.667750023509</v>
      </c>
      <c r="AU279">
        <f t="shared" si="262"/>
        <v>-17165.845210812044</v>
      </c>
      <c r="AV279">
        <f t="shared" si="250"/>
        <v>-2.7642356177637768</v>
      </c>
      <c r="AW279">
        <f t="shared" si="251"/>
        <v>-3403.3240175603082</v>
      </c>
      <c r="AX279">
        <f t="shared" si="252"/>
        <v>-9818.8381869267687</v>
      </c>
      <c r="AY279">
        <f t="shared" si="260"/>
        <v>-1.9044494166819841</v>
      </c>
      <c r="BA279">
        <f t="shared" si="237"/>
        <v>4.4830445698237691</v>
      </c>
      <c r="BB279">
        <f t="shared" si="253"/>
        <v>13.031461131687028</v>
      </c>
      <c r="BC279">
        <f t="shared" si="254"/>
        <v>-0.85978620108179271</v>
      </c>
      <c r="BD279">
        <f t="shared" si="238"/>
        <v>-229.26212066186324</v>
      </c>
      <c r="BF279">
        <f t="shared" si="239"/>
        <v>-32.132599302910606</v>
      </c>
      <c r="BG279">
        <f t="shared" si="240"/>
        <v>-175.55894831513143</v>
      </c>
      <c r="BH279">
        <f t="shared" si="255"/>
        <v>4.4410516848685688</v>
      </c>
      <c r="BI279">
        <f t="shared" si="256"/>
        <v>4.4410516848685688</v>
      </c>
      <c r="BJ279">
        <f t="shared" si="241"/>
        <v>0</v>
      </c>
      <c r="BK279">
        <f t="shared" si="257"/>
        <v>0</v>
      </c>
      <c r="BM279">
        <f t="shared" si="258"/>
        <v>-45.164060434597637</v>
      </c>
      <c r="BN279">
        <f t="shared" si="242"/>
        <v>-126.29682765326821</v>
      </c>
      <c r="BQ279" s="66">
        <f t="shared" si="259"/>
        <v>29.933421931972166</v>
      </c>
      <c r="BR279" s="71"/>
      <c r="BS279" s="71"/>
      <c r="BT279" s="71">
        <v>48977.881999999998</v>
      </c>
      <c r="BU279" s="71">
        <v>0.86195100000000002</v>
      </c>
      <c r="BV279" s="71">
        <v>-138.07900000000001</v>
      </c>
      <c r="BY279" s="71"/>
      <c r="BZ279" s="71"/>
      <c r="CA279" s="71"/>
      <c r="CC279" s="71"/>
    </row>
    <row r="280" spans="1:81" x14ac:dyDescent="0.15">
      <c r="A280">
        <f>A279+5000</f>
        <v>330000</v>
      </c>
      <c r="B280">
        <f t="shared" si="243"/>
        <v>330</v>
      </c>
      <c r="C280">
        <f t="shared" si="212"/>
        <v>1.694913382763636</v>
      </c>
      <c r="D280">
        <f t="shared" si="213"/>
        <v>0.93973667915748527</v>
      </c>
      <c r="F280">
        <f t="shared" si="214"/>
        <v>2.1261491303253886E-4</v>
      </c>
      <c r="G280">
        <f t="shared" si="215"/>
        <v>4.7765517799507624E-3</v>
      </c>
      <c r="H280">
        <f t="shared" si="216"/>
        <v>-3.1368160982200495</v>
      </c>
      <c r="J280">
        <f t="shared" si="217"/>
        <v>15</v>
      </c>
      <c r="M280">
        <f t="shared" si="218"/>
        <v>2.8879503406597055E-3</v>
      </c>
      <c r="N280">
        <f t="shared" si="219"/>
        <v>-1.5707963250000001</v>
      </c>
      <c r="O280">
        <f t="shared" si="220"/>
        <v>140.27253476480186</v>
      </c>
      <c r="P280">
        <f t="shared" si="221"/>
        <v>1.5636672870847246</v>
      </c>
      <c r="Q280">
        <f t="shared" si="222"/>
        <v>63.492802676817639</v>
      </c>
      <c r="R280">
        <f t="shared" si="223"/>
        <v>1.5550458589427651</v>
      </c>
      <c r="S280">
        <f t="shared" si="224"/>
        <v>0.61522823958217543</v>
      </c>
      <c r="T280">
        <f t="shared" si="225"/>
        <v>-0.90812087708863876</v>
      </c>
      <c r="U280">
        <f t="shared" si="226"/>
        <v>0.36887057750346819</v>
      </c>
      <c r="V280">
        <f t="shared" si="227"/>
        <v>-1.1930027107243619</v>
      </c>
      <c r="X280">
        <f t="shared" si="244"/>
        <v>-30.019407351497648</v>
      </c>
      <c r="Y280">
        <f t="shared" si="228"/>
        <v>-157.57979108228864</v>
      </c>
      <c r="Z280">
        <f t="shared" si="245"/>
        <v>22.420208917711363</v>
      </c>
      <c r="AC280">
        <v>1</v>
      </c>
      <c r="AD280">
        <f t="shared" si="229"/>
        <v>140.26897022985</v>
      </c>
      <c r="AE280">
        <f t="shared" si="230"/>
        <v>-4.3626128623819399E-2</v>
      </c>
      <c r="AF280">
        <f t="shared" si="231"/>
        <v>1.7313317094150002E-2</v>
      </c>
      <c r="AG280">
        <f t="shared" si="246"/>
        <v>1082.5718591588225</v>
      </c>
      <c r="AH280">
        <f t="shared" si="247"/>
        <v>-2785.6255915561087</v>
      </c>
      <c r="AJ280">
        <f t="shared" si="232"/>
        <v>20000</v>
      </c>
      <c r="AK280">
        <f t="shared" si="233"/>
        <v>25627.856201639999</v>
      </c>
      <c r="AL280">
        <v>1</v>
      </c>
      <c r="AM280">
        <f t="shared" si="234"/>
        <v>63.484927280082005</v>
      </c>
      <c r="AN280">
        <f t="shared" si="248"/>
        <v>408.54510531323325</v>
      </c>
      <c r="AO280">
        <f t="shared" si="249"/>
        <v>-308.60009980405954</v>
      </c>
      <c r="AQ280">
        <f t="shared" si="235"/>
        <v>2.29567884371248E-2</v>
      </c>
      <c r="AR280">
        <f t="shared" si="236"/>
        <v>-15.151480368502368</v>
      </c>
      <c r="AT280">
        <f t="shared" si="261"/>
        <v>-42181.499091321479</v>
      </c>
      <c r="AU280">
        <f t="shared" si="262"/>
        <v>-16466.515288908402</v>
      </c>
      <c r="AV280">
        <f t="shared" si="250"/>
        <v>-2.7694129268737138</v>
      </c>
      <c r="AW280">
        <f t="shared" si="251"/>
        <v>-3284.81079248479</v>
      </c>
      <c r="AX280">
        <f t="shared" si="252"/>
        <v>-9677.8088660315698</v>
      </c>
      <c r="AY280">
        <f t="shared" si="260"/>
        <v>-1.8980119611980406</v>
      </c>
      <c r="BA280">
        <f t="shared" si="237"/>
        <v>4.4306535378040479</v>
      </c>
      <c r="BB280">
        <f t="shared" si="253"/>
        <v>12.929355819848089</v>
      </c>
      <c r="BC280">
        <f t="shared" si="254"/>
        <v>-0.87140096567567316</v>
      </c>
      <c r="BD280">
        <f t="shared" si="238"/>
        <v>-229.92759765389098</v>
      </c>
      <c r="BF280">
        <f t="shared" si="239"/>
        <v>-32.41399436007714</v>
      </c>
      <c r="BG280">
        <f t="shared" si="240"/>
        <v>-175.81097576507338</v>
      </c>
      <c r="BH280">
        <f t="shared" si="255"/>
        <v>4.1890242349266202</v>
      </c>
      <c r="BI280">
        <f t="shared" si="256"/>
        <v>4.1890242349266202</v>
      </c>
      <c r="BJ280">
        <f t="shared" si="241"/>
        <v>0</v>
      </c>
      <c r="BK280">
        <f t="shared" si="257"/>
        <v>0</v>
      </c>
      <c r="BM280">
        <f t="shared" si="258"/>
        <v>-45.343350179925224</v>
      </c>
      <c r="BN280">
        <f t="shared" si="242"/>
        <v>-125.88337811118241</v>
      </c>
      <c r="BQ280" s="66">
        <f t="shared" si="259"/>
        <v>29.831316620133226</v>
      </c>
      <c r="BR280" s="71"/>
      <c r="BS280" s="71"/>
      <c r="BT280" s="71">
        <v>50118.722999999998</v>
      </c>
      <c r="BU280" s="71">
        <v>0.950021</v>
      </c>
      <c r="BV280" s="71">
        <v>-137.59100000000001</v>
      </c>
      <c r="BY280" s="71"/>
      <c r="BZ280" s="71"/>
      <c r="CA280" s="71"/>
      <c r="CC280" s="71"/>
    </row>
    <row r="281" spans="1:81" x14ac:dyDescent="0.15">
      <c r="A281">
        <f t="shared" si="211"/>
        <v>335000</v>
      </c>
      <c r="B281">
        <f t="shared" si="243"/>
        <v>335</v>
      </c>
      <c r="C281">
        <f t="shared" si="212"/>
        <v>1.7116982008070878</v>
      </c>
      <c r="D281">
        <f t="shared" si="213"/>
        <v>0.94688366302836047</v>
      </c>
      <c r="F281">
        <f t="shared" si="214"/>
        <v>2.063143116357648E-4</v>
      </c>
      <c r="G281">
        <f t="shared" si="215"/>
        <v>4.7052308990205485E-3</v>
      </c>
      <c r="H281">
        <f t="shared" si="216"/>
        <v>-3.1368874191009795</v>
      </c>
      <c r="J281">
        <f t="shared" si="217"/>
        <v>15</v>
      </c>
      <c r="M281">
        <f t="shared" si="218"/>
        <v>2.8448466042319486E-3</v>
      </c>
      <c r="N281">
        <f t="shared" si="219"/>
        <v>-1.5707963250000001</v>
      </c>
      <c r="O281">
        <f t="shared" si="220"/>
        <v>142.39776899183448</v>
      </c>
      <c r="P281">
        <f t="shared" si="221"/>
        <v>1.5637736871376517</v>
      </c>
      <c r="Q281">
        <f t="shared" si="222"/>
        <v>64.454577985414645</v>
      </c>
      <c r="R281">
        <f t="shared" si="223"/>
        <v>1.5552809025413792</v>
      </c>
      <c r="S281">
        <f t="shared" si="224"/>
        <v>0.6094727878460735</v>
      </c>
      <c r="T281">
        <f t="shared" si="225"/>
        <v>-0.91540090031633525</v>
      </c>
      <c r="U281">
        <f t="shared" si="226"/>
        <v>0.36409969355714439</v>
      </c>
      <c r="V281">
        <f t="shared" si="227"/>
        <v>-1.1981303644458527</v>
      </c>
      <c r="X281">
        <f t="shared" si="244"/>
        <v>-30.259235003839294</v>
      </c>
      <c r="Y281">
        <f t="shared" si="228"/>
        <v>-157.86572969860995</v>
      </c>
      <c r="Z281">
        <f t="shared" si="245"/>
        <v>22.134270301390046</v>
      </c>
      <c r="AC281">
        <v>1</v>
      </c>
      <c r="AD281">
        <f t="shared" si="229"/>
        <v>142.39425765757503</v>
      </c>
      <c r="AE281">
        <f t="shared" si="230"/>
        <v>-4.4958147702554019E-2</v>
      </c>
      <c r="AF281">
        <f t="shared" si="231"/>
        <v>1.7575640080425003E-2</v>
      </c>
      <c r="AG281">
        <f t="shared" si="246"/>
        <v>1054.7495024191116</v>
      </c>
      <c r="AH281">
        <f t="shared" si="247"/>
        <v>-2754.9257778031902</v>
      </c>
      <c r="AJ281">
        <f t="shared" si="232"/>
        <v>20000</v>
      </c>
      <c r="AK281">
        <f t="shared" si="233"/>
        <v>26016.157053179999</v>
      </c>
      <c r="AL281">
        <v>1</v>
      </c>
      <c r="AM281">
        <f t="shared" si="234"/>
        <v>64.446820117659001</v>
      </c>
      <c r="AN281">
        <f t="shared" si="248"/>
        <v>408.40111843361598</v>
      </c>
      <c r="AO281">
        <f t="shared" si="249"/>
        <v>-303.99636236199831</v>
      </c>
      <c r="AQ281">
        <f t="shared" si="235"/>
        <v>2.2276626694972834E-2</v>
      </c>
      <c r="AR281">
        <f t="shared" si="236"/>
        <v>-14.925339885631798</v>
      </c>
      <c r="AT281">
        <f t="shared" si="261"/>
        <v>-41094.707332479062</v>
      </c>
      <c r="AU281">
        <f t="shared" si="262"/>
        <v>-15803.865270930739</v>
      </c>
      <c r="AV281">
        <f t="shared" si="250"/>
        <v>-2.7744567946928522</v>
      </c>
      <c r="AW281">
        <f t="shared" si="251"/>
        <v>-3171.7663285143567</v>
      </c>
      <c r="AX281">
        <f t="shared" si="252"/>
        <v>-9540.7302858987168</v>
      </c>
      <c r="AY281">
        <f t="shared" si="260"/>
        <v>-1.8917470029384793</v>
      </c>
      <c r="BA281">
        <f t="shared" si="237"/>
        <v>4.3791753721286248</v>
      </c>
      <c r="BB281">
        <f t="shared" si="253"/>
        <v>12.827846753226728</v>
      </c>
      <c r="BC281">
        <f t="shared" si="254"/>
        <v>-0.88270979175437292</v>
      </c>
      <c r="BD281">
        <f t="shared" si="238"/>
        <v>-230.57554566018837</v>
      </c>
      <c r="BF281">
        <f t="shared" si="239"/>
        <v>-32.691197077991362</v>
      </c>
      <c r="BG281">
        <f t="shared" si="240"/>
        <v>-176.05351814432672</v>
      </c>
      <c r="BH281">
        <f t="shared" si="255"/>
        <v>3.9464818556732837</v>
      </c>
      <c r="BI281">
        <f t="shared" si="256"/>
        <v>3.9464818556732837</v>
      </c>
      <c r="BJ281">
        <f t="shared" si="241"/>
        <v>0</v>
      </c>
      <c r="BK281">
        <f t="shared" si="257"/>
        <v>0</v>
      </c>
      <c r="BM281">
        <f t="shared" si="258"/>
        <v>-45.519043831218085</v>
      </c>
      <c r="BN281">
        <f t="shared" si="242"/>
        <v>-125.47797248413839</v>
      </c>
      <c r="BQ281" s="66">
        <f t="shared" si="259"/>
        <v>29.729807553511868</v>
      </c>
      <c r="BR281" s="71"/>
      <c r="BS281" s="71"/>
      <c r="BT281" s="71">
        <v>51286.137999999999</v>
      </c>
      <c r="BU281" s="71">
        <v>1.0492999999999999</v>
      </c>
      <c r="BV281" s="71">
        <v>-137.08699999999999</v>
      </c>
      <c r="BY281" s="71"/>
      <c r="BZ281" s="71"/>
      <c r="CA281" s="71"/>
      <c r="CC281" s="71"/>
    </row>
    <row r="282" spans="1:81" x14ac:dyDescent="0.15">
      <c r="A282">
        <f t="shared" si="211"/>
        <v>340000</v>
      </c>
      <c r="B282">
        <f t="shared" si="243"/>
        <v>340</v>
      </c>
      <c r="C282">
        <f t="shared" si="212"/>
        <v>1.7285687507746483</v>
      </c>
      <c r="D282">
        <f t="shared" si="213"/>
        <v>0.95389149226686709</v>
      </c>
      <c r="F282">
        <f t="shared" si="214"/>
        <v>2.0028970041196414E-4</v>
      </c>
      <c r="G282">
        <f t="shared" si="215"/>
        <v>4.6360089454142413E-3</v>
      </c>
      <c r="H282">
        <f t="shared" si="216"/>
        <v>-3.1369566410545859</v>
      </c>
      <c r="J282">
        <f t="shared" si="217"/>
        <v>15</v>
      </c>
      <c r="M282">
        <f t="shared" si="218"/>
        <v>2.8030106247579497E-3</v>
      </c>
      <c r="N282">
        <f t="shared" si="219"/>
        <v>-1.5707963250000001</v>
      </c>
      <c r="O282">
        <f t="shared" si="220"/>
        <v>144.52300478353632</v>
      </c>
      <c r="P282">
        <f t="shared" si="221"/>
        <v>1.5638769579293428</v>
      </c>
      <c r="Q282">
        <f t="shared" si="222"/>
        <v>65.416356750131385</v>
      </c>
      <c r="R282">
        <f t="shared" si="223"/>
        <v>1.5555090347327867</v>
      </c>
      <c r="S282">
        <f t="shared" si="224"/>
        <v>0.60379290734665869</v>
      </c>
      <c r="T282">
        <f t="shared" si="225"/>
        <v>-0.92254560642280836</v>
      </c>
      <c r="U282">
        <f t="shared" si="226"/>
        <v>0.3594415531059611</v>
      </c>
      <c r="V282">
        <f t="shared" si="227"/>
        <v>-1.2031269446075976</v>
      </c>
      <c r="X282">
        <f t="shared" si="244"/>
        <v>-30.495981953184614</v>
      </c>
      <c r="Y282">
        <f t="shared" si="228"/>
        <v>-158.1448332545848</v>
      </c>
      <c r="Z282">
        <f t="shared" si="245"/>
        <v>21.855166745415204</v>
      </c>
      <c r="AC282">
        <v>1</v>
      </c>
      <c r="AD282">
        <f t="shared" si="229"/>
        <v>144.51954508530002</v>
      </c>
      <c r="AE282">
        <f t="shared" si="230"/>
        <v>-4.6310197143374872E-2</v>
      </c>
      <c r="AF282">
        <f t="shared" si="231"/>
        <v>1.7837963066700002E-2</v>
      </c>
      <c r="AG282">
        <f t="shared" si="246"/>
        <v>1027.9340841614016</v>
      </c>
      <c r="AH282">
        <f t="shared" si="247"/>
        <v>-2724.7410428067806</v>
      </c>
      <c r="AJ282">
        <f t="shared" si="232"/>
        <v>20000</v>
      </c>
      <c r="AK282">
        <f t="shared" si="233"/>
        <v>26404.457904719999</v>
      </c>
      <c r="AL282">
        <v>1</v>
      </c>
      <c r="AM282">
        <f t="shared" si="234"/>
        <v>65.408712955235998</v>
      </c>
      <c r="AN282">
        <f t="shared" si="248"/>
        <v>408.26343511125225</v>
      </c>
      <c r="AO282">
        <f t="shared" si="249"/>
        <v>-299.5279325905222</v>
      </c>
      <c r="AQ282">
        <f t="shared" si="235"/>
        <v>2.1626250808281122E-2</v>
      </c>
      <c r="AR282">
        <f t="shared" si="236"/>
        <v>-14.705850549631164</v>
      </c>
      <c r="AT282">
        <f t="shared" si="261"/>
        <v>-40047.404201644225</v>
      </c>
      <c r="AU282">
        <f t="shared" si="262"/>
        <v>-15175.570949728912</v>
      </c>
      <c r="AV282">
        <f t="shared" si="250"/>
        <v>-2.7793720530928652</v>
      </c>
      <c r="AW282">
        <f t="shared" si="251"/>
        <v>-3063.8591750713026</v>
      </c>
      <c r="AX282">
        <f t="shared" si="252"/>
        <v>-9407.438319327397</v>
      </c>
      <c r="AY282">
        <f t="shared" si="260"/>
        <v>-1.8856474319964813</v>
      </c>
      <c r="BA282">
        <f t="shared" si="237"/>
        <v>4.3286037052206119</v>
      </c>
      <c r="BB282">
        <f t="shared" si="253"/>
        <v>12.726956537172587</v>
      </c>
      <c r="BC282">
        <f t="shared" si="254"/>
        <v>-0.89372462109638384</v>
      </c>
      <c r="BD282">
        <f t="shared" si="238"/>
        <v>-231.20664889426357</v>
      </c>
      <c r="BF282">
        <f t="shared" si="239"/>
        <v>-32.964312792411377</v>
      </c>
      <c r="BG282">
        <f t="shared" si="240"/>
        <v>-176.28706846482419</v>
      </c>
      <c r="BH282">
        <f t="shared" si="255"/>
        <v>3.7129315351758123</v>
      </c>
      <c r="BI282">
        <f t="shared" si="256"/>
        <v>3.7129315351758123</v>
      </c>
      <c r="BJ282">
        <f t="shared" si="241"/>
        <v>0</v>
      </c>
      <c r="BK282">
        <f t="shared" si="257"/>
        <v>0</v>
      </c>
      <c r="BM282">
        <f t="shared" si="258"/>
        <v>-45.69126932958396</v>
      </c>
      <c r="BN282">
        <f t="shared" si="242"/>
        <v>-125.08041957056062</v>
      </c>
      <c r="BQ282" s="66">
        <f t="shared" si="259"/>
        <v>29.628917337457725</v>
      </c>
      <c r="BR282" s="71"/>
      <c r="BS282" s="71"/>
      <c r="BT282" s="71">
        <v>52480.745999999999</v>
      </c>
      <c r="BU282" s="71">
        <v>1.1752400000000001</v>
      </c>
      <c r="BV282" s="71">
        <v>-136.553</v>
      </c>
      <c r="BY282" s="71"/>
      <c r="BZ282" s="71"/>
      <c r="CA282" s="71"/>
      <c r="CC282" s="71"/>
    </row>
    <row r="283" spans="1:81" x14ac:dyDescent="0.15">
      <c r="A283">
        <f t="shared" si="211"/>
        <v>345000</v>
      </c>
      <c r="B283">
        <f t="shared" si="243"/>
        <v>345</v>
      </c>
      <c r="C283">
        <f t="shared" si="212"/>
        <v>1.7455225468599636</v>
      </c>
      <c r="D283">
        <f t="shared" si="213"/>
        <v>0.96076352319676772</v>
      </c>
      <c r="F283">
        <f t="shared" si="214"/>
        <v>1.9452519141439052E-4</v>
      </c>
      <c r="G283">
        <f t="shared" si="215"/>
        <v>4.5687945902594786E-3</v>
      </c>
      <c r="H283">
        <f t="shared" si="216"/>
        <v>-3.1370238554097409</v>
      </c>
      <c r="J283">
        <f t="shared" si="217"/>
        <v>15</v>
      </c>
      <c r="M283">
        <f t="shared" si="218"/>
        <v>2.7623872823701531E-3</v>
      </c>
      <c r="N283">
        <f t="shared" si="219"/>
        <v>-1.5707963250000001</v>
      </c>
      <c r="O283">
        <f t="shared" si="220"/>
        <v>146.64824207188153</v>
      </c>
      <c r="P283">
        <f t="shared" si="221"/>
        <v>1.5639772355060091</v>
      </c>
      <c r="Q283">
        <f t="shared" si="222"/>
        <v>66.378138820736638</v>
      </c>
      <c r="R283">
        <f t="shared" si="223"/>
        <v>1.5557305559199726</v>
      </c>
      <c r="S283">
        <f t="shared" si="224"/>
        <v>0.59818822064826072</v>
      </c>
      <c r="T283">
        <f t="shared" si="225"/>
        <v>-0.92955802401399901</v>
      </c>
      <c r="U283">
        <f t="shared" si="226"/>
        <v>0.35489256857600687</v>
      </c>
      <c r="V283">
        <f t="shared" si="227"/>
        <v>-1.2079971733680934</v>
      </c>
      <c r="X283">
        <f t="shared" si="244"/>
        <v>-30.729723325443953</v>
      </c>
      <c r="Y283">
        <f t="shared" si="228"/>
        <v>-158.41733375917948</v>
      </c>
      <c r="Z283">
        <f t="shared" si="245"/>
        <v>21.582666240820515</v>
      </c>
      <c r="AC283">
        <v>1</v>
      </c>
      <c r="AD283">
        <f t="shared" si="229"/>
        <v>146.64483251302502</v>
      </c>
      <c r="AE283">
        <f t="shared" si="230"/>
        <v>-4.7682276946281937E-2</v>
      </c>
      <c r="AF283">
        <f t="shared" si="231"/>
        <v>1.8100286052975003E-2</v>
      </c>
      <c r="AG283">
        <f t="shared" si="246"/>
        <v>1002.0802738628402</v>
      </c>
      <c r="AH283">
        <f t="shared" si="247"/>
        <v>-2695.0661993939134</v>
      </c>
      <c r="AJ283">
        <f t="shared" si="232"/>
        <v>20000</v>
      </c>
      <c r="AK283">
        <f t="shared" si="233"/>
        <v>26792.758756260002</v>
      </c>
      <c r="AL283">
        <v>1</v>
      </c>
      <c r="AM283">
        <f t="shared" si="234"/>
        <v>66.370605792813009</v>
      </c>
      <c r="AN283">
        <f t="shared" si="248"/>
        <v>408.13169272298978</v>
      </c>
      <c r="AO283">
        <f t="shared" si="249"/>
        <v>-295.18893301104288</v>
      </c>
      <c r="AQ283">
        <f t="shared" si="235"/>
        <v>2.1003946641573953E-2</v>
      </c>
      <c r="AR283">
        <f t="shared" si="236"/>
        <v>-14.492723182686026</v>
      </c>
      <c r="AT283">
        <f t="shared" si="261"/>
        <v>-39037.800746226902</v>
      </c>
      <c r="AU283">
        <f t="shared" si="262"/>
        <v>-14579.479042571926</v>
      </c>
      <c r="AV283">
        <f t="shared" si="250"/>
        <v>-2.7841633171042428</v>
      </c>
      <c r="AW283">
        <f t="shared" si="251"/>
        <v>-2960.7825616505047</v>
      </c>
      <c r="AX283">
        <f t="shared" si="252"/>
        <v>-9277.7779556264031</v>
      </c>
      <c r="AY283">
        <f t="shared" si="260"/>
        <v>-1.8797064888043793</v>
      </c>
      <c r="BA283">
        <f t="shared" si="237"/>
        <v>4.2789304812006694</v>
      </c>
      <c r="BB283">
        <f t="shared" si="253"/>
        <v>12.626704613173889</v>
      </c>
      <c r="BC283">
        <f t="shared" si="254"/>
        <v>-0.90445682829986351</v>
      </c>
      <c r="BD283">
        <f t="shared" si="238"/>
        <v>-231.8215590725855</v>
      </c>
      <c r="BF283">
        <f t="shared" si="239"/>
        <v>-33.233443919881907</v>
      </c>
      <c r="BG283">
        <f t="shared" si="240"/>
        <v>-176.51209137260699</v>
      </c>
      <c r="BH283">
        <f t="shared" si="255"/>
        <v>3.4879086273930113</v>
      </c>
      <c r="BI283">
        <f t="shared" si="256"/>
        <v>3.4879086273930113</v>
      </c>
      <c r="BJ283">
        <f t="shared" si="241"/>
        <v>0</v>
      </c>
      <c r="BK283">
        <f t="shared" si="257"/>
        <v>0</v>
      </c>
      <c r="BM283">
        <f t="shared" si="258"/>
        <v>-45.860148533055792</v>
      </c>
      <c r="BN283">
        <f t="shared" si="242"/>
        <v>-124.6905323000215</v>
      </c>
      <c r="BQ283" s="66">
        <f t="shared" si="259"/>
        <v>29.528665413459024</v>
      </c>
      <c r="BR283" s="71"/>
      <c r="BS283" s="71"/>
      <c r="BT283" s="71">
        <v>53703.18</v>
      </c>
      <c r="BU283" s="71">
        <v>1.3152900000000001</v>
      </c>
      <c r="BV283" s="71">
        <v>-136.001</v>
      </c>
      <c r="BY283" s="71"/>
      <c r="BZ283" s="71"/>
      <c r="CA283" s="71"/>
      <c r="CC283" s="71"/>
    </row>
    <row r="284" spans="1:81" x14ac:dyDescent="0.15">
      <c r="A284">
        <f t="shared" si="211"/>
        <v>350000</v>
      </c>
      <c r="B284">
        <f t="shared" si="243"/>
        <v>350</v>
      </c>
      <c r="C284">
        <f t="shared" si="212"/>
        <v>1.7625571868656678</v>
      </c>
      <c r="D284">
        <f t="shared" si="213"/>
        <v>0.96750303465043619</v>
      </c>
      <c r="F284">
        <f t="shared" si="214"/>
        <v>1.8900602380261231E-4</v>
      </c>
      <c r="G284">
        <f t="shared" si="215"/>
        <v>4.503501728452792E-3</v>
      </c>
      <c r="H284">
        <f t="shared" si="216"/>
        <v>-3.1370891482715475</v>
      </c>
      <c r="J284">
        <f t="shared" si="217"/>
        <v>15</v>
      </c>
      <c r="M284">
        <f t="shared" si="218"/>
        <v>2.7229246069077223E-3</v>
      </c>
      <c r="N284">
        <f t="shared" si="219"/>
        <v>-1.5707963250000001</v>
      </c>
      <c r="O284">
        <f t="shared" si="220"/>
        <v>148.77348079273116</v>
      </c>
      <c r="P284">
        <f t="shared" si="221"/>
        <v>1.5640746481403953</v>
      </c>
      <c r="Q284">
        <f t="shared" si="222"/>
        <v>67.339924055581406</v>
      </c>
      <c r="R284">
        <f t="shared" si="223"/>
        <v>1.5559457493465354</v>
      </c>
      <c r="S284">
        <f t="shared" si="224"/>
        <v>0.59265828419396216</v>
      </c>
      <c r="T284">
        <f t="shared" si="225"/>
        <v>-0.93644112264333834</v>
      </c>
      <c r="U284">
        <f t="shared" si="226"/>
        <v>0.35044928304482847</v>
      </c>
      <c r="V284">
        <f t="shared" si="227"/>
        <v>-1.2127455610524303</v>
      </c>
      <c r="X284">
        <f t="shared" si="244"/>
        <v>-30.960531603640689</v>
      </c>
      <c r="Y284">
        <f t="shared" si="228"/>
        <v>-158.68345326991735</v>
      </c>
      <c r="Z284">
        <f t="shared" si="245"/>
        <v>21.316546730082649</v>
      </c>
      <c r="AC284">
        <v>1</v>
      </c>
      <c r="AD284">
        <f t="shared" si="229"/>
        <v>148.77011994075002</v>
      </c>
      <c r="AE284">
        <f t="shared" si="230"/>
        <v>-4.9074387111275257E-2</v>
      </c>
      <c r="AF284">
        <f t="shared" si="231"/>
        <v>1.8362609039250001E-2</v>
      </c>
      <c r="AG284">
        <f t="shared" si="246"/>
        <v>977.14508980007417</v>
      </c>
      <c r="AH284">
        <f t="shared" si="247"/>
        <v>-2665.895477929866</v>
      </c>
      <c r="AJ284">
        <f t="shared" si="232"/>
        <v>20000</v>
      </c>
      <c r="AK284">
        <f t="shared" si="233"/>
        <v>27181.059607800002</v>
      </c>
      <c r="AL284">
        <v>1</v>
      </c>
      <c r="AM284">
        <f t="shared" si="234"/>
        <v>67.332498630389992</v>
      </c>
      <c r="AN284">
        <f t="shared" si="248"/>
        <v>408.0055543493504</v>
      </c>
      <c r="AO284">
        <f t="shared" si="249"/>
        <v>-290.97382161914834</v>
      </c>
      <c r="AQ284">
        <f t="shared" si="235"/>
        <v>2.0408121616078335E-2</v>
      </c>
      <c r="AR284">
        <f t="shared" si="236"/>
        <v>-14.285685131254834</v>
      </c>
      <c r="AT284">
        <f t="shared" si="261"/>
        <v>-38064.201694712996</v>
      </c>
      <c r="AU284">
        <f t="shared" si="262"/>
        <v>-14013.592999564935</v>
      </c>
      <c r="AV284">
        <f t="shared" si="250"/>
        <v>-2.7888349960450727</v>
      </c>
      <c r="AW284">
        <f t="shared" si="251"/>
        <v>-2862.2522334082364</v>
      </c>
      <c r="AX284">
        <f t="shared" si="252"/>
        <v>-9151.6026583091134</v>
      </c>
      <c r="AY284">
        <f t="shared" si="260"/>
        <v>-1.8739177459643761</v>
      </c>
      <c r="BA284">
        <f t="shared" si="237"/>
        <v>4.2301462120414621</v>
      </c>
      <c r="BB284">
        <f t="shared" si="253"/>
        <v>12.527107574382084</v>
      </c>
      <c r="BC284">
        <f t="shared" si="254"/>
        <v>-0.91491725008069658</v>
      </c>
      <c r="BD284">
        <f t="shared" si="238"/>
        <v>-232.42089709323881</v>
      </c>
      <c r="BF284">
        <f t="shared" si="239"/>
        <v>-33.498689994055603</v>
      </c>
      <c r="BG284">
        <f t="shared" si="240"/>
        <v>-176.72902483596189</v>
      </c>
      <c r="BH284">
        <f t="shared" si="255"/>
        <v>3.2709751640381057</v>
      </c>
      <c r="BI284">
        <f t="shared" si="256"/>
        <v>3.2709751640381057</v>
      </c>
      <c r="BJ284">
        <f t="shared" si="241"/>
        <v>0</v>
      </c>
      <c r="BK284">
        <f t="shared" si="257"/>
        <v>0</v>
      </c>
      <c r="BM284">
        <f t="shared" si="258"/>
        <v>-46.025797568437682</v>
      </c>
      <c r="BN284">
        <f t="shared" si="242"/>
        <v>-124.30812774272312</v>
      </c>
      <c r="BQ284" s="66">
        <f t="shared" si="259"/>
        <v>29.429068374667221</v>
      </c>
      <c r="BR284" s="71"/>
      <c r="BS284" s="71"/>
      <c r="BT284" s="71">
        <v>54954.087</v>
      </c>
      <c r="BU284" s="71">
        <v>1.4637500000000001</v>
      </c>
      <c r="BV284" s="71">
        <v>-135.524</v>
      </c>
      <c r="BY284" s="71"/>
      <c r="BZ284" s="71"/>
      <c r="CA284" s="71"/>
      <c r="CC284" s="71"/>
    </row>
    <row r="285" spans="1:81" x14ac:dyDescent="0.15">
      <c r="A285">
        <f t="shared" si="211"/>
        <v>355000</v>
      </c>
      <c r="B285">
        <f t="shared" si="243"/>
        <v>355</v>
      </c>
      <c r="C285">
        <f t="shared" si="212"/>
        <v>1.7796703493289419</v>
      </c>
      <c r="D285">
        <f t="shared" si="213"/>
        <v>0.97411322839605397</v>
      </c>
      <c r="F285">
        <f t="shared" si="214"/>
        <v>1.8371846923125591E-4</v>
      </c>
      <c r="G285">
        <f t="shared" si="215"/>
        <v>4.4400491103767431E-3</v>
      </c>
      <c r="H285">
        <f t="shared" si="216"/>
        <v>-3.1371526008896233</v>
      </c>
      <c r="J285">
        <f t="shared" si="217"/>
        <v>15</v>
      </c>
      <c r="M285">
        <f t="shared" si="218"/>
        <v>2.6845735561062049E-3</v>
      </c>
      <c r="N285">
        <f t="shared" si="219"/>
        <v>-1.5707963250000001</v>
      </c>
      <c r="O285">
        <f t="shared" si="220"/>
        <v>150.89872088555961</v>
      </c>
      <c r="P285">
        <f t="shared" si="221"/>
        <v>1.5641693168791577</v>
      </c>
      <c r="Q285">
        <f t="shared" si="222"/>
        <v>68.301712320994753</v>
      </c>
      <c r="R285">
        <f t="shared" si="223"/>
        <v>1.5561548823045561</v>
      </c>
      <c r="S285">
        <f t="shared" si="224"/>
        <v>0.58720259455492985</v>
      </c>
      <c r="T285">
        <f t="shared" si="225"/>
        <v>-0.94319781238202538</v>
      </c>
      <c r="U285">
        <f t="shared" si="226"/>
        <v>0.34610836580787663</v>
      </c>
      <c r="V285">
        <f t="shared" si="227"/>
        <v>-1.2173764171064068</v>
      </c>
      <c r="X285">
        <f t="shared" si="244"/>
        <v>-31.188476748228929</v>
      </c>
      <c r="Y285">
        <f t="shared" si="228"/>
        <v>-158.94340439193851</v>
      </c>
      <c r="Z285">
        <f t="shared" si="245"/>
        <v>21.056595608061485</v>
      </c>
      <c r="AC285">
        <v>1</v>
      </c>
      <c r="AD285">
        <f t="shared" si="229"/>
        <v>150.89540736847502</v>
      </c>
      <c r="AE285">
        <f t="shared" si="230"/>
        <v>-5.048652763835481E-2</v>
      </c>
      <c r="AF285">
        <f t="shared" si="231"/>
        <v>1.8624932025525003E-2</v>
      </c>
      <c r="AG285">
        <f t="shared" si="246"/>
        <v>953.08776821517085</v>
      </c>
      <c r="AH285">
        <f t="shared" si="247"/>
        <v>-2637.2226156024631</v>
      </c>
      <c r="AJ285">
        <f t="shared" si="232"/>
        <v>20000</v>
      </c>
      <c r="AK285">
        <f t="shared" si="233"/>
        <v>27569.360459340001</v>
      </c>
      <c r="AL285">
        <v>1</v>
      </c>
      <c r="AM285">
        <f t="shared" si="234"/>
        <v>68.294391467967003</v>
      </c>
      <c r="AN285">
        <f t="shared" si="248"/>
        <v>407.88470661894678</v>
      </c>
      <c r="AO285">
        <f t="shared" si="249"/>
        <v>-286.87736829122485</v>
      </c>
      <c r="AQ285">
        <f t="shared" si="235"/>
        <v>1.9837294510425488E-2</v>
      </c>
      <c r="AR285">
        <f t="shared" si="236"/>
        <v>-14.084479102402097</v>
      </c>
      <c r="AT285">
        <f t="shared" si="261"/>
        <v>-37125.000135082722</v>
      </c>
      <c r="AU285">
        <f t="shared" si="262"/>
        <v>-13476.060115896888</v>
      </c>
      <c r="AV285">
        <f t="shared" si="250"/>
        <v>-2.7933913040441456</v>
      </c>
      <c r="AW285">
        <f t="shared" si="251"/>
        <v>-2768.0045039601659</v>
      </c>
      <c r="AX285">
        <f t="shared" si="252"/>
        <v>-9028.7737782326949</v>
      </c>
      <c r="AY285">
        <f t="shared" si="260"/>
        <v>-1.868275090860859</v>
      </c>
      <c r="BA285">
        <f t="shared" si="237"/>
        <v>4.1822402031667902</v>
      </c>
      <c r="BB285">
        <f t="shared" si="253"/>
        <v>12.4281794501404</v>
      </c>
      <c r="BC285">
        <f t="shared" si="254"/>
        <v>-0.92511621318328663</v>
      </c>
      <c r="BD285">
        <f t="shared" si="238"/>
        <v>-233.00525463509459</v>
      </c>
      <c r="BF285">
        <f t="shared" si="239"/>
        <v>-33.76014770916192</v>
      </c>
      <c r="BG285">
        <f t="shared" si="240"/>
        <v>-176.9382817412162</v>
      </c>
      <c r="BH285">
        <f t="shared" si="255"/>
        <v>3.0617182587837988</v>
      </c>
      <c r="BI285">
        <f t="shared" si="256"/>
        <v>3.0617182587837988</v>
      </c>
      <c r="BJ285">
        <f t="shared" si="241"/>
        <v>0</v>
      </c>
      <c r="BK285">
        <f t="shared" si="257"/>
        <v>0</v>
      </c>
      <c r="BM285">
        <f t="shared" si="258"/>
        <v>-46.188327159302325</v>
      </c>
      <c r="BN285">
        <f t="shared" si="242"/>
        <v>-123.93302710612161</v>
      </c>
      <c r="BQ285" s="66">
        <f t="shared" si="259"/>
        <v>29.330140250425533</v>
      </c>
      <c r="BR285" s="71"/>
      <c r="BS285" s="71"/>
      <c r="BT285" s="71">
        <v>56234.133000000002</v>
      </c>
      <c r="BU285" s="71">
        <v>1.62296</v>
      </c>
      <c r="BV285" s="71">
        <v>-134.983</v>
      </c>
      <c r="BY285" s="71"/>
      <c r="BZ285" s="71"/>
      <c r="CA285" s="71"/>
      <c r="CC285" s="71"/>
    </row>
    <row r="286" spans="1:81" x14ac:dyDescent="0.15">
      <c r="A286">
        <f t="shared" si="211"/>
        <v>360000</v>
      </c>
      <c r="B286">
        <f t="shared" si="243"/>
        <v>360</v>
      </c>
      <c r="C286">
        <f t="shared" si="212"/>
        <v>1.7968597907245951</v>
      </c>
      <c r="D286">
        <f t="shared" si="213"/>
        <v>0.98059722973239993</v>
      </c>
      <c r="F286">
        <f t="shared" si="214"/>
        <v>1.7864974637675301E-4</v>
      </c>
      <c r="G286">
        <f t="shared" si="215"/>
        <v>4.3783600043465053E-3</v>
      </c>
      <c r="H286">
        <f t="shared" si="216"/>
        <v>-3.1372142899956539</v>
      </c>
      <c r="J286">
        <f t="shared" si="217"/>
        <v>15</v>
      </c>
      <c r="M286">
        <f t="shared" si="218"/>
        <v>2.6472878122713967E-3</v>
      </c>
      <c r="N286">
        <f t="shared" si="219"/>
        <v>-1.5707963250000001</v>
      </c>
      <c r="O286">
        <f t="shared" si="220"/>
        <v>153.0239622932036</v>
      </c>
      <c r="P286">
        <f t="shared" si="221"/>
        <v>1.5642613560446306</v>
      </c>
      <c r="Q286">
        <f t="shared" si="222"/>
        <v>69.263503490729818</v>
      </c>
      <c r="R286">
        <f t="shared" si="223"/>
        <v>1.5563582072418645</v>
      </c>
      <c r="S286">
        <f t="shared" si="224"/>
        <v>0.58182059426359944</v>
      </c>
      <c r="T286">
        <f t="shared" si="225"/>
        <v>-0.94983094358069908</v>
      </c>
      <c r="U286">
        <f t="shared" si="226"/>
        <v>0.34186660798085772</v>
      </c>
      <c r="V286">
        <f t="shared" si="227"/>
        <v>-1.2218938604400214</v>
      </c>
      <c r="X286">
        <f t="shared" si="244"/>
        <v>-31.413626310687807</v>
      </c>
      <c r="Y286">
        <f t="shared" si="228"/>
        <v>-159.19739075005356</v>
      </c>
      <c r="Z286">
        <f t="shared" si="245"/>
        <v>20.802609249946443</v>
      </c>
      <c r="AC286">
        <v>1</v>
      </c>
      <c r="AD286">
        <f t="shared" si="229"/>
        <v>153.02069479620002</v>
      </c>
      <c r="AE286">
        <f t="shared" si="230"/>
        <v>-5.191869852752061E-2</v>
      </c>
      <c r="AF286">
        <f t="shared" si="231"/>
        <v>1.8887255011800001E-2</v>
      </c>
      <c r="AG286">
        <f t="shared" si="246"/>
        <v>929.86963960100627</v>
      </c>
      <c r="AH286">
        <f t="shared" si="247"/>
        <v>-2609.0409356760524</v>
      </c>
      <c r="AJ286">
        <f t="shared" si="232"/>
        <v>20000</v>
      </c>
      <c r="AK286">
        <f t="shared" si="233"/>
        <v>27957.661310879997</v>
      </c>
      <c r="AL286">
        <v>1</v>
      </c>
      <c r="AM286">
        <f t="shared" si="234"/>
        <v>69.256284305544</v>
      </c>
      <c r="AN286">
        <f t="shared" si="248"/>
        <v>407.76885776087636</v>
      </c>
      <c r="AO286">
        <f t="shared" si="249"/>
        <v>-282.89463315418948</v>
      </c>
      <c r="AQ286">
        <f t="shared" si="235"/>
        <v>1.9290086245975606E-2</v>
      </c>
      <c r="AR286">
        <f t="shared" si="236"/>
        <v>-13.888862097102436</v>
      </c>
      <c r="AT286">
        <f t="shared" si="261"/>
        <v>-36218.672495754377</v>
      </c>
      <c r="AU286">
        <f t="shared" si="262"/>
        <v>-12965.159817369189</v>
      </c>
      <c r="AV286">
        <f t="shared" si="250"/>
        <v>-2.7978362699893551</v>
      </c>
      <c r="AW286">
        <f t="shared" si="251"/>
        <v>-2677.794500956034</v>
      </c>
      <c r="AX286">
        <f t="shared" si="252"/>
        <v>-8909.1600164877364</v>
      </c>
      <c r="AY286">
        <f t="shared" si="260"/>
        <v>-1.8627727090621258</v>
      </c>
      <c r="BA286">
        <f t="shared" si="237"/>
        <v>4.1352007519444118</v>
      </c>
      <c r="BB286">
        <f t="shared" si="253"/>
        <v>12.329931962633971</v>
      </c>
      <c r="BC286">
        <f t="shared" si="254"/>
        <v>-0.93506356092722931</v>
      </c>
      <c r="BD286">
        <f t="shared" si="238"/>
        <v>-233.57519567882275</v>
      </c>
      <c r="BF286">
        <f t="shared" si="239"/>
        <v>-34.017910969376402</v>
      </c>
      <c r="BG286">
        <f t="shared" si="240"/>
        <v>-177.14025139901156</v>
      </c>
      <c r="BH286">
        <f t="shared" si="255"/>
        <v>2.8597486009884392</v>
      </c>
      <c r="BI286">
        <f t="shared" si="256"/>
        <v>2.8597486009884392</v>
      </c>
      <c r="BJ286">
        <f t="shared" si="241"/>
        <v>0</v>
      </c>
      <c r="BK286">
        <f t="shared" si="257"/>
        <v>0</v>
      </c>
      <c r="BM286">
        <f t="shared" si="258"/>
        <v>-46.347842932010373</v>
      </c>
      <c r="BN286">
        <f t="shared" si="242"/>
        <v>-123.56505572018882</v>
      </c>
      <c r="BQ286" s="66">
        <f t="shared" si="259"/>
        <v>29.231892762919109</v>
      </c>
      <c r="BR286" s="71"/>
      <c r="BS286" s="71"/>
      <c r="BT286" s="71">
        <v>57543.993999999999</v>
      </c>
      <c r="BU286" s="71">
        <v>1.78169</v>
      </c>
      <c r="BV286" s="71">
        <v>-134.52199999999999</v>
      </c>
      <c r="BY286" s="71"/>
      <c r="BZ286" s="71"/>
      <c r="CA286" s="71"/>
      <c r="CC286" s="71"/>
    </row>
    <row r="287" spans="1:81" x14ac:dyDescent="0.15">
      <c r="A287">
        <f t="shared" si="211"/>
        <v>365000</v>
      </c>
      <c r="B287">
        <f t="shared" si="243"/>
        <v>365</v>
      </c>
      <c r="C287">
        <f t="shared" si="212"/>
        <v>1.8141233427467198</v>
      </c>
      <c r="D287">
        <f t="shared" si="213"/>
        <v>0.98695808823044995</v>
      </c>
      <c r="F287">
        <f t="shared" si="214"/>
        <v>1.7378794360710495E-4</v>
      </c>
      <c r="G287">
        <f t="shared" si="215"/>
        <v>4.3183618868350496E-3</v>
      </c>
      <c r="H287">
        <f t="shared" si="216"/>
        <v>-3.137274288113165</v>
      </c>
      <c r="J287">
        <f t="shared" si="217"/>
        <v>15</v>
      </c>
      <c r="M287">
        <f t="shared" si="218"/>
        <v>2.6110235956649389E-3</v>
      </c>
      <c r="N287">
        <f t="shared" si="219"/>
        <v>-1.5707963250000001</v>
      </c>
      <c r="O287">
        <f t="shared" si="220"/>
        <v>155.14920496163188</v>
      </c>
      <c r="P287">
        <f t="shared" si="221"/>
        <v>1.5643508736953562</v>
      </c>
      <c r="Q287">
        <f t="shared" si="222"/>
        <v>70.225297445455666</v>
      </c>
      <c r="R287">
        <f t="shared" si="223"/>
        <v>1.556555962778341</v>
      </c>
      <c r="S287">
        <f t="shared" si="224"/>
        <v>0.57651167725160457</v>
      </c>
      <c r="T287">
        <f t="shared" si="225"/>
        <v>-0.95634330680322677</v>
      </c>
      <c r="U287">
        <f t="shared" si="226"/>
        <v>0.33772091815904409</v>
      </c>
      <c r="V287">
        <f t="shared" si="227"/>
        <v>-1.2263018291938166</v>
      </c>
      <c r="X287">
        <f t="shared" si="244"/>
        <v>-31.636045540845998</v>
      </c>
      <c r="Y287">
        <f t="shared" si="228"/>
        <v>-159.4456074351622</v>
      </c>
      <c r="Z287">
        <f t="shared" si="245"/>
        <v>20.554392564837798</v>
      </c>
      <c r="AC287">
        <v>1</v>
      </c>
      <c r="AD287">
        <f t="shared" si="229"/>
        <v>155.14598222392502</v>
      </c>
      <c r="AE287">
        <f t="shared" si="230"/>
        <v>-5.3370899778772629E-2</v>
      </c>
      <c r="AF287">
        <f t="shared" si="231"/>
        <v>1.9149577998075002E-2</v>
      </c>
      <c r="AG287">
        <f t="shared" si="246"/>
        <v>907.45401181831426</v>
      </c>
      <c r="AH287">
        <f t="shared" si="247"/>
        <v>-2581.3434177802501</v>
      </c>
      <c r="AJ287">
        <f t="shared" si="232"/>
        <v>20000</v>
      </c>
      <c r="AK287">
        <f t="shared" si="233"/>
        <v>28345.962162420001</v>
      </c>
      <c r="AL287">
        <v>1</v>
      </c>
      <c r="AM287">
        <f t="shared" si="234"/>
        <v>70.218177143120997</v>
      </c>
      <c r="AN287">
        <f t="shared" si="248"/>
        <v>407.65773584247336</v>
      </c>
      <c r="AO287">
        <f t="shared" si="249"/>
        <v>-279.02094673041387</v>
      </c>
      <c r="AQ287">
        <f t="shared" si="235"/>
        <v>1.8765211549612405E-2</v>
      </c>
      <c r="AR287">
        <f t="shared" si="236"/>
        <v>-13.698604431217055</v>
      </c>
      <c r="AT287">
        <f t="shared" si="261"/>
        <v>-35343.773814794193</v>
      </c>
      <c r="AU287">
        <f t="shared" si="262"/>
        <v>-12479.293002736898</v>
      </c>
      <c r="AV287">
        <f t="shared" si="250"/>
        <v>-2.8021737469314143</v>
      </c>
      <c r="AW287">
        <f t="shared" si="251"/>
        <v>-2591.3945830318326</v>
      </c>
      <c r="AX287">
        <f t="shared" si="252"/>
        <v>-8792.6369320211579</v>
      </c>
      <c r="AY287">
        <f t="shared" si="260"/>
        <v>-1.857405068509139</v>
      </c>
      <c r="BA287">
        <f t="shared" si="237"/>
        <v>4.089015322145122</v>
      </c>
      <c r="BB287">
        <f t="shared" si="253"/>
        <v>12.232374758460697</v>
      </c>
      <c r="BC287">
        <f t="shared" si="254"/>
        <v>-0.9447686784222753</v>
      </c>
      <c r="BD287">
        <f t="shared" si="238"/>
        <v>-234.13125795160283</v>
      </c>
      <c r="BF287">
        <f t="shared" si="239"/>
        <v>-34.272070942992002</v>
      </c>
      <c r="BG287">
        <f t="shared" si="240"/>
        <v>-177.33530096427307</v>
      </c>
      <c r="BH287">
        <f t="shared" si="255"/>
        <v>2.664699035726926</v>
      </c>
      <c r="BI287">
        <f t="shared" si="256"/>
        <v>2.664699035726926</v>
      </c>
      <c r="BJ287">
        <f t="shared" si="241"/>
        <v>0</v>
      </c>
      <c r="BK287">
        <f t="shared" si="257"/>
        <v>0</v>
      </c>
      <c r="BM287">
        <f t="shared" si="258"/>
        <v>-46.504445701452696</v>
      </c>
      <c r="BN287">
        <f t="shared" si="242"/>
        <v>-123.20404301267024</v>
      </c>
      <c r="BQ287" s="66">
        <f t="shared" si="259"/>
        <v>29.134335558745835</v>
      </c>
      <c r="BR287" s="71"/>
      <c r="BS287" s="71"/>
      <c r="BT287" s="71">
        <v>58884.366000000002</v>
      </c>
      <c r="BU287" s="71">
        <v>1.9421999999999999</v>
      </c>
      <c r="BV287" s="71">
        <v>-134.059</v>
      </c>
      <c r="BY287" s="71"/>
      <c r="BZ287" s="71"/>
      <c r="CA287" s="71"/>
      <c r="CC287" s="71"/>
    </row>
    <row r="288" spans="1:81" x14ac:dyDescent="0.15">
      <c r="A288">
        <f t="shared" si="211"/>
        <v>370000</v>
      </c>
      <c r="B288">
        <f t="shared" si="243"/>
        <v>370</v>
      </c>
      <c r="C288">
        <f t="shared" si="212"/>
        <v>1.8314589096694709</v>
      </c>
      <c r="D288">
        <f t="shared" si="213"/>
        <v>0.99319877860283101</v>
      </c>
      <c r="F288">
        <f t="shared" si="214"/>
        <v>1.6912194891992497E-4</v>
      </c>
      <c r="G288">
        <f t="shared" si="215"/>
        <v>4.2599861578455495E-3</v>
      </c>
      <c r="H288">
        <f t="shared" si="216"/>
        <v>-3.1373326638421548</v>
      </c>
      <c r="J288">
        <f t="shared" si="217"/>
        <v>15</v>
      </c>
      <c r="M288">
        <f t="shared" si="218"/>
        <v>2.5757394930208182E-3</v>
      </c>
      <c r="N288">
        <f t="shared" si="219"/>
        <v>-1.5707963250000001</v>
      </c>
      <c r="O288">
        <f t="shared" si="220"/>
        <v>157.27444883973368</v>
      </c>
      <c r="P288">
        <f t="shared" si="221"/>
        <v>1.5644379720492805</v>
      </c>
      <c r="Q288">
        <f t="shared" si="222"/>
        <v>71.187094072289995</v>
      </c>
      <c r="R288">
        <f t="shared" si="223"/>
        <v>1.556748374639856</v>
      </c>
      <c r="S288">
        <f t="shared" si="224"/>
        <v>0.57127519391302117</v>
      </c>
      <c r="T288">
        <f t="shared" si="225"/>
        <v>-0.96273763291478054</v>
      </c>
      <c r="U288">
        <f t="shared" si="226"/>
        <v>0.33366831815053655</v>
      </c>
      <c r="V288">
        <f t="shared" si="227"/>
        <v>-1.2306040899601474</v>
      </c>
      <c r="X288">
        <f t="shared" si="244"/>
        <v>-31.855797488352678</v>
      </c>
      <c r="Y288">
        <f t="shared" si="228"/>
        <v>-159.68824142637354</v>
      </c>
      <c r="Z288">
        <f t="shared" si="245"/>
        <v>20.311758573626463</v>
      </c>
      <c r="AC288">
        <v>1</v>
      </c>
      <c r="AD288">
        <f t="shared" si="229"/>
        <v>157.27126965165002</v>
      </c>
      <c r="AE288">
        <f t="shared" si="230"/>
        <v>-5.4843131392110889E-2</v>
      </c>
      <c r="AF288">
        <f t="shared" si="231"/>
        <v>1.9411900984350004E-2</v>
      </c>
      <c r="AG288">
        <f t="shared" si="246"/>
        <v>885.80605974679872</v>
      </c>
      <c r="AH288">
        <f t="shared" si="247"/>
        <v>-2554.1227601868427</v>
      </c>
      <c r="AJ288">
        <f t="shared" si="232"/>
        <v>20000</v>
      </c>
      <c r="AK288">
        <f t="shared" si="233"/>
        <v>28734.263013960001</v>
      </c>
      <c r="AL288">
        <v>1</v>
      </c>
      <c r="AM288">
        <f t="shared" si="234"/>
        <v>71.180069980697994</v>
      </c>
      <c r="AN288">
        <f t="shared" si="248"/>
        <v>407.55108717252944</v>
      </c>
      <c r="AO288">
        <f t="shared" si="249"/>
        <v>-275.25189169019342</v>
      </c>
      <c r="AQ288">
        <f t="shared" si="235"/>
        <v>1.8261471399796569E-2</v>
      </c>
      <c r="AR288">
        <f t="shared" si="236"/>
        <v>-13.51348883584946</v>
      </c>
      <c r="AT288">
        <f t="shared" si="261"/>
        <v>-34498.933283148071</v>
      </c>
      <c r="AU288">
        <f t="shared" si="262"/>
        <v>-12016.972338852886</v>
      </c>
      <c r="AV288">
        <f t="shared" si="250"/>
        <v>-2.8064074209718983</v>
      </c>
      <c r="AW288">
        <f t="shared" si="251"/>
        <v>-2508.5929093627915</v>
      </c>
      <c r="AX288">
        <f t="shared" si="252"/>
        <v>-8679.0864895609884</v>
      </c>
      <c r="AY288">
        <f t="shared" si="260"/>
        <v>-1.8521669044809779</v>
      </c>
      <c r="BA288">
        <f t="shared" si="237"/>
        <v>4.0436706971025993</v>
      </c>
      <c r="BB288">
        <f t="shared" si="253"/>
        <v>12.135515617635628</v>
      </c>
      <c r="BC288">
        <f t="shared" si="254"/>
        <v>-0.95424051649092045</v>
      </c>
      <c r="BD288">
        <f t="shared" si="238"/>
        <v>-234.67395429778767</v>
      </c>
      <c r="BF288">
        <f t="shared" si="239"/>
        <v>-34.52271612042901</v>
      </c>
      <c r="BG288">
        <f t="shared" si="240"/>
        <v>-177.52377677336492</v>
      </c>
      <c r="BH288">
        <f t="shared" si="255"/>
        <v>2.476223226635085</v>
      </c>
      <c r="BI288">
        <f t="shared" si="256"/>
        <v>2.476223226635085</v>
      </c>
      <c r="BJ288">
        <f t="shared" si="241"/>
        <v>0</v>
      </c>
      <c r="BK288">
        <f t="shared" si="257"/>
        <v>0</v>
      </c>
      <c r="BM288">
        <f t="shared" si="258"/>
        <v>-46.658231738064629</v>
      </c>
      <c r="BN288">
        <f t="shared" si="242"/>
        <v>-122.84982247557724</v>
      </c>
      <c r="BQ288" s="66">
        <f t="shared" si="259"/>
        <v>29.037476417920765</v>
      </c>
      <c r="BR288" s="71"/>
      <c r="BS288" s="71"/>
      <c r="BT288" s="71">
        <v>60255.959000000003</v>
      </c>
      <c r="BU288" s="71">
        <v>2.1075200000000001</v>
      </c>
      <c r="BV288" s="71">
        <v>-133.65100000000001</v>
      </c>
      <c r="BY288" s="71"/>
      <c r="BZ288" s="71"/>
      <c r="CA288" s="71"/>
      <c r="CC288" s="71"/>
    </row>
    <row r="289" spans="1:81" x14ac:dyDescent="0.15">
      <c r="A289">
        <f t="shared" si="211"/>
        <v>375000</v>
      </c>
      <c r="B289">
        <f t="shared" si="243"/>
        <v>375</v>
      </c>
      <c r="C289">
        <f t="shared" si="212"/>
        <v>1.8488644657871218</v>
      </c>
      <c r="D289">
        <f t="shared" si="213"/>
        <v>0.99932220168389552</v>
      </c>
      <c r="F289">
        <f t="shared" si="214"/>
        <v>1.6464138637833572E-4</v>
      </c>
      <c r="G289">
        <f t="shared" si="215"/>
        <v>4.2031678790807776E-3</v>
      </c>
      <c r="H289">
        <f t="shared" si="216"/>
        <v>-3.1373894821209194</v>
      </c>
      <c r="J289">
        <f t="shared" si="217"/>
        <v>15</v>
      </c>
      <c r="M289">
        <f t="shared" si="218"/>
        <v>2.5413962997805407E-3</v>
      </c>
      <c r="N289">
        <f t="shared" si="219"/>
        <v>-1.5707963250000001</v>
      </c>
      <c r="O289">
        <f t="shared" si="220"/>
        <v>159.39969387912404</v>
      </c>
      <c r="P289">
        <f t="shared" si="221"/>
        <v>1.5645227478730919</v>
      </c>
      <c r="Q289">
        <f t="shared" si="222"/>
        <v>72.148893264369434</v>
      </c>
      <c r="R289">
        <f t="shared" si="223"/>
        <v>1.5569356565175285</v>
      </c>
      <c r="S289">
        <f t="shared" si="224"/>
        <v>0.56611045581307262</v>
      </c>
      <c r="T289">
        <f t="shared" si="225"/>
        <v>-0.96901659330773959</v>
      </c>
      <c r="U289">
        <f t="shared" si="226"/>
        <v>0.32970593879700744</v>
      </c>
      <c r="V289">
        <f t="shared" si="227"/>
        <v>-1.2348042464900015</v>
      </c>
      <c r="X289">
        <f t="shared" si="244"/>
        <v>-32.072943098677356</v>
      </c>
      <c r="Y289">
        <f t="shared" si="228"/>
        <v>-159.92547199012134</v>
      </c>
      <c r="Z289">
        <f t="shared" si="245"/>
        <v>20.074528009878662</v>
      </c>
      <c r="AC289">
        <v>1</v>
      </c>
      <c r="AD289">
        <f t="shared" si="229"/>
        <v>159.39655707937501</v>
      </c>
      <c r="AE289">
        <f t="shared" si="230"/>
        <v>-5.6335393367535382E-2</v>
      </c>
      <c r="AF289">
        <f t="shared" si="231"/>
        <v>1.9674223970625002E-2</v>
      </c>
      <c r="AG289">
        <f t="shared" si="246"/>
        <v>864.89272116831512</v>
      </c>
      <c r="AH289">
        <f t="shared" si="247"/>
        <v>-2527.3714349280895</v>
      </c>
      <c r="AJ289">
        <f t="shared" si="232"/>
        <v>20000</v>
      </c>
      <c r="AK289">
        <f t="shared" si="233"/>
        <v>29122.5638655</v>
      </c>
      <c r="AL289">
        <v>1</v>
      </c>
      <c r="AM289">
        <f t="shared" si="234"/>
        <v>72.14196281827499</v>
      </c>
      <c r="AN289">
        <f t="shared" si="248"/>
        <v>407.44867485246539</v>
      </c>
      <c r="AO289">
        <f t="shared" si="249"/>
        <v>-271.58328606196932</v>
      </c>
      <c r="AQ289">
        <f t="shared" si="235"/>
        <v>1.7777746172895691E-2</v>
      </c>
      <c r="AR289">
        <f t="shared" si="236"/>
        <v>-13.333309629671769</v>
      </c>
      <c r="AT289">
        <f t="shared" si="261"/>
        <v>-33682.850047820335</v>
      </c>
      <c r="AU289">
        <f t="shared" si="262"/>
        <v>-11576.813415641294</v>
      </c>
      <c r="AV289">
        <f t="shared" si="250"/>
        <v>-2.8105408196634922</v>
      </c>
      <c r="AW289">
        <f t="shared" si="251"/>
        <v>-2429.1921453123482</v>
      </c>
      <c r="AX289">
        <f t="shared" si="252"/>
        <v>-8568.3966439202886</v>
      </c>
      <c r="AY289">
        <f t="shared" si="260"/>
        <v>-1.847053205320567</v>
      </c>
      <c r="BA289">
        <f t="shared" si="237"/>
        <v>3.9991531140055985</v>
      </c>
      <c r="BB289">
        <f t="shared" si="253"/>
        <v>12.039360642284102</v>
      </c>
      <c r="BC289">
        <f t="shared" si="254"/>
        <v>-0.96348761434292518</v>
      </c>
      <c r="BD289">
        <f t="shared" si="238"/>
        <v>-235.20377397805743</v>
      </c>
      <c r="BF289">
        <f t="shared" si="239"/>
        <v>-34.769932375241261</v>
      </c>
      <c r="BG289">
        <f t="shared" si="240"/>
        <v>-177.70600560209189</v>
      </c>
      <c r="BH289">
        <f t="shared" si="255"/>
        <v>2.2939943979081079</v>
      </c>
      <c r="BI289">
        <f t="shared" si="256"/>
        <v>2.2939943979081079</v>
      </c>
      <c r="BJ289">
        <f t="shared" si="241"/>
        <v>0</v>
      </c>
      <c r="BK289">
        <f t="shared" si="257"/>
        <v>0</v>
      </c>
      <c r="BM289">
        <f t="shared" si="258"/>
        <v>-46.809293017525363</v>
      </c>
      <c r="BN289">
        <f t="shared" si="242"/>
        <v>-122.50223162403447</v>
      </c>
      <c r="BQ289" s="66">
        <f t="shared" si="259"/>
        <v>28.94132144256924</v>
      </c>
      <c r="BR289" s="71"/>
      <c r="BS289" s="71"/>
      <c r="BT289" s="71">
        <v>61659.5</v>
      </c>
      <c r="BU289" s="71">
        <v>2.2781099999999999</v>
      </c>
      <c r="BV289" s="71">
        <v>-133.24799999999999</v>
      </c>
      <c r="BY289" s="71"/>
      <c r="BZ289" s="71"/>
      <c r="CA289" s="71"/>
      <c r="CC289" s="71"/>
    </row>
    <row r="290" spans="1:81" x14ac:dyDescent="0.15">
      <c r="A290">
        <f t="shared" si="211"/>
        <v>380000</v>
      </c>
      <c r="B290">
        <f t="shared" si="243"/>
        <v>380</v>
      </c>
      <c r="C290">
        <f t="shared" si="212"/>
        <v>1.8663380529331683</v>
      </c>
      <c r="D290">
        <f t="shared" si="213"/>
        <v>1.0053311855047589</v>
      </c>
      <c r="F290">
        <f t="shared" si="214"/>
        <v>1.6033655836497149E-4</v>
      </c>
      <c r="G290">
        <f t="shared" si="215"/>
        <v>4.1478455328069963E-3</v>
      </c>
      <c r="H290">
        <f t="shared" si="216"/>
        <v>-3.1374448044671932</v>
      </c>
      <c r="J290">
        <f t="shared" si="217"/>
        <v>15</v>
      </c>
      <c r="M290">
        <f t="shared" si="218"/>
        <v>2.5079568747834284E-3</v>
      </c>
      <c r="N290">
        <f t="shared" si="219"/>
        <v>-1.5707963250000001</v>
      </c>
      <c r="O290">
        <f t="shared" si="220"/>
        <v>161.52494003396441</v>
      </c>
      <c r="P290">
        <f t="shared" si="221"/>
        <v>1.5646052928408303</v>
      </c>
      <c r="Q290">
        <f t="shared" si="222"/>
        <v>73.110694920453653</v>
      </c>
      <c r="R290">
        <f t="shared" si="223"/>
        <v>1.5571180108591793</v>
      </c>
      <c r="S290">
        <f t="shared" si="224"/>
        <v>0.56101674006191327</v>
      </c>
      <c r="T290">
        <f t="shared" si="225"/>
        <v>-0.97518280025025583</v>
      </c>
      <c r="U290">
        <f t="shared" si="226"/>
        <v>0.32583101589251073</v>
      </c>
      <c r="V290">
        <f t="shared" si="227"/>
        <v>-1.2389057479145575</v>
      </c>
      <c r="X290">
        <f t="shared" si="244"/>
        <v>-32.287541303990878</v>
      </c>
      <c r="Y290">
        <f t="shared" si="228"/>
        <v>-160.15747105752328</v>
      </c>
      <c r="Z290">
        <f t="shared" si="245"/>
        <v>19.842528942476719</v>
      </c>
      <c r="AC290">
        <v>1</v>
      </c>
      <c r="AD290">
        <f t="shared" si="229"/>
        <v>161.52184450710001</v>
      </c>
      <c r="AE290">
        <f t="shared" si="230"/>
        <v>-5.7847685705046115E-2</v>
      </c>
      <c r="AF290">
        <f t="shared" si="231"/>
        <v>1.9936546956900003E-2</v>
      </c>
      <c r="AG290">
        <f t="shared" si="246"/>
        <v>844.68259857994292</v>
      </c>
      <c r="AH290">
        <f t="shared" si="247"/>
        <v>-2501.0817365199091</v>
      </c>
      <c r="AJ290">
        <f t="shared" si="232"/>
        <v>20000</v>
      </c>
      <c r="AK290">
        <f t="shared" si="233"/>
        <v>29510.864717040004</v>
      </c>
      <c r="AL290">
        <v>1</v>
      </c>
      <c r="AM290">
        <f t="shared" si="234"/>
        <v>73.103855655852001</v>
      </c>
      <c r="AN290">
        <f t="shared" si="248"/>
        <v>407.35027745998832</v>
      </c>
      <c r="AO290">
        <f t="shared" si="249"/>
        <v>-268.01116776624639</v>
      </c>
      <c r="AQ290">
        <f t="shared" si="235"/>
        <v>1.7312989416569571E-2</v>
      </c>
      <c r="AR290">
        <f t="shared" si="236"/>
        <v>-13.157871956592873</v>
      </c>
      <c r="AT290">
        <f t="shared" si="261"/>
        <v>-32894.28926121234</v>
      </c>
      <c r="AU290">
        <f t="shared" si="262"/>
        <v>-11157.52667771137</v>
      </c>
      <c r="AV290">
        <f t="shared" si="250"/>
        <v>-2.8145773199491781</v>
      </c>
      <c r="AW290">
        <f t="shared" si="251"/>
        <v>-2353.00828964419</v>
      </c>
      <c r="AX290">
        <f t="shared" si="252"/>
        <v>-8460.4609571999881</v>
      </c>
      <c r="AY290">
        <f t="shared" si="260"/>
        <v>-1.8420591988996975</v>
      </c>
      <c r="BA290">
        <f t="shared" si="237"/>
        <v>3.9554483814832624</v>
      </c>
      <c r="BB290">
        <f t="shared" si="253"/>
        <v>11.943914427048005</v>
      </c>
      <c r="BC290">
        <f t="shared" si="254"/>
        <v>-0.97251812104948065</v>
      </c>
      <c r="BD290">
        <f t="shared" si="238"/>
        <v>-235.72118389979889</v>
      </c>
      <c r="BF290">
        <f t="shared" si="239"/>
        <v>-35.013803027385016</v>
      </c>
      <c r="BG290">
        <f t="shared" si="240"/>
        <v>-177.88229584829995</v>
      </c>
      <c r="BH290">
        <f t="shared" si="255"/>
        <v>2.1177041517000532</v>
      </c>
      <c r="BI290">
        <f t="shared" si="256"/>
        <v>2.1177041517000532</v>
      </c>
      <c r="BJ290">
        <f t="shared" si="241"/>
        <v>0</v>
      </c>
      <c r="BK290">
        <f t="shared" si="257"/>
        <v>0</v>
      </c>
      <c r="BM290">
        <f t="shared" si="258"/>
        <v>-46.957717454433023</v>
      </c>
      <c r="BN290">
        <f t="shared" si="242"/>
        <v>-122.16111194850109</v>
      </c>
      <c r="BQ290" s="66">
        <f t="shared" si="259"/>
        <v>28.845875227333142</v>
      </c>
      <c r="BR290" s="71"/>
      <c r="BS290" s="71"/>
      <c r="BT290" s="71">
        <v>63095.733999999997</v>
      </c>
      <c r="BU290" s="71">
        <v>2.4499300000000002</v>
      </c>
      <c r="BV290" s="71">
        <v>-132.86600000000001</v>
      </c>
      <c r="BY290" s="71"/>
      <c r="BZ290" s="71"/>
      <c r="CA290" s="71"/>
      <c r="CC290" s="71"/>
    </row>
    <row r="291" spans="1:81" x14ac:dyDescent="0.15">
      <c r="A291">
        <f t="shared" si="211"/>
        <v>385000</v>
      </c>
      <c r="B291">
        <f t="shared" si="243"/>
        <v>385</v>
      </c>
      <c r="C291">
        <f t="shared" si="212"/>
        <v>1.8838777780779457</v>
      </c>
      <c r="D291">
        <f t="shared" si="213"/>
        <v>1.0112284864491148</v>
      </c>
      <c r="F291">
        <f t="shared" si="214"/>
        <v>1.5619839305330439E-4</v>
      </c>
      <c r="G291">
        <f t="shared" si="215"/>
        <v>4.0939607995286124E-3</v>
      </c>
      <c r="H291">
        <f t="shared" si="216"/>
        <v>-3.1374986892004717</v>
      </c>
      <c r="J291">
        <f t="shared" si="217"/>
        <v>15</v>
      </c>
      <c r="M291">
        <f t="shared" si="218"/>
        <v>2.4753860062797475E-3</v>
      </c>
      <c r="N291">
        <f t="shared" si="219"/>
        <v>-1.5707963250000001</v>
      </c>
      <c r="O291">
        <f t="shared" si="220"/>
        <v>163.65018726079731</v>
      </c>
      <c r="P291">
        <f t="shared" si="221"/>
        <v>1.5646856938645519</v>
      </c>
      <c r="Q291">
        <f t="shared" si="222"/>
        <v>74.072498944560266</v>
      </c>
      <c r="R291">
        <f t="shared" si="223"/>
        <v>1.5572956295991407</v>
      </c>
      <c r="S291">
        <f t="shared" si="224"/>
        <v>0.5559932933725189</v>
      </c>
      <c r="T291">
        <f t="shared" si="225"/>
        <v>-0.98123880734352931</v>
      </c>
      <c r="U291">
        <f t="shared" si="226"/>
        <v>0.32204088620845367</v>
      </c>
      <c r="V291">
        <f t="shared" si="227"/>
        <v>-1.2429118965092099</v>
      </c>
      <c r="X291">
        <f t="shared" si="244"/>
        <v>-32.49964910925258</v>
      </c>
      <c r="Y291">
        <f t="shared" si="228"/>
        <v>-160.3844035811812</v>
      </c>
      <c r="Z291">
        <f t="shared" si="245"/>
        <v>19.615596418818797</v>
      </c>
      <c r="AC291">
        <v>1</v>
      </c>
      <c r="AD291">
        <f t="shared" si="229"/>
        <v>163.64713193482504</v>
      </c>
      <c r="AE291">
        <f t="shared" si="230"/>
        <v>-5.9380008404643053E-2</v>
      </c>
      <c r="AF291">
        <f t="shared" si="231"/>
        <v>2.0198869943175001E-2</v>
      </c>
      <c r="AG291">
        <f t="shared" si="246"/>
        <v>825.14586663794057</v>
      </c>
      <c r="AH291">
        <f t="shared" si="247"/>
        <v>-2475.2458249730421</v>
      </c>
      <c r="AJ291">
        <f t="shared" si="232"/>
        <v>20000</v>
      </c>
      <c r="AK291">
        <f t="shared" si="233"/>
        <v>29899.16556858</v>
      </c>
      <c r="AL291">
        <v>1</v>
      </c>
      <c r="AM291">
        <f t="shared" si="234"/>
        <v>74.065748493428998</v>
      </c>
      <c r="AN291">
        <f t="shared" si="248"/>
        <v>407.25568785157327</v>
      </c>
      <c r="AO291">
        <f t="shared" si="249"/>
        <v>-264.53178035305569</v>
      </c>
      <c r="AQ291">
        <f t="shared" si="235"/>
        <v>1.6866222185491338E-2</v>
      </c>
      <c r="AR291">
        <f t="shared" si="236"/>
        <v>-12.986991082828331</v>
      </c>
      <c r="AT291">
        <f t="shared" si="261"/>
        <v>-32132.078363210796</v>
      </c>
      <c r="AU291">
        <f t="shared" si="262"/>
        <v>-10757.910058107294</v>
      </c>
      <c r="AV291">
        <f t="shared" si="250"/>
        <v>-2.8185201556658899</v>
      </c>
      <c r="AW291">
        <f t="shared" si="251"/>
        <v>-2279.8696104791816</v>
      </c>
      <c r="AX291">
        <f t="shared" si="252"/>
        <v>-8355.1782457966619</v>
      </c>
      <c r="AY291">
        <f t="shared" si="260"/>
        <v>-1.8371803397990141</v>
      </c>
      <c r="BA291">
        <f t="shared" si="237"/>
        <v>3.9125419824025012</v>
      </c>
      <c r="BB291">
        <f t="shared" si="253"/>
        <v>11.84918021302197</v>
      </c>
      <c r="BC291">
        <f t="shared" si="254"/>
        <v>-0.9813398158668758</v>
      </c>
      <c r="BD291">
        <f t="shared" si="238"/>
        <v>-236.22662978156561</v>
      </c>
      <c r="BF291">
        <f t="shared" si="239"/>
        <v>-35.25440890811398</v>
      </c>
      <c r="BG291">
        <f t="shared" si="240"/>
        <v>-178.05293864285105</v>
      </c>
      <c r="BH291">
        <f t="shared" si="255"/>
        <v>1.9470613571489537</v>
      </c>
      <c r="BI291">
        <f t="shared" si="256"/>
        <v>1.9470613571489537</v>
      </c>
      <c r="BJ291">
        <f t="shared" si="241"/>
        <v>0</v>
      </c>
      <c r="BK291">
        <f t="shared" si="257"/>
        <v>0</v>
      </c>
      <c r="BM291">
        <f t="shared" si="258"/>
        <v>-47.103589121135954</v>
      </c>
      <c r="BN291">
        <f t="shared" si="242"/>
        <v>-121.82630886128544</v>
      </c>
      <c r="BQ291" s="66">
        <f t="shared" si="259"/>
        <v>28.751141013307105</v>
      </c>
      <c r="BR291" s="71"/>
      <c r="BS291" s="71"/>
      <c r="BT291" s="71">
        <v>64565.423000000003</v>
      </c>
      <c r="BU291" s="71">
        <v>2.6258699999999999</v>
      </c>
      <c r="BV291" s="71">
        <v>-132.49799999999999</v>
      </c>
      <c r="BY291" s="71"/>
      <c r="BZ291" s="71"/>
      <c r="CA291" s="71"/>
      <c r="CC291" s="71"/>
    </row>
    <row r="292" spans="1:81" x14ac:dyDescent="0.15">
      <c r="A292">
        <f t="shared" si="211"/>
        <v>390000</v>
      </c>
      <c r="B292">
        <f t="shared" si="243"/>
        <v>390</v>
      </c>
      <c r="C292">
        <f t="shared" si="212"/>
        <v>1.901481811003956</v>
      </c>
      <c r="D292">
        <f t="shared" si="213"/>
        <v>1.0170167904770018</v>
      </c>
      <c r="F292">
        <f t="shared" si="214"/>
        <v>1.5221839656441648E-4</v>
      </c>
      <c r="G292">
        <f t="shared" si="215"/>
        <v>4.0414583527833454E-3</v>
      </c>
      <c r="H292">
        <f t="shared" si="216"/>
        <v>-3.137551191647217</v>
      </c>
      <c r="J292">
        <f t="shared" si="217"/>
        <v>15</v>
      </c>
      <c r="M292">
        <f t="shared" si="218"/>
        <v>2.4436502882505197E-3</v>
      </c>
      <c r="N292">
        <f t="shared" si="219"/>
        <v>-1.5707963250000001</v>
      </c>
      <c r="O292">
        <f t="shared" si="220"/>
        <v>165.77543551839381</v>
      </c>
      <c r="P292">
        <f t="shared" si="221"/>
        <v>1.5647640333995618</v>
      </c>
      <c r="Q292">
        <f t="shared" si="222"/>
        <v>75.034305245628019</v>
      </c>
      <c r="R292">
        <f t="shared" si="223"/>
        <v>1.5574686948319501</v>
      </c>
      <c r="S292">
        <f t="shared" si="224"/>
        <v>0.55103933582105902</v>
      </c>
      <c r="T292">
        <f t="shared" si="225"/>
        <v>-0.98718711007498949</v>
      </c>
      <c r="U292">
        <f t="shared" si="226"/>
        <v>0.31833298363071527</v>
      </c>
      <c r="V292">
        <f t="shared" si="227"/>
        <v>-1.2468258550263789</v>
      </c>
      <c r="X292">
        <f t="shared" si="244"/>
        <v>-32.709321673803956</v>
      </c>
      <c r="Y292">
        <f t="shared" si="228"/>
        <v>-160.60642787256739</v>
      </c>
      <c r="Z292">
        <f t="shared" si="245"/>
        <v>19.393572127432606</v>
      </c>
      <c r="AC292">
        <v>1</v>
      </c>
      <c r="AD292">
        <f t="shared" si="229"/>
        <v>165.77241936255001</v>
      </c>
      <c r="AE292">
        <f t="shared" si="230"/>
        <v>-6.093236146632626E-2</v>
      </c>
      <c r="AF292">
        <f t="shared" si="231"/>
        <v>2.0461192929450003E-2</v>
      </c>
      <c r="AG292">
        <f t="shared" si="246"/>
        <v>806.254184939271</v>
      </c>
      <c r="AH292">
        <f t="shared" si="247"/>
        <v>-2449.8557637032818</v>
      </c>
      <c r="AJ292">
        <f t="shared" si="232"/>
        <v>20000</v>
      </c>
      <c r="AK292">
        <f t="shared" si="233"/>
        <v>30287.466420119999</v>
      </c>
      <c r="AL292">
        <v>1</v>
      </c>
      <c r="AM292">
        <f t="shared" si="234"/>
        <v>75.027641331005995</v>
      </c>
      <c r="AN292">
        <f t="shared" si="248"/>
        <v>407.1647120716637</v>
      </c>
      <c r="AO292">
        <f t="shared" si="249"/>
        <v>-261.14155983511347</v>
      </c>
      <c r="AQ292">
        <f t="shared" si="235"/>
        <v>1.6436527882104073E-2</v>
      </c>
      <c r="AR292">
        <f t="shared" si="236"/>
        <v>-12.820491748041176</v>
      </c>
      <c r="AT292">
        <f t="shared" si="261"/>
        <v>-31395.103583058222</v>
      </c>
      <c r="AU292">
        <f t="shared" si="262"/>
        <v>-10376.842247404831</v>
      </c>
      <c r="AV292">
        <f t="shared" si="250"/>
        <v>-2.822372424636975</v>
      </c>
      <c r="AW292">
        <f t="shared" si="251"/>
        <v>-2209.6156786729148</v>
      </c>
      <c r="AX292">
        <f t="shared" si="252"/>
        <v>-8252.4522544586725</v>
      </c>
      <c r="AY292">
        <f t="shared" si="260"/>
        <v>-1.8324122971763264</v>
      </c>
      <c r="BA292">
        <f t="shared" si="237"/>
        <v>3.8704191635808702</v>
      </c>
      <c r="BB292">
        <f t="shared" si="253"/>
        <v>11.75516002685062</v>
      </c>
      <c r="BC292">
        <f t="shared" si="254"/>
        <v>-0.98996012746064865</v>
      </c>
      <c r="BD292">
        <f t="shared" si="238"/>
        <v>-236.72053725454086</v>
      </c>
      <c r="BF292">
        <f t="shared" si="239"/>
        <v>-35.491828425950644</v>
      </c>
      <c r="BG292">
        <f t="shared" si="240"/>
        <v>-178.21820889272689</v>
      </c>
      <c r="BH292">
        <f t="shared" si="255"/>
        <v>1.7817911072731079</v>
      </c>
      <c r="BI292">
        <f t="shared" si="256"/>
        <v>1.7817911072731079</v>
      </c>
      <c r="BJ292">
        <f t="shared" si="241"/>
        <v>0</v>
      </c>
      <c r="BK292">
        <f t="shared" si="257"/>
        <v>0</v>
      </c>
      <c r="BM292">
        <f t="shared" si="258"/>
        <v>-47.246988452801261</v>
      </c>
      <c r="BN292">
        <f t="shared" si="242"/>
        <v>-121.49767163818606</v>
      </c>
      <c r="BQ292" s="66">
        <f t="shared" si="259"/>
        <v>28.657120827135756</v>
      </c>
      <c r="BR292" s="71"/>
      <c r="BS292" s="71"/>
      <c r="BT292" s="71">
        <v>66069.345000000001</v>
      </c>
      <c r="BU292" s="71">
        <v>2.7940900000000002</v>
      </c>
      <c r="BV292" s="71">
        <v>-132.279</v>
      </c>
      <c r="BY292" s="71"/>
      <c r="BZ292" s="71"/>
      <c r="CA292" s="71"/>
      <c r="CC292" s="71"/>
    </row>
    <row r="293" spans="1:81" x14ac:dyDescent="0.15">
      <c r="A293">
        <f t="shared" si="211"/>
        <v>395000</v>
      </c>
      <c r="B293">
        <f t="shared" si="243"/>
        <v>395</v>
      </c>
      <c r="C293">
        <f t="shared" si="212"/>
        <v>1.9191483820578668</v>
      </c>
      <c r="D293">
        <f t="shared" si="213"/>
        <v>1.0226987144049411</v>
      </c>
      <c r="F293">
        <f t="shared" si="214"/>
        <v>1.4838860933757663E-4</v>
      </c>
      <c r="G293">
        <f t="shared" si="215"/>
        <v>3.9902856695390671E-3</v>
      </c>
      <c r="H293">
        <f t="shared" si="216"/>
        <v>-3.1376023643304611</v>
      </c>
      <c r="J293">
        <f t="shared" si="217"/>
        <v>15</v>
      </c>
      <c r="M293">
        <f t="shared" si="218"/>
        <v>2.4127180061207665E-3</v>
      </c>
      <c r="N293">
        <f t="shared" si="219"/>
        <v>-1.5707963250000001</v>
      </c>
      <c r="O293">
        <f t="shared" si="220"/>
        <v>167.90068476761243</v>
      </c>
      <c r="P293">
        <f t="shared" si="221"/>
        <v>1.5648403897264667</v>
      </c>
      <c r="Q293">
        <f t="shared" si="222"/>
        <v>75.996113737205306</v>
      </c>
      <c r="R293">
        <f t="shared" si="223"/>
        <v>1.5576373794348988</v>
      </c>
      <c r="S293">
        <f t="shared" si="224"/>
        <v>0.54615406432744584</v>
      </c>
      <c r="T293">
        <f t="shared" si="225"/>
        <v>-0.99303014645563947</v>
      </c>
      <c r="U293">
        <f t="shared" si="226"/>
        <v>0.31470483541312266</v>
      </c>
      <c r="V293">
        <f t="shared" si="227"/>
        <v>-1.2506506536220283</v>
      </c>
      <c r="X293">
        <f t="shared" si="244"/>
        <v>-32.916612388746806</v>
      </c>
      <c r="Y293">
        <f t="shared" si="228"/>
        <v>-160.82369592108898</v>
      </c>
      <c r="Z293">
        <f t="shared" si="245"/>
        <v>19.176304078911016</v>
      </c>
      <c r="AC293">
        <v>1</v>
      </c>
      <c r="AD293">
        <f t="shared" si="229"/>
        <v>167.89770679027501</v>
      </c>
      <c r="AE293">
        <f t="shared" si="230"/>
        <v>-6.2504744890095693E-2</v>
      </c>
      <c r="AF293">
        <f t="shared" si="231"/>
        <v>2.0723515915725001E-2</v>
      </c>
      <c r="AG293">
        <f t="shared" si="246"/>
        <v>787.9806158550773</v>
      </c>
      <c r="AH293">
        <f t="shared" si="247"/>
        <v>-2424.9035528874947</v>
      </c>
      <c r="AJ293">
        <f t="shared" si="232"/>
        <v>20000</v>
      </c>
      <c r="AK293">
        <f t="shared" si="233"/>
        <v>30675.767271659999</v>
      </c>
      <c r="AL293">
        <v>1</v>
      </c>
      <c r="AM293">
        <f t="shared" si="234"/>
        <v>75.989534168582992</v>
      </c>
      <c r="AN293">
        <f t="shared" si="248"/>
        <v>407.07716835786147</v>
      </c>
      <c r="AO293">
        <f t="shared" si="249"/>
        <v>-257.83712251972992</v>
      </c>
      <c r="AQ293">
        <f t="shared" si="235"/>
        <v>1.6023047551598221E-2</v>
      </c>
      <c r="AR293">
        <f t="shared" si="236"/>
        <v>-12.658207565762593</v>
      </c>
      <c r="AT293">
        <f t="shared" si="261"/>
        <v>-30682.306648527494</v>
      </c>
      <c r="AU293">
        <f t="shared" si="262"/>
        <v>-10013.276538226963</v>
      </c>
      <c r="AV293">
        <f t="shared" si="250"/>
        <v>-2.8261370953766227</v>
      </c>
      <c r="AW293">
        <f t="shared" si="251"/>
        <v>-2142.0964885933131</v>
      </c>
      <c r="AX293">
        <f t="shared" si="252"/>
        <v>-8152.1913549301062</v>
      </c>
      <c r="AY293">
        <f t="shared" si="260"/>
        <v>-1.8277509432950767</v>
      </c>
      <c r="BA293">
        <f t="shared" si="237"/>
        <v>3.8290650139264537</v>
      </c>
      <c r="BB293">
        <f t="shared" si="253"/>
        <v>11.661854806451275</v>
      </c>
      <c r="BC293">
        <f t="shared" si="254"/>
        <v>-0.99838615208154602</v>
      </c>
      <c r="BD293">
        <f t="shared" si="238"/>
        <v>-237.20331290394324</v>
      </c>
      <c r="BF293">
        <f t="shared" si="239"/>
        <v>-35.726137633260393</v>
      </c>
      <c r="BG293">
        <f t="shared" si="240"/>
        <v>-178.37836625995158</v>
      </c>
      <c r="BH293">
        <f t="shared" si="255"/>
        <v>1.6216337400484235</v>
      </c>
      <c r="BI293">
        <f t="shared" si="256"/>
        <v>1.6216337400484235</v>
      </c>
      <c r="BJ293">
        <f t="shared" si="241"/>
        <v>0</v>
      </c>
      <c r="BK293">
        <f t="shared" si="257"/>
        <v>0</v>
      </c>
      <c r="BM293">
        <f t="shared" si="258"/>
        <v>-47.387992439711667</v>
      </c>
      <c r="BN293">
        <f t="shared" si="242"/>
        <v>-121.17505335600832</v>
      </c>
      <c r="BQ293" s="66">
        <f t="shared" si="259"/>
        <v>28.563815606736412</v>
      </c>
      <c r="BR293" s="71"/>
      <c r="BS293" s="71"/>
      <c r="BT293" s="71">
        <v>67608.297999999995</v>
      </c>
      <c r="BU293" s="71">
        <v>2.9581400000000002</v>
      </c>
      <c r="BV293" s="71">
        <v>-132.03399999999999</v>
      </c>
      <c r="BY293" s="71"/>
      <c r="BZ293" s="71"/>
      <c r="CA293" s="71"/>
      <c r="CC293" s="71"/>
    </row>
    <row r="294" spans="1:81" x14ac:dyDescent="0.15">
      <c r="A294">
        <f t="shared" si="211"/>
        <v>400000</v>
      </c>
      <c r="B294">
        <f t="shared" si="243"/>
        <v>400</v>
      </c>
      <c r="C294">
        <f t="shared" si="212"/>
        <v>1.9368757799779597</v>
      </c>
      <c r="D294">
        <f t="shared" si="213"/>
        <v>1.0282768072320181</v>
      </c>
      <c r="F294">
        <f t="shared" si="214"/>
        <v>1.4470156629572714E-4</v>
      </c>
      <c r="G294">
        <f t="shared" si="215"/>
        <v>3.940392854825522E-3</v>
      </c>
      <c r="H294">
        <f t="shared" si="216"/>
        <v>-3.1376522571451746</v>
      </c>
      <c r="J294">
        <f t="shared" si="217"/>
        <v>15</v>
      </c>
      <c r="M294">
        <f t="shared" si="218"/>
        <v>2.3825590310442568E-3</v>
      </c>
      <c r="N294">
        <f t="shared" si="219"/>
        <v>-1.5707963250000001</v>
      </c>
      <c r="O294">
        <f t="shared" si="220"/>
        <v>170.02593497126861</v>
      </c>
      <c r="P294">
        <f t="shared" si="221"/>
        <v>1.5649148372120738</v>
      </c>
      <c r="Q294">
        <f t="shared" si="222"/>
        <v>76.95792433716214</v>
      </c>
      <c r="R294">
        <f t="shared" si="223"/>
        <v>1.5578018476439097</v>
      </c>
      <c r="S294">
        <f t="shared" si="224"/>
        <v>0.54133665587302748</v>
      </c>
      <c r="T294">
        <f t="shared" si="225"/>
        <v>-0.99877029773082393</v>
      </c>
      <c r="U294">
        <f t="shared" si="226"/>
        <v>0.31115405855000428</v>
      </c>
      <c r="V294">
        <f t="shared" si="227"/>
        <v>-1.2543891963994644</v>
      </c>
      <c r="X294">
        <f t="shared" si="244"/>
        <v>-33.121572950363614</v>
      </c>
      <c r="Y294">
        <f t="shared" si="228"/>
        <v>-161.0363536958692</v>
      </c>
      <c r="Z294">
        <f t="shared" si="245"/>
        <v>18.963646304130805</v>
      </c>
      <c r="AC294">
        <v>1</v>
      </c>
      <c r="AD294">
        <f t="shared" si="229"/>
        <v>170.02299421800004</v>
      </c>
      <c r="AE294">
        <f t="shared" si="230"/>
        <v>-6.4097158675951366E-2</v>
      </c>
      <c r="AF294">
        <f t="shared" si="231"/>
        <v>2.0985838902000002E-2</v>
      </c>
      <c r="AG294">
        <f t="shared" si="246"/>
        <v>770.29954713953691</v>
      </c>
      <c r="AH294">
        <f t="shared" si="247"/>
        <v>-2400.381158754421</v>
      </c>
      <c r="AJ294">
        <f t="shared" si="232"/>
        <v>20000</v>
      </c>
      <c r="AK294">
        <f t="shared" si="233"/>
        <v>31064.068123200002</v>
      </c>
      <c r="AL294">
        <v>1</v>
      </c>
      <c r="AM294">
        <f t="shared" si="234"/>
        <v>76.951427006160003</v>
      </c>
      <c r="AN294">
        <f t="shared" si="248"/>
        <v>406.99288623257274</v>
      </c>
      <c r="AO294">
        <f t="shared" si="249"/>
        <v>-254.61525375220134</v>
      </c>
      <c r="AQ294">
        <f t="shared" si="235"/>
        <v>1.5624975585975647E-2</v>
      </c>
      <c r="AR294">
        <f t="shared" si="236"/>
        <v>-12.499980468780517</v>
      </c>
      <c r="AT294">
        <f t="shared" si="261"/>
        <v>-29992.681690441066</v>
      </c>
      <c r="AU294">
        <f t="shared" si="262"/>
        <v>-9666.235191357262</v>
      </c>
      <c r="AV294">
        <f t="shared" si="250"/>
        <v>-2.8298170134282246</v>
      </c>
      <c r="AW294">
        <f t="shared" si="251"/>
        <v>-2077.1716574175807</v>
      </c>
      <c r="AX294">
        <f t="shared" si="252"/>
        <v>-8054.3082669815585</v>
      </c>
      <c r="AY294">
        <f t="shared" si="260"/>
        <v>-1.8231923426839309</v>
      </c>
      <c r="BA294">
        <f t="shared" si="237"/>
        <v>3.7884645323455235</v>
      </c>
      <c r="BB294">
        <f t="shared" si="253"/>
        <v>11.569264514677254</v>
      </c>
      <c r="BC294">
        <f t="shared" si="254"/>
        <v>-1.0066246707442936</v>
      </c>
      <c r="BD294">
        <f t="shared" si="238"/>
        <v>-237.67534525329782</v>
      </c>
      <c r="BF294">
        <f t="shared" si="239"/>
        <v>-35.957410293023429</v>
      </c>
      <c r="BG294">
        <f t="shared" si="240"/>
        <v>-178.5336560799316</v>
      </c>
      <c r="BH294">
        <f t="shared" si="255"/>
        <v>1.4663439200683968</v>
      </c>
      <c r="BI294">
        <f t="shared" si="256"/>
        <v>1.4663439200683968</v>
      </c>
      <c r="BJ294">
        <f t="shared" si="241"/>
        <v>0</v>
      </c>
      <c r="BK294">
        <f t="shared" si="257"/>
        <v>0</v>
      </c>
      <c r="BM294">
        <f t="shared" si="258"/>
        <v>-47.526674807700687</v>
      </c>
      <c r="BN294">
        <f t="shared" si="242"/>
        <v>-120.8583108266338</v>
      </c>
      <c r="BQ294" s="66">
        <f t="shared" si="259"/>
        <v>28.471225314962393</v>
      </c>
      <c r="BR294" s="71"/>
      <c r="BS294" s="71"/>
      <c r="BT294" s="71">
        <v>69183.096999999994</v>
      </c>
      <c r="BU294" s="71">
        <v>3.15646</v>
      </c>
      <c r="BV294" s="71">
        <v>-131.40799999999999</v>
      </c>
      <c r="BY294" s="71"/>
      <c r="BZ294" s="71"/>
      <c r="CA294" s="71"/>
      <c r="CC294" s="71"/>
    </row>
    <row r="295" spans="1:81" x14ac:dyDescent="0.15">
      <c r="A295">
        <f t="shared" si="211"/>
        <v>405000</v>
      </c>
      <c r="B295">
        <f t="shared" si="243"/>
        <v>405</v>
      </c>
      <c r="C295">
        <f t="shared" si="212"/>
        <v>1.9546623497956341</v>
      </c>
      <c r="D295">
        <f t="shared" si="213"/>
        <v>1.0337535515025404</v>
      </c>
      <c r="F295">
        <f t="shared" si="214"/>
        <v>1.4115026043326007E-4</v>
      </c>
      <c r="G295">
        <f t="shared" si="215"/>
        <v>3.8917324793693643E-3</v>
      </c>
      <c r="H295">
        <f t="shared" si="216"/>
        <v>-3.1377009175206307</v>
      </c>
      <c r="J295">
        <f t="shared" si="217"/>
        <v>15</v>
      </c>
      <c r="M295">
        <f t="shared" si="218"/>
        <v>2.3531447220190189E-3</v>
      </c>
      <c r="N295">
        <f t="shared" si="219"/>
        <v>-1.5707963250000001</v>
      </c>
      <c r="O295">
        <f t="shared" si="220"/>
        <v>172.15118609401407</v>
      </c>
      <c r="P295">
        <f t="shared" si="221"/>
        <v>1.5649874465509679</v>
      </c>
      <c r="Q295">
        <f t="shared" si="222"/>
        <v>77.919736967423503</v>
      </c>
      <c r="R295">
        <f t="shared" si="223"/>
        <v>1.5579622555867729</v>
      </c>
      <c r="S295">
        <f t="shared" si="224"/>
        <v>0.53658627047167107</v>
      </c>
      <c r="T295">
        <f t="shared" si="225"/>
        <v>-1.0044098891546085</v>
      </c>
      <c r="U295">
        <f t="shared" si="226"/>
        <v>0.30767835626929474</v>
      </c>
      <c r="V295">
        <f t="shared" si="227"/>
        <v>-1.2580442675926919</v>
      </c>
      <c r="X295">
        <f t="shared" si="244"/>
        <v>-33.324253429819137</v>
      </c>
      <c r="Y295">
        <f t="shared" si="228"/>
        <v>-161.24454143123134</v>
      </c>
      <c r="Z295">
        <f t="shared" si="245"/>
        <v>18.75545856876866</v>
      </c>
      <c r="AC295">
        <v>1</v>
      </c>
      <c r="AD295">
        <f t="shared" si="229"/>
        <v>172.14828164572501</v>
      </c>
      <c r="AE295">
        <f t="shared" si="230"/>
        <v>-6.5709602823893265E-2</v>
      </c>
      <c r="AF295">
        <f t="shared" si="231"/>
        <v>2.1248161888275004E-2</v>
      </c>
      <c r="AG295">
        <f t="shared" si="246"/>
        <v>753.1866190476776</v>
      </c>
      <c r="AH295">
        <f t="shared" si="247"/>
        <v>-2376.2805392477635</v>
      </c>
      <c r="AJ295">
        <f t="shared" si="232"/>
        <v>20000</v>
      </c>
      <c r="AK295">
        <f t="shared" si="233"/>
        <v>31452.368974740002</v>
      </c>
      <c r="AL295">
        <v>1</v>
      </c>
      <c r="AM295">
        <f t="shared" si="234"/>
        <v>77.913319843737</v>
      </c>
      <c r="AN295">
        <f t="shared" si="248"/>
        <v>406.91170567262787</v>
      </c>
      <c r="AO295">
        <f t="shared" si="249"/>
        <v>-251.47289749202426</v>
      </c>
      <c r="AQ295">
        <f t="shared" si="235"/>
        <v>1.524155579704954E-2</v>
      </c>
      <c r="AR295">
        <f t="shared" si="236"/>
        <v>-12.345660195610128</v>
      </c>
      <c r="AT295">
        <f t="shared" si="261"/>
        <v>-29325.272331114276</v>
      </c>
      <c r="AU295">
        <f t="shared" si="262"/>
        <v>-9334.8042750714703</v>
      </c>
      <c r="AV295">
        <f t="shared" si="250"/>
        <v>-2.8334149073575077</v>
      </c>
      <c r="AW295">
        <f t="shared" si="251"/>
        <v>-2014.7096950659065</v>
      </c>
      <c r="AX295">
        <f t="shared" si="252"/>
        <v>-7958.7197998556003</v>
      </c>
      <c r="AY295">
        <f t="shared" si="260"/>
        <v>-1.8187327418981016</v>
      </c>
      <c r="BA295">
        <f t="shared" si="237"/>
        <v>3.7486026866069961</v>
      </c>
      <c r="BB295">
        <f t="shared" si="253"/>
        <v>11.477388242103126</v>
      </c>
      <c r="BC295">
        <f t="shared" si="254"/>
        <v>-1.014682165459406</v>
      </c>
      <c r="BD295">
        <f t="shared" si="238"/>
        <v>-238.13700569445027</v>
      </c>
      <c r="BF295">
        <f t="shared" si="239"/>
        <v>-36.185717945459089</v>
      </c>
      <c r="BG295">
        <f t="shared" si="240"/>
        <v>-178.68431022269843</v>
      </c>
      <c r="BH295">
        <f t="shared" si="255"/>
        <v>1.3156897773015714</v>
      </c>
      <c r="BI295">
        <f t="shared" si="256"/>
        <v>1.3156897773015714</v>
      </c>
      <c r="BJ295">
        <f t="shared" si="241"/>
        <v>0</v>
      </c>
      <c r="BK295">
        <f t="shared" si="257"/>
        <v>0</v>
      </c>
      <c r="BM295">
        <f t="shared" si="258"/>
        <v>-47.663106187562221</v>
      </c>
      <c r="BN295">
        <f t="shared" si="242"/>
        <v>-120.54730452824819</v>
      </c>
      <c r="BQ295" s="66">
        <f t="shared" si="259"/>
        <v>28.379349042388263</v>
      </c>
      <c r="BR295" s="71"/>
      <c r="BS295" s="71"/>
      <c r="BT295" s="71">
        <v>70794.577999999994</v>
      </c>
      <c r="BU295" s="71">
        <v>3.32565</v>
      </c>
      <c r="BV295" s="71">
        <v>-131.172</v>
      </c>
      <c r="BY295" s="71"/>
      <c r="BZ295" s="71"/>
      <c r="CA295" s="71"/>
      <c r="CC295" s="71"/>
    </row>
    <row r="296" spans="1:81" x14ac:dyDescent="0.15">
      <c r="A296">
        <f t="shared" si="211"/>
        <v>410000</v>
      </c>
      <c r="B296">
        <f t="shared" si="243"/>
        <v>410</v>
      </c>
      <c r="C296">
        <f t="shared" si="212"/>
        <v>1.972506490809449</v>
      </c>
      <c r="D296">
        <f t="shared" si="213"/>
        <v>1.0391313646968685</v>
      </c>
      <c r="F296">
        <f t="shared" si="214"/>
        <v>1.3772810949412703E-4</v>
      </c>
      <c r="G296">
        <f t="shared" si="215"/>
        <v>3.8442594291211931E-3</v>
      </c>
      <c r="H296">
        <f t="shared" si="216"/>
        <v>-3.137748390570879</v>
      </c>
      <c r="J296">
        <f t="shared" si="217"/>
        <v>15</v>
      </c>
      <c r="M296">
        <f t="shared" si="218"/>
        <v>2.3244478351651288E-3</v>
      </c>
      <c r="N296">
        <f t="shared" si="219"/>
        <v>-1.5707963250000001</v>
      </c>
      <c r="O296">
        <f t="shared" si="220"/>
        <v>174.27643810222469</v>
      </c>
      <c r="P296">
        <f t="shared" si="221"/>
        <v>1.565058284989411</v>
      </c>
      <c r="Q296">
        <f t="shared" si="222"/>
        <v>78.881551553722105</v>
      </c>
      <c r="R296">
        <f t="shared" si="223"/>
        <v>1.5581187517773811</v>
      </c>
      <c r="S296">
        <f t="shared" si="224"/>
        <v>0.53190205390973155</v>
      </c>
      <c r="T296">
        <f t="shared" si="225"/>
        <v>-1.0099511908188257</v>
      </c>
      <c r="U296">
        <f t="shared" si="226"/>
        <v>0.30427551464662977</v>
      </c>
      <c r="V296">
        <f t="shared" si="227"/>
        <v>-1.2616185374103404</v>
      </c>
      <c r="X296">
        <f t="shared" si="244"/>
        <v>-33.524702339365582</v>
      </c>
      <c r="Y296">
        <f t="shared" si="228"/>
        <v>-161.44839389681826</v>
      </c>
      <c r="Z296">
        <f t="shared" si="245"/>
        <v>18.55160610318174</v>
      </c>
      <c r="AC296">
        <v>1</v>
      </c>
      <c r="AD296">
        <f t="shared" si="229"/>
        <v>174.27356907345003</v>
      </c>
      <c r="AE296">
        <f t="shared" si="230"/>
        <v>-6.7342077333921405E-2</v>
      </c>
      <c r="AF296">
        <f t="shared" si="231"/>
        <v>2.1510484874550005E-2</v>
      </c>
      <c r="AG296">
        <f t="shared" si="246"/>
        <v>736.61865570650832</v>
      </c>
      <c r="AH296">
        <f t="shared" si="247"/>
        <v>-2352.5936664528845</v>
      </c>
      <c r="AJ296">
        <f t="shared" si="232"/>
        <v>20000</v>
      </c>
      <c r="AK296">
        <f t="shared" si="233"/>
        <v>31840.669826279998</v>
      </c>
      <c r="AL296">
        <v>1</v>
      </c>
      <c r="AM296">
        <f t="shared" si="234"/>
        <v>78.875212681313997</v>
      </c>
      <c r="AN296">
        <f t="shared" si="248"/>
        <v>406.83347634931982</v>
      </c>
      <c r="AO296">
        <f t="shared" si="249"/>
        <v>-248.40714665093282</v>
      </c>
      <c r="AQ296">
        <f t="shared" si="235"/>
        <v>1.4872077822608831E-2</v>
      </c>
      <c r="AR296">
        <f t="shared" si="236"/>
        <v>-12.195103814539241</v>
      </c>
      <c r="AT296">
        <f t="shared" si="261"/>
        <v>-28679.168945847177</v>
      </c>
      <c r="AU296">
        <f t="shared" si="262"/>
        <v>-9018.1289341596712</v>
      </c>
      <c r="AV296">
        <f t="shared" si="250"/>
        <v>-2.8369333944201567</v>
      </c>
      <c r="AW296">
        <f t="shared" si="251"/>
        <v>-1954.5873377649532</v>
      </c>
      <c r="AX296">
        <f t="shared" si="252"/>
        <v>-7865.3466123563603</v>
      </c>
      <c r="AY296">
        <f t="shared" si="260"/>
        <v>-1.8143685598530674</v>
      </c>
      <c r="BA296">
        <f t="shared" si="237"/>
        <v>3.7094644642179282</v>
      </c>
      <c r="BB296">
        <f t="shared" si="253"/>
        <v>11.386224299993508</v>
      </c>
      <c r="BC296">
        <f t="shared" si="254"/>
        <v>-1.0225648345670892</v>
      </c>
      <c r="BD296">
        <f t="shared" si="238"/>
        <v>-238.58864936613475</v>
      </c>
      <c r="BF296">
        <f t="shared" si="239"/>
        <v>-36.411129974210326</v>
      </c>
      <c r="BG296">
        <f t="shared" si="240"/>
        <v>-178.83054790040902</v>
      </c>
      <c r="BH296">
        <f t="shared" si="255"/>
        <v>1.1694520995909841</v>
      </c>
      <c r="BI296">
        <f t="shared" si="256"/>
        <v>1.1694520995909841</v>
      </c>
      <c r="BJ296">
        <f t="shared" si="241"/>
        <v>0</v>
      </c>
      <c r="BK296">
        <f t="shared" si="257"/>
        <v>0</v>
      </c>
      <c r="BM296">
        <f t="shared" si="258"/>
        <v>-47.797354274203833</v>
      </c>
      <c r="BN296">
        <f t="shared" si="242"/>
        <v>-120.24189853427428</v>
      </c>
      <c r="BQ296" s="66">
        <f t="shared" si="259"/>
        <v>28.288185100278646</v>
      </c>
      <c r="BR296" s="71"/>
      <c r="BS296" s="71"/>
      <c r="BT296" s="71">
        <v>72443.596000000005</v>
      </c>
      <c r="BU296" s="71">
        <v>3.4992100000000002</v>
      </c>
      <c r="BV296" s="71">
        <v>-130.929</v>
      </c>
      <c r="BY296" s="71"/>
      <c r="BZ296" s="71"/>
      <c r="CA296" s="71"/>
      <c r="CC296" s="71"/>
    </row>
    <row r="297" spans="1:81" x14ac:dyDescent="0.15">
      <c r="A297">
        <f t="shared" si="211"/>
        <v>415000</v>
      </c>
      <c r="B297">
        <f t="shared" si="243"/>
        <v>415</v>
      </c>
      <c r="C297">
        <f t="shared" si="212"/>
        <v>1.9904066546300738</v>
      </c>
      <c r="D297">
        <f t="shared" si="213"/>
        <v>1.0444126006429086</v>
      </c>
      <c r="F297">
        <f t="shared" si="214"/>
        <v>1.3442892544411587E-4</v>
      </c>
      <c r="G297">
        <f t="shared" si="215"/>
        <v>3.7979307656705618E-3</v>
      </c>
      <c r="H297">
        <f t="shared" si="216"/>
        <v>-3.1377947192343298</v>
      </c>
      <c r="J297">
        <f t="shared" si="217"/>
        <v>15</v>
      </c>
      <c r="M297">
        <f t="shared" si="218"/>
        <v>2.2964424395607295E-3</v>
      </c>
      <c r="N297">
        <f t="shared" si="219"/>
        <v>-1.5707963250000001</v>
      </c>
      <c r="O297">
        <f t="shared" si="220"/>
        <v>176.40169096389675</v>
      </c>
      <c r="P297">
        <f t="shared" si="221"/>
        <v>1.5651274165330593</v>
      </c>
      <c r="Q297">
        <f t="shared" si="222"/>
        <v>79.843368025369131</v>
      </c>
      <c r="R297">
        <f t="shared" si="223"/>
        <v>1.5582714775742479</v>
      </c>
      <c r="S297">
        <f t="shared" si="224"/>
        <v>0.52728314026966761</v>
      </c>
      <c r="T297">
        <f t="shared" si="225"/>
        <v>-1.0153964185286437</v>
      </c>
      <c r="U297">
        <f t="shared" si="226"/>
        <v>0.30094339934001374</v>
      </c>
      <c r="V297">
        <f t="shared" si="227"/>
        <v>-1.2651145675599837</v>
      </c>
      <c r="X297">
        <f t="shared" si="244"/>
        <v>-33.722966695257874</v>
      </c>
      <c r="Y297">
        <f t="shared" si="228"/>
        <v>-161.64804065323153</v>
      </c>
      <c r="Z297">
        <f t="shared" si="245"/>
        <v>18.351959346768467</v>
      </c>
      <c r="AC297">
        <v>1</v>
      </c>
      <c r="AD297">
        <f t="shared" si="229"/>
        <v>176.39885650117503</v>
      </c>
      <c r="AE297">
        <f t="shared" si="230"/>
        <v>-6.8994582206035784E-2</v>
      </c>
      <c r="AF297">
        <f t="shared" si="231"/>
        <v>2.1772807860825003E-2</v>
      </c>
      <c r="AG297">
        <f t="shared" si="246"/>
        <v>720.57360049504155</v>
      </c>
      <c r="AH297">
        <f t="shared" si="247"/>
        <v>-2329.3125461372006</v>
      </c>
      <c r="AJ297">
        <f t="shared" si="232"/>
        <v>20000</v>
      </c>
      <c r="AK297">
        <f t="shared" si="233"/>
        <v>32228.970677820002</v>
      </c>
      <c r="AL297">
        <v>1</v>
      </c>
      <c r="AM297">
        <f t="shared" si="234"/>
        <v>79.837105518891008</v>
      </c>
      <c r="AN297">
        <f t="shared" si="248"/>
        <v>406.75805693211817</v>
      </c>
      <c r="AO297">
        <f t="shared" si="249"/>
        <v>-245.41523412859377</v>
      </c>
      <c r="AQ297">
        <f t="shared" si="235"/>
        <v>1.4515873833830985E-2</v>
      </c>
      <c r="AR297">
        <f t="shared" si="236"/>
        <v>-12.048175282079718</v>
      </c>
      <c r="AT297">
        <f t="shared" si="261"/>
        <v>-28053.506087135618</v>
      </c>
      <c r="AU297">
        <f t="shared" si="262"/>
        <v>-8715.4090494428328</v>
      </c>
      <c r="AV297">
        <f t="shared" si="250"/>
        <v>-2.8403749859225762</v>
      </c>
      <c r="AW297">
        <f t="shared" si="251"/>
        <v>-1896.6889390033839</v>
      </c>
      <c r="AX297">
        <f t="shared" si="252"/>
        <v>-7774.1129899908974</v>
      </c>
      <c r="AY297">
        <f t="shared" si="260"/>
        <v>-1.8100963787017119</v>
      </c>
      <c r="BA297">
        <f t="shared" si="237"/>
        <v>3.6710349162445963</v>
      </c>
      <c r="BB297">
        <f t="shared" si="253"/>
        <v>11.295770304409578</v>
      </c>
      <c r="BC297">
        <f t="shared" si="254"/>
        <v>-1.0302786072208643</v>
      </c>
      <c r="BD297">
        <f t="shared" si="238"/>
        <v>-239.0306159838245</v>
      </c>
      <c r="BF297">
        <f t="shared" si="239"/>
        <v>-36.633713671842585</v>
      </c>
      <c r="BG297">
        <f t="shared" si="240"/>
        <v>-178.97257642432137</v>
      </c>
      <c r="BH297">
        <f t="shared" si="255"/>
        <v>1.0274235756786254</v>
      </c>
      <c r="BI297">
        <f t="shared" si="256"/>
        <v>1.0274235756786254</v>
      </c>
      <c r="BJ297">
        <f t="shared" si="241"/>
        <v>0</v>
      </c>
      <c r="BK297">
        <f t="shared" si="257"/>
        <v>0</v>
      </c>
      <c r="BM297">
        <f t="shared" si="258"/>
        <v>-47.929483976252165</v>
      </c>
      <c r="BN297">
        <f t="shared" si="242"/>
        <v>-119.94196044049689</v>
      </c>
      <c r="BQ297" s="66">
        <f t="shared" si="259"/>
        <v>28.197731104694714</v>
      </c>
      <c r="BR297" s="71"/>
      <c r="BS297" s="71"/>
      <c r="BT297" s="71">
        <v>74131.024000000005</v>
      </c>
      <c r="BU297" s="71">
        <v>3.6540400000000002</v>
      </c>
      <c r="BV297" s="71">
        <v>-130.88900000000001</v>
      </c>
      <c r="BY297" s="71"/>
      <c r="BZ297" s="71"/>
      <c r="CA297" s="71"/>
      <c r="CC297" s="71"/>
    </row>
    <row r="298" spans="1:81" x14ac:dyDescent="0.15">
      <c r="A298">
        <f t="shared" si="211"/>
        <v>420000</v>
      </c>
      <c r="B298">
        <f t="shared" si="243"/>
        <v>420</v>
      </c>
      <c r="C298">
        <f t="shared" si="212"/>
        <v>2.0083613432944323</v>
      </c>
      <c r="D298">
        <f t="shared" si="213"/>
        <v>1.0495995509415679</v>
      </c>
      <c r="F298">
        <f t="shared" si="214"/>
        <v>1.3124688647268349E-4</v>
      </c>
      <c r="G298">
        <f t="shared" si="215"/>
        <v>3.7527055966406495E-3</v>
      </c>
      <c r="H298">
        <f t="shared" si="216"/>
        <v>-3.1378399444033596</v>
      </c>
      <c r="J298">
        <f t="shared" si="217"/>
        <v>15</v>
      </c>
      <c r="M298">
        <f t="shared" si="218"/>
        <v>2.2691038390897683E-3</v>
      </c>
      <c r="N298">
        <f t="shared" si="219"/>
        <v>-1.5707963250000001</v>
      </c>
      <c r="O298">
        <f t="shared" si="220"/>
        <v>178.52694464855048</v>
      </c>
      <c r="P298">
        <f t="shared" si="221"/>
        <v>1.5651949021398446</v>
      </c>
      <c r="Q298">
        <f t="shared" si="222"/>
        <v>80.805186315041198</v>
      </c>
      <c r="R298">
        <f t="shared" si="223"/>
        <v>1.5584205676062908</v>
      </c>
      <c r="S298">
        <f t="shared" si="224"/>
        <v>0.5227286542513252</v>
      </c>
      <c r="T298">
        <f t="shared" si="225"/>
        <v>-1.0207477347172584</v>
      </c>
      <c r="U298">
        <f t="shared" si="226"/>
        <v>0.29767995244393947</v>
      </c>
      <c r="V298">
        <f t="shared" si="227"/>
        <v>-1.2685348164715262</v>
      </c>
      <c r="X298">
        <f t="shared" si="244"/>
        <v>-33.919092077571634</v>
      </c>
      <c r="Y298">
        <f t="shared" si="228"/>
        <v>-161.84360629402391</v>
      </c>
      <c r="Z298">
        <f t="shared" si="245"/>
        <v>18.156393705976086</v>
      </c>
      <c r="AC298">
        <v>1</v>
      </c>
      <c r="AD298">
        <f t="shared" si="229"/>
        <v>178.5241439289</v>
      </c>
      <c r="AE298">
        <f t="shared" si="230"/>
        <v>-7.0667117440236391E-2</v>
      </c>
      <c r="AF298">
        <f t="shared" si="231"/>
        <v>2.2035130847100001E-2</v>
      </c>
      <c r="AG298">
        <f t="shared" si="246"/>
        <v>705.03045520020055</v>
      </c>
      <c r="AH298">
        <f t="shared" si="247"/>
        <v>-2306.4292347174573</v>
      </c>
      <c r="AJ298">
        <f t="shared" si="232"/>
        <v>20000</v>
      </c>
      <c r="AK298">
        <f t="shared" si="233"/>
        <v>32617.271529360001</v>
      </c>
      <c r="AL298">
        <v>1</v>
      </c>
      <c r="AM298">
        <f t="shared" si="234"/>
        <v>80.79899835646799</v>
      </c>
      <c r="AN298">
        <f t="shared" si="248"/>
        <v>406.68531445003316</v>
      </c>
      <c r="AO298">
        <f t="shared" si="249"/>
        <v>-242.49452448789563</v>
      </c>
      <c r="AQ298">
        <f t="shared" si="235"/>
        <v>1.4172315515425856E-2</v>
      </c>
      <c r="AR298">
        <f t="shared" si="236"/>
        <v>-11.90474503295772</v>
      </c>
      <c r="AT298">
        <f t="shared" si="261"/>
        <v>-27447.460061812042</v>
      </c>
      <c r="AU298">
        <f t="shared" si="262"/>
        <v>-8425.8952524569249</v>
      </c>
      <c r="AV298">
        <f t="shared" si="250"/>
        <v>-2.8437420922933923</v>
      </c>
      <c r="AW298">
        <f t="shared" si="251"/>
        <v>-1840.9059123186701</v>
      </c>
      <c r="AX298">
        <f t="shared" si="252"/>
        <v>-7684.9466377278213</v>
      </c>
      <c r="AY298">
        <f t="shared" si="260"/>
        <v>-1.8059129352265211</v>
      </c>
      <c r="BA298">
        <f t="shared" si="237"/>
        <v>3.6332991949075519</v>
      </c>
      <c r="BB298">
        <f t="shared" si="253"/>
        <v>11.206023252311386</v>
      </c>
      <c r="BC298">
        <f t="shared" si="254"/>
        <v>-1.0378291570668712</v>
      </c>
      <c r="BD298">
        <f t="shared" si="238"/>
        <v>-239.46323062349819</v>
      </c>
      <c r="BF298">
        <f t="shared" si="239"/>
        <v>-36.853534304452062</v>
      </c>
      <c r="BG298">
        <f t="shared" si="240"/>
        <v>-179.11059191431431</v>
      </c>
      <c r="BH298">
        <f t="shared" si="255"/>
        <v>0.88940808568568741</v>
      </c>
      <c r="BI298">
        <f t="shared" si="256"/>
        <v>0.88940808568568741</v>
      </c>
      <c r="BJ298">
        <f t="shared" si="241"/>
        <v>0</v>
      </c>
      <c r="BK298">
        <f t="shared" si="257"/>
        <v>0</v>
      </c>
      <c r="BM298">
        <f t="shared" si="258"/>
        <v>-48.059557556763451</v>
      </c>
      <c r="BN298">
        <f t="shared" si="242"/>
        <v>-119.64736129081614</v>
      </c>
      <c r="BQ298" s="66">
        <f t="shared" si="259"/>
        <v>28.107984052596521</v>
      </c>
      <c r="BR298" s="71"/>
      <c r="BS298" s="71"/>
      <c r="BT298" s="71">
        <v>75857.758000000002</v>
      </c>
      <c r="BU298" s="71">
        <v>3.8307899999999999</v>
      </c>
      <c r="BV298" s="71">
        <v>-130.62200000000001</v>
      </c>
      <c r="BY298" s="71"/>
      <c r="BZ298" s="71"/>
      <c r="CA298" s="71"/>
      <c r="CC298" s="71"/>
    </row>
    <row r="299" spans="1:81" x14ac:dyDescent="0.15">
      <c r="A299">
        <f t="shared" si="211"/>
        <v>425000</v>
      </c>
      <c r="B299">
        <f t="shared" si="243"/>
        <v>425</v>
      </c>
      <c r="C299">
        <f t="shared" si="212"/>
        <v>2.0263691074472607</v>
      </c>
      <c r="D299">
        <f t="shared" si="213"/>
        <v>1.0546944464002079</v>
      </c>
      <c r="F299">
        <f t="shared" si="214"/>
        <v>1.2817651128759551E-4</v>
      </c>
      <c r="G299">
        <f t="shared" si="215"/>
        <v>3.7085449552398792E-3</v>
      </c>
      <c r="H299">
        <f t="shared" si="216"/>
        <v>-3.1378841050447601</v>
      </c>
      <c r="J299">
        <f t="shared" si="217"/>
        <v>15</v>
      </c>
      <c r="M299">
        <f t="shared" si="218"/>
        <v>2.2424084998063595E-3</v>
      </c>
      <c r="N299">
        <f t="shared" si="219"/>
        <v>-1.5707963250000001</v>
      </c>
      <c r="O299">
        <f t="shared" si="220"/>
        <v>180.65219912714036</v>
      </c>
      <c r="P299">
        <f t="shared" si="221"/>
        <v>1.5652607998992394</v>
      </c>
      <c r="Q299">
        <f t="shared" si="222"/>
        <v>81.767006358582478</v>
      </c>
      <c r="R299">
        <f t="shared" si="223"/>
        <v>1.5585661501685659</v>
      </c>
      <c r="S299">
        <f t="shared" si="224"/>
        <v>0.51823771330418988</v>
      </c>
      <c r="T299">
        <f t="shared" si="225"/>
        <v>-1.0260072493930037</v>
      </c>
      <c r="U299">
        <f t="shared" si="226"/>
        <v>0.29448318946127111</v>
      </c>
      <c r="V299">
        <f t="shared" si="227"/>
        <v>-1.2718816442372352</v>
      </c>
      <c r="X299">
        <f t="shared" si="244"/>
        <v>-34.113122687103228</v>
      </c>
      <c r="Y299">
        <f t="shared" si="228"/>
        <v>-162.03521067483314</v>
      </c>
      <c r="Z299">
        <f t="shared" si="245"/>
        <v>17.964789325166862</v>
      </c>
      <c r="AC299">
        <v>1</v>
      </c>
      <c r="AD299">
        <f t="shared" si="229"/>
        <v>180.64943135662503</v>
      </c>
      <c r="AE299">
        <f t="shared" si="230"/>
        <v>-7.2359683036523223E-2</v>
      </c>
      <c r="AF299">
        <f t="shared" si="231"/>
        <v>2.2297453833375003E-2</v>
      </c>
      <c r="AG299">
        <f t="shared" si="246"/>
        <v>689.969222727035</v>
      </c>
      <c r="AH299">
        <f t="shared" si="247"/>
        <v>-2283.9358539340565</v>
      </c>
      <c r="AJ299">
        <f t="shared" si="232"/>
        <v>20000</v>
      </c>
      <c r="AK299">
        <f t="shared" si="233"/>
        <v>33005.572380900005</v>
      </c>
      <c r="AL299">
        <v>1</v>
      </c>
      <c r="AM299">
        <f t="shared" si="234"/>
        <v>81.760891194045001</v>
      </c>
      <c r="AN299">
        <f t="shared" si="248"/>
        <v>406.61512370523945</v>
      </c>
      <c r="AO299">
        <f t="shared" si="249"/>
        <v>-239.64250621722465</v>
      </c>
      <c r="AQ299">
        <f t="shared" si="235"/>
        <v>1.384081129299475E-2</v>
      </c>
      <c r="AR299">
        <f t="shared" si="236"/>
        <v>-11.764689599045537</v>
      </c>
      <c r="AT299">
        <f t="shared" si="261"/>
        <v>-26860.246651855443</v>
      </c>
      <c r="AU299">
        <f t="shared" si="262"/>
        <v>-8148.8852634378882</v>
      </c>
      <c r="AV299">
        <f t="shared" si="250"/>
        <v>-2.8470370278823309</v>
      </c>
      <c r="AW299">
        <f t="shared" si="251"/>
        <v>-1787.1362209509773</v>
      </c>
      <c r="AX299">
        <f t="shared" si="252"/>
        <v>-7597.7784870786963</v>
      </c>
      <c r="AY299">
        <f t="shared" si="260"/>
        <v>-1.8018151127192508</v>
      </c>
      <c r="BA299">
        <f t="shared" si="237"/>
        <v>3.596242585684764</v>
      </c>
      <c r="BB299">
        <f t="shared" si="253"/>
        <v>11.116979590427775</v>
      </c>
      <c r="BC299">
        <f t="shared" si="254"/>
        <v>-1.0452219151630802</v>
      </c>
      <c r="BD299">
        <f t="shared" si="238"/>
        <v>-239.88680446185612</v>
      </c>
      <c r="BF299">
        <f t="shared" si="239"/>
        <v>-37.070655175214014</v>
      </c>
      <c r="BG299">
        <f t="shared" si="240"/>
        <v>-179.24477996387398</v>
      </c>
      <c r="BH299">
        <f t="shared" si="255"/>
        <v>0.75522003612601907</v>
      </c>
      <c r="BI299">
        <f t="shared" si="256"/>
        <v>0.75522003612601907</v>
      </c>
      <c r="BJ299">
        <f t="shared" si="241"/>
        <v>0</v>
      </c>
      <c r="BK299">
        <f t="shared" si="257"/>
        <v>0</v>
      </c>
      <c r="BM299">
        <f t="shared" si="258"/>
        <v>-48.187634765641789</v>
      </c>
      <c r="BN299">
        <f t="shared" si="242"/>
        <v>-119.35797550201787</v>
      </c>
      <c r="BQ299" s="66">
        <f t="shared" si="259"/>
        <v>28.018940390712913</v>
      </c>
      <c r="BR299" s="71"/>
      <c r="BS299" s="71"/>
      <c r="BT299" s="71">
        <v>77624.712</v>
      </c>
      <c r="BU299" s="71">
        <v>4.0309799999999996</v>
      </c>
      <c r="BV299" s="71">
        <v>-130.36099999999999</v>
      </c>
      <c r="BY299" s="71"/>
      <c r="BZ299" s="71"/>
      <c r="CA299" s="71"/>
      <c r="CC299" s="71"/>
    </row>
    <row r="300" spans="1:81" x14ac:dyDescent="0.15">
      <c r="A300">
        <f t="shared" ref="A300:A363" si="263">A299+5000</f>
        <v>430000</v>
      </c>
      <c r="B300">
        <f t="shared" si="243"/>
        <v>430</v>
      </c>
      <c r="C300">
        <f t="shared" si="212"/>
        <v>2.0444285445882562</v>
      </c>
      <c r="D300">
        <f t="shared" si="213"/>
        <v>1.0596994584688166</v>
      </c>
      <c r="F300">
        <f t="shared" si="214"/>
        <v>1.2521263549026426E-4</v>
      </c>
      <c r="G300">
        <f t="shared" si="215"/>
        <v>3.6654116882243863E-3</v>
      </c>
      <c r="H300">
        <f t="shared" si="216"/>
        <v>-3.137927238311776</v>
      </c>
      <c r="J300">
        <f t="shared" si="217"/>
        <v>15</v>
      </c>
      <c r="M300">
        <f t="shared" si="218"/>
        <v>2.2163339823667509E-3</v>
      </c>
      <c r="N300">
        <f t="shared" si="219"/>
        <v>-1.5707963250000001</v>
      </c>
      <c r="O300">
        <f t="shared" si="220"/>
        <v>182.77745437197177</v>
      </c>
      <c r="P300">
        <f t="shared" si="221"/>
        <v>1.5653251651990185</v>
      </c>
      <c r="Q300">
        <f t="shared" si="222"/>
        <v>82.728828094820599</v>
      </c>
      <c r="R300">
        <f t="shared" si="223"/>
        <v>1.5587083475904064</v>
      </c>
      <c r="S300">
        <f t="shared" si="224"/>
        <v>0.51380942958319586</v>
      </c>
      <c r="T300">
        <f t="shared" si="225"/>
        <v>-1.0311770211128009</v>
      </c>
      <c r="U300">
        <f t="shared" si="226"/>
        <v>0.29135119639073737</v>
      </c>
      <c r="V300">
        <f t="shared" si="227"/>
        <v>-1.2751573172849693</v>
      </c>
      <c r="X300">
        <f t="shared" si="244"/>
        <v>-34.305101399519188</v>
      </c>
      <c r="Y300">
        <f t="shared" si="228"/>
        <v>-162.22296913039781</v>
      </c>
      <c r="Z300">
        <f t="shared" si="245"/>
        <v>17.777030869602186</v>
      </c>
      <c r="AC300">
        <v>1</v>
      </c>
      <c r="AD300">
        <f t="shared" si="229"/>
        <v>182.77471878435003</v>
      </c>
      <c r="AE300">
        <f t="shared" si="230"/>
        <v>-7.4072278994896282E-2</v>
      </c>
      <c r="AF300">
        <f t="shared" si="231"/>
        <v>2.2559776819650001E-2</v>
      </c>
      <c r="AG300">
        <f t="shared" si="246"/>
        <v>675.3708531530275</v>
      </c>
      <c r="AH300">
        <f t="shared" si="247"/>
        <v>-2261.8246034831041</v>
      </c>
      <c r="AJ300">
        <f t="shared" si="232"/>
        <v>20000</v>
      </c>
      <c r="AK300">
        <f t="shared" si="233"/>
        <v>33393.873232440004</v>
      </c>
      <c r="AL300">
        <v>1</v>
      </c>
      <c r="AM300">
        <f t="shared" si="234"/>
        <v>82.722784031621998</v>
      </c>
      <c r="AN300">
        <f t="shared" si="248"/>
        <v>406.54736673412941</v>
      </c>
      <c r="AO300">
        <f t="shared" si="249"/>
        <v>-236.85678453200975</v>
      </c>
      <c r="AQ300">
        <f t="shared" si="235"/>
        <v>1.3520803784743395E-2</v>
      </c>
      <c r="AR300">
        <f t="shared" si="236"/>
        <v>-11.627891254879319</v>
      </c>
      <c r="AT300">
        <f t="shared" si="261"/>
        <v>-26291.118970124655</v>
      </c>
      <c r="AU300">
        <f t="shared" si="262"/>
        <v>-7883.7205238376737</v>
      </c>
      <c r="AV300">
        <f t="shared" si="250"/>
        <v>-2.8502620155021319</v>
      </c>
      <c r="AW300">
        <f t="shared" si="251"/>
        <v>-1735.2839099266066</v>
      </c>
      <c r="AX300">
        <f t="shared" si="252"/>
        <v>-7512.5425163321652</v>
      </c>
      <c r="AY300">
        <f t="shared" si="260"/>
        <v>-1.7977999333214156</v>
      </c>
      <c r="BA300">
        <f t="shared" si="237"/>
        <v>3.5598505345734779</v>
      </c>
      <c r="BB300">
        <f t="shared" si="253"/>
        <v>11.02863527758859</v>
      </c>
      <c r="BC300">
        <f t="shared" si="254"/>
        <v>-1.0524620821807162</v>
      </c>
      <c r="BD300">
        <f t="shared" si="238"/>
        <v>-240.30163547541051</v>
      </c>
      <c r="BF300">
        <f t="shared" si="239"/>
        <v>-37.28513768673303</v>
      </c>
      <c r="BG300">
        <f t="shared" si="240"/>
        <v>-179.37531626331679</v>
      </c>
      <c r="BH300">
        <f t="shared" si="255"/>
        <v>0.62468373668320964</v>
      </c>
      <c r="BI300">
        <f t="shared" si="256"/>
        <v>0.62468373668320964</v>
      </c>
      <c r="BJ300">
        <f t="shared" si="241"/>
        <v>0</v>
      </c>
      <c r="BK300">
        <f t="shared" si="257"/>
        <v>0</v>
      </c>
      <c r="BM300">
        <f t="shared" si="258"/>
        <v>-48.313772964321615</v>
      </c>
      <c r="BN300">
        <f t="shared" si="242"/>
        <v>-119.0736807879063</v>
      </c>
      <c r="BQ300" s="66">
        <f t="shared" si="259"/>
        <v>27.93059607787373</v>
      </c>
      <c r="BR300" s="71"/>
      <c r="BS300" s="71"/>
      <c r="BT300" s="71">
        <v>79432.823000000004</v>
      </c>
      <c r="BU300" s="71">
        <v>4.23407</v>
      </c>
      <c r="BV300" s="71">
        <v>-130.17400000000001</v>
      </c>
      <c r="BY300" s="71"/>
      <c r="BZ300" s="71"/>
      <c r="CA300" s="71"/>
      <c r="CC300" s="71"/>
    </row>
    <row r="301" spans="1:81" x14ac:dyDescent="0.15">
      <c r="A301">
        <f t="shared" si="263"/>
        <v>435000</v>
      </c>
      <c r="B301">
        <f t="shared" si="243"/>
        <v>435</v>
      </c>
      <c r="C301">
        <f t="shared" si="212"/>
        <v>2.0625382973829511</v>
      </c>
      <c r="D301">
        <f t="shared" si="213"/>
        <v>1.0646167006742226</v>
      </c>
      <c r="F301">
        <f t="shared" si="214"/>
        <v>1.2235038984149935E-4</v>
      </c>
      <c r="G301">
        <f t="shared" si="215"/>
        <v>3.6232703515939376E-3</v>
      </c>
      <c r="H301">
        <f t="shared" si="216"/>
        <v>-3.1379693796484061</v>
      </c>
      <c r="J301">
        <f t="shared" si="217"/>
        <v>15</v>
      </c>
      <c r="M301">
        <f t="shared" si="218"/>
        <v>2.1908588791211556E-3</v>
      </c>
      <c r="N301">
        <f t="shared" si="219"/>
        <v>-1.5707963250000001</v>
      </c>
      <c r="O301">
        <f t="shared" si="220"/>
        <v>184.90271035662343</v>
      </c>
      <c r="P301">
        <f t="shared" si="221"/>
        <v>1.56538805088052</v>
      </c>
      <c r="Q301">
        <f t="shared" si="222"/>
        <v>83.690651465395177</v>
      </c>
      <c r="R301">
        <f t="shared" si="223"/>
        <v>1.5588472765781778</v>
      </c>
      <c r="S301">
        <f t="shared" si="224"/>
        <v>0.50944291173999201</v>
      </c>
      <c r="T301">
        <f t="shared" si="225"/>
        <v>-1.0362590579764663</v>
      </c>
      <c r="U301">
        <f t="shared" si="226"/>
        <v>0.28828212692752481</v>
      </c>
      <c r="V301">
        <f t="shared" si="227"/>
        <v>-1.2783640128001665</v>
      </c>
      <c r="X301">
        <f t="shared" si="244"/>
        <v>-34.495069816911382</v>
      </c>
      <c r="Y301">
        <f t="shared" si="228"/>
        <v>-162.40699268015581</v>
      </c>
      <c r="Z301">
        <f t="shared" si="245"/>
        <v>17.59300731984419</v>
      </c>
      <c r="AC301">
        <v>1</v>
      </c>
      <c r="AD301">
        <f t="shared" si="229"/>
        <v>184.90000621207503</v>
      </c>
      <c r="AE301">
        <f t="shared" si="230"/>
        <v>-7.5804905315355608E-2</v>
      </c>
      <c r="AF301">
        <f t="shared" si="231"/>
        <v>2.2822099805925002E-2</v>
      </c>
      <c r="AG301">
        <f t="shared" si="246"/>
        <v>661.21719292739567</v>
      </c>
      <c r="AH301">
        <f t="shared" si="247"/>
        <v>-2240.08777183044</v>
      </c>
      <c r="AJ301">
        <f t="shared" si="232"/>
        <v>20000</v>
      </c>
      <c r="AK301">
        <f t="shared" si="233"/>
        <v>33782.174083979997</v>
      </c>
      <c r="AL301">
        <v>1</v>
      </c>
      <c r="AM301">
        <f t="shared" si="234"/>
        <v>83.684676869198995</v>
      </c>
      <c r="AN301">
        <f t="shared" si="248"/>
        <v>406.48193231146053</v>
      </c>
      <c r="AO301">
        <f t="shared" si="249"/>
        <v>-234.13507467219648</v>
      </c>
      <c r="AQ301">
        <f t="shared" si="235"/>
        <v>1.3211767457038635E-2</v>
      </c>
      <c r="AR301">
        <f t="shared" si="236"/>
        <v>-11.494237687623613</v>
      </c>
      <c r="AT301">
        <f t="shared" si="261"/>
        <v>-25739.365442766699</v>
      </c>
      <c r="AU301">
        <f t="shared" si="262"/>
        <v>-7629.7830973755445</v>
      </c>
      <c r="AV301">
        <f t="shared" si="250"/>
        <v>-2.8534191907282818</v>
      </c>
      <c r="AW301">
        <f t="shared" si="251"/>
        <v>-1685.2586765988524</v>
      </c>
      <c r="AX301">
        <f t="shared" si="252"/>
        <v>-7429.1755828815985</v>
      </c>
      <c r="AY301">
        <f t="shared" si="260"/>
        <v>-1.7938645507999349</v>
      </c>
      <c r="BA301">
        <f t="shared" si="237"/>
        <v>3.5241086710872813</v>
      </c>
      <c r="BB301">
        <f t="shared" si="253"/>
        <v>10.940985841144551</v>
      </c>
      <c r="BC301">
        <f t="shared" si="254"/>
        <v>-1.0595546399283469</v>
      </c>
      <c r="BD301">
        <f t="shared" si="238"/>
        <v>-240.7080091007669</v>
      </c>
      <c r="BF301">
        <f t="shared" si="239"/>
        <v>-37.497041402084193</v>
      </c>
      <c r="BG301">
        <f t="shared" si="240"/>
        <v>-179.50236718387262</v>
      </c>
      <c r="BH301">
        <f t="shared" si="255"/>
        <v>0.49763281612737842</v>
      </c>
      <c r="BI301">
        <f t="shared" si="256"/>
        <v>0.49763281612737842</v>
      </c>
      <c r="BJ301">
        <f t="shared" si="241"/>
        <v>0</v>
      </c>
      <c r="BK301">
        <f t="shared" si="257"/>
        <v>0</v>
      </c>
      <c r="BM301">
        <f t="shared" si="258"/>
        <v>-48.438027243228746</v>
      </c>
      <c r="BN301">
        <f t="shared" si="242"/>
        <v>-118.79435808310571</v>
      </c>
      <c r="BQ301" s="66">
        <f t="shared" si="259"/>
        <v>27.842946641429688</v>
      </c>
      <c r="BR301" s="71"/>
      <c r="BS301" s="71"/>
      <c r="BT301" s="71">
        <v>81283.051999999996</v>
      </c>
      <c r="BU301" s="71">
        <v>4.4202000000000004</v>
      </c>
      <c r="BV301" s="71">
        <v>-130.05699999999999</v>
      </c>
      <c r="BY301" s="71"/>
      <c r="BZ301" s="71"/>
      <c r="CA301" s="71"/>
      <c r="CC301" s="71"/>
    </row>
    <row r="302" spans="1:81" x14ac:dyDescent="0.15">
      <c r="A302">
        <f t="shared" si="263"/>
        <v>440000</v>
      </c>
      <c r="B302">
        <f t="shared" si="243"/>
        <v>440</v>
      </c>
      <c r="C302">
        <f t="shared" si="212"/>
        <v>2.08069705203543</v>
      </c>
      <c r="D302">
        <f t="shared" si="213"/>
        <v>1.0694482300482455</v>
      </c>
      <c r="F302">
        <f t="shared" si="214"/>
        <v>1.1958518024674283E-4</v>
      </c>
      <c r="G302">
        <f t="shared" si="215"/>
        <v>3.5820871134055196E-3</v>
      </c>
      <c r="H302">
        <f t="shared" si="216"/>
        <v>-3.1380105628865946</v>
      </c>
      <c r="J302">
        <f t="shared" si="217"/>
        <v>15</v>
      </c>
      <c r="M302">
        <f t="shared" si="218"/>
        <v>2.1659627554947787E-3</v>
      </c>
      <c r="N302">
        <f t="shared" si="219"/>
        <v>-1.5707963250000001</v>
      </c>
      <c r="O302">
        <f t="shared" si="220"/>
        <v>187.02796705587488</v>
      </c>
      <c r="P302">
        <f t="shared" si="221"/>
        <v>1.5654495073833192</v>
      </c>
      <c r="Q302">
        <f t="shared" si="222"/>
        <v>84.652476414598127</v>
      </c>
      <c r="R302">
        <f t="shared" si="223"/>
        <v>1.5589830485346741</v>
      </c>
      <c r="S302">
        <f t="shared" si="224"/>
        <v>0.50513726656089508</v>
      </c>
      <c r="T302">
        <f t="shared" si="225"/>
        <v>-1.0412553186369313</v>
      </c>
      <c r="U302">
        <f t="shared" si="226"/>
        <v>0.28527419977417107</v>
      </c>
      <c r="V302">
        <f t="shared" si="227"/>
        <v>-1.2815038229112292</v>
      </c>
      <c r="X302">
        <f t="shared" si="244"/>
        <v>-34.683068316903949</v>
      </c>
      <c r="Y302">
        <f t="shared" si="228"/>
        <v>-162.5873882230826</v>
      </c>
      <c r="Z302">
        <f t="shared" si="245"/>
        <v>17.412611776917402</v>
      </c>
      <c r="AC302">
        <v>1</v>
      </c>
      <c r="AD302">
        <f t="shared" si="229"/>
        <v>187.02529363980003</v>
      </c>
      <c r="AE302">
        <f t="shared" si="230"/>
        <v>-7.7557561997901148E-2</v>
      </c>
      <c r="AF302">
        <f t="shared" si="231"/>
        <v>2.3084422792200004E-2</v>
      </c>
      <c r="AG302">
        <f t="shared" si="246"/>
        <v>647.49093702714549</v>
      </c>
      <c r="AH302">
        <f t="shared" si="247"/>
        <v>-2218.7177454082994</v>
      </c>
      <c r="AJ302">
        <f t="shared" si="232"/>
        <v>20000</v>
      </c>
      <c r="AK302">
        <f t="shared" si="233"/>
        <v>34170.474935519997</v>
      </c>
      <c r="AL302">
        <v>1</v>
      </c>
      <c r="AM302">
        <f t="shared" si="234"/>
        <v>84.646569706776006</v>
      </c>
      <c r="AN302">
        <f t="shared" si="248"/>
        <v>406.41871549370472</v>
      </c>
      <c r="AO302">
        <f t="shared" si="249"/>
        <v>-231.47519565624899</v>
      </c>
      <c r="AQ302">
        <f t="shared" si="235"/>
        <v>1.2913206465384214E-2</v>
      </c>
      <c r="AR302">
        <f t="shared" si="236"/>
        <v>-11.363621689538107</v>
      </c>
      <c r="AT302">
        <f t="shared" si="261"/>
        <v>-25204.307910530544</v>
      </c>
      <c r="AU302">
        <f t="shared" si="262"/>
        <v>-7386.4928161158923</v>
      </c>
      <c r="AV302">
        <f t="shared" si="250"/>
        <v>-2.8565106059704766</v>
      </c>
      <c r="AW302">
        <f t="shared" si="251"/>
        <v>-1636.9754760863088</v>
      </c>
      <c r="AX302">
        <f t="shared" si="252"/>
        <v>-7347.6172666859602</v>
      </c>
      <c r="AY302">
        <f t="shared" si="260"/>
        <v>-1.7900062437333668</v>
      </c>
      <c r="BA302">
        <f t="shared" si="237"/>
        <v>3.4890028274992009</v>
      </c>
      <c r="BB302">
        <f t="shared" si="253"/>
        <v>10.854026428038186</v>
      </c>
      <c r="BC302">
        <f t="shared" si="254"/>
        <v>-1.0665043622371098</v>
      </c>
      <c r="BD302">
        <f t="shared" si="238"/>
        <v>-241.10619885830192</v>
      </c>
      <c r="BF302">
        <f t="shared" si="239"/>
        <v>-37.706424104457739</v>
      </c>
      <c r="BG302">
        <f t="shared" si="240"/>
        <v>-179.62609032510389</v>
      </c>
      <c r="BH302">
        <f t="shared" si="255"/>
        <v>0.37390967489611171</v>
      </c>
      <c r="BI302">
        <f t="shared" si="256"/>
        <v>0.37390967489611171</v>
      </c>
      <c r="BJ302">
        <f t="shared" si="241"/>
        <v>0</v>
      </c>
      <c r="BK302">
        <f t="shared" si="257"/>
        <v>0</v>
      </c>
      <c r="BM302">
        <f t="shared" si="258"/>
        <v>-48.560450532495935</v>
      </c>
      <c r="BN302">
        <f t="shared" si="242"/>
        <v>-118.51989146680197</v>
      </c>
      <c r="BQ302" s="66">
        <f t="shared" si="259"/>
        <v>27.75598722832332</v>
      </c>
      <c r="BR302" s="71"/>
      <c r="BS302" s="71"/>
      <c r="BT302" s="71">
        <v>83176.376999999993</v>
      </c>
      <c r="BU302" s="71">
        <v>4.5639399999999997</v>
      </c>
      <c r="BV302" s="71">
        <v>-130.11600000000001</v>
      </c>
      <c r="BY302" s="71"/>
      <c r="BZ302" s="71"/>
      <c r="CA302" s="71"/>
      <c r="CC302" s="71"/>
    </row>
    <row r="303" spans="1:81" x14ac:dyDescent="0.15">
      <c r="A303">
        <f t="shared" si="263"/>
        <v>445000</v>
      </c>
      <c r="B303">
        <f t="shared" si="243"/>
        <v>445</v>
      </c>
      <c r="C303">
        <f t="shared" si="212"/>
        <v>2.0989035367210067</v>
      </c>
      <c r="D303">
        <f t="shared" si="213"/>
        <v>1.0741960485461719</v>
      </c>
      <c r="F303">
        <f t="shared" si="214"/>
        <v>1.1691266930705247E-4</v>
      </c>
      <c r="G303">
        <f t="shared" si="215"/>
        <v>3.5418296631442633E-3</v>
      </c>
      <c r="H303">
        <f t="shared" si="216"/>
        <v>-3.138050820336856</v>
      </c>
      <c r="J303">
        <f t="shared" si="217"/>
        <v>15</v>
      </c>
      <c r="M303">
        <f t="shared" si="218"/>
        <v>2.1416260953206804E-3</v>
      </c>
      <c r="N303">
        <f t="shared" si="219"/>
        <v>-1.5707963250000001</v>
      </c>
      <c r="O303">
        <f t="shared" si="220"/>
        <v>189.15322444563921</v>
      </c>
      <c r="P303">
        <f t="shared" si="221"/>
        <v>1.5655095828801533</v>
      </c>
      <c r="Q303">
        <f t="shared" si="222"/>
        <v>85.614302889224618</v>
      </c>
      <c r="R303">
        <f t="shared" si="223"/>
        <v>1.5591157698569871</v>
      </c>
      <c r="S303">
        <f t="shared" si="224"/>
        <v>0.50089160046211245</v>
      </c>
      <c r="T303">
        <f t="shared" si="225"/>
        <v>-1.0461677133219225</v>
      </c>
      <c r="U303">
        <f t="shared" si="226"/>
        <v>0.2823256960587478</v>
      </c>
      <c r="V303">
        <f t="shared" si="227"/>
        <v>-1.2845787586520594</v>
      </c>
      <c r="X303">
        <f t="shared" si="244"/>
        <v>-34.869136099448518</v>
      </c>
      <c r="Y303">
        <f t="shared" si="228"/>
        <v>-162.7642587223886</v>
      </c>
      <c r="Z303">
        <f t="shared" si="245"/>
        <v>17.235741277611396</v>
      </c>
      <c r="AC303">
        <v>1</v>
      </c>
      <c r="AD303">
        <f t="shared" si="229"/>
        <v>189.15058106752502</v>
      </c>
      <c r="AE303">
        <f t="shared" si="230"/>
        <v>-7.9330249042532927E-2</v>
      </c>
      <c r="AF303">
        <f t="shared" si="231"/>
        <v>2.3346745778475002E-2</v>
      </c>
      <c r="AG303">
        <f t="shared" si="246"/>
        <v>634.17558389213639</v>
      </c>
      <c r="AH303">
        <f t="shared" si="247"/>
        <v>-2197.7070163741005</v>
      </c>
      <c r="AJ303">
        <f t="shared" si="232"/>
        <v>20000</v>
      </c>
      <c r="AK303">
        <f t="shared" si="233"/>
        <v>34558.775787060003</v>
      </c>
      <c r="AL303">
        <v>1</v>
      </c>
      <c r="AM303">
        <f t="shared" si="234"/>
        <v>85.608462544353003</v>
      </c>
      <c r="AN303">
        <f t="shared" si="248"/>
        <v>406.35761719809693</v>
      </c>
      <c r="AO303">
        <f t="shared" si="249"/>
        <v>-228.87506445581366</v>
      </c>
      <c r="AQ303">
        <f t="shared" si="235"/>
        <v>1.2624652664243575E-2</v>
      </c>
      <c r="AR303">
        <f t="shared" si="236"/>
        <v>-11.235940871176782</v>
      </c>
      <c r="AT303">
        <f t="shared" si="261"/>
        <v>-24685.299841674954</v>
      </c>
      <c r="AU303">
        <f t="shared" si="262"/>
        <v>-7153.3046502955494</v>
      </c>
      <c r="AV303">
        <f t="shared" si="250"/>
        <v>-2.8595382343289151</v>
      </c>
      <c r="AW303">
        <f t="shared" si="251"/>
        <v>-1590.354158413867</v>
      </c>
      <c r="AX303">
        <f t="shared" si="252"/>
        <v>-7267.8097239919271</v>
      </c>
      <c r="AY303">
        <f t="shared" si="260"/>
        <v>-1.7862224090852523</v>
      </c>
      <c r="BA303">
        <f t="shared" si="237"/>
        <v>3.4545190547833657</v>
      </c>
      <c r="BB303">
        <f t="shared" si="253"/>
        <v>10.76775185103334</v>
      </c>
      <c r="BC303">
        <f t="shared" si="254"/>
        <v>-1.0733158252436628</v>
      </c>
      <c r="BD303">
        <f t="shared" si="238"/>
        <v>-241.49646694133287</v>
      </c>
      <c r="BF303">
        <f t="shared" si="239"/>
        <v>-37.913341855340107</v>
      </c>
      <c r="BG303">
        <f t="shared" si="240"/>
        <v>-179.74663502799521</v>
      </c>
      <c r="BH303">
        <f t="shared" si="255"/>
        <v>0.25336497200478902</v>
      </c>
      <c r="BI303">
        <f t="shared" si="256"/>
        <v>0.25336497200478902</v>
      </c>
      <c r="BJ303">
        <f t="shared" si="241"/>
        <v>0</v>
      </c>
      <c r="BK303">
        <f t="shared" si="257"/>
        <v>0</v>
      </c>
      <c r="BM303">
        <f t="shared" si="258"/>
        <v>-48.681093706373446</v>
      </c>
      <c r="BN303">
        <f t="shared" si="242"/>
        <v>-118.25016808666238</v>
      </c>
      <c r="BQ303" s="66">
        <f t="shared" si="259"/>
        <v>27.669712651318477</v>
      </c>
      <c r="BR303" s="71"/>
      <c r="BS303" s="71"/>
      <c r="BT303" s="71">
        <v>85113.804000000004</v>
      </c>
      <c r="BU303" s="71">
        <v>4.7605300000000002</v>
      </c>
      <c r="BV303" s="71">
        <v>-129.97300000000001</v>
      </c>
      <c r="BY303" s="71"/>
      <c r="BZ303" s="71"/>
      <c r="CA303" s="71"/>
      <c r="CC303" s="71"/>
    </row>
    <row r="304" spans="1:81" x14ac:dyDescent="0.15">
      <c r="A304">
        <f t="shared" si="263"/>
        <v>450000</v>
      </c>
      <c r="B304">
        <f t="shared" si="243"/>
        <v>450</v>
      </c>
      <c r="C304">
        <f t="shared" si="212"/>
        <v>2.1171565200769713</v>
      </c>
      <c r="D304">
        <f t="shared" si="213"/>
        <v>1.0788621044524151</v>
      </c>
      <c r="F304">
        <f t="shared" si="214"/>
        <v>1.1432875929739097E-4</v>
      </c>
      <c r="G304">
        <f t="shared" si="215"/>
        <v>3.5024671271412094E-3</v>
      </c>
      <c r="H304">
        <f t="shared" si="216"/>
        <v>-3.1380901828728591</v>
      </c>
      <c r="J304">
        <f t="shared" si="217"/>
        <v>15</v>
      </c>
      <c r="M304">
        <f t="shared" si="218"/>
        <v>2.1178302498171173E-3</v>
      </c>
      <c r="N304">
        <f t="shared" si="219"/>
        <v>-1.5707963250000001</v>
      </c>
      <c r="O304">
        <f t="shared" si="220"/>
        <v>191.27848250289989</v>
      </c>
      <c r="P304">
        <f t="shared" si="221"/>
        <v>1.5655683234028479</v>
      </c>
      <c r="Q304">
        <f t="shared" si="222"/>
        <v>86.576130838434096</v>
      </c>
      <c r="R304">
        <f t="shared" si="223"/>
        <v>1.5592455422145244</v>
      </c>
      <c r="S304">
        <f t="shared" si="224"/>
        <v>0.4967050208521977</v>
      </c>
      <c r="T304">
        <f t="shared" si="225"/>
        <v>-1.0509981048631192</v>
      </c>
      <c r="U304">
        <f t="shared" si="226"/>
        <v>0.27943495685716452</v>
      </c>
      <c r="V304">
        <f t="shared" si="227"/>
        <v>-1.2875907537146785</v>
      </c>
      <c r="X304">
        <f t="shared" si="244"/>
        <v>-35.053311231435636</v>
      </c>
      <c r="Y304">
        <f t="shared" si="228"/>
        <v>-162.93770338065838</v>
      </c>
      <c r="Z304">
        <f t="shared" si="245"/>
        <v>17.062296619341623</v>
      </c>
      <c r="AC304">
        <v>1</v>
      </c>
      <c r="AD304">
        <f t="shared" si="229"/>
        <v>191.27586849525002</v>
      </c>
      <c r="AE304">
        <f t="shared" si="230"/>
        <v>-8.1122966449250947E-2</v>
      </c>
      <c r="AF304">
        <f t="shared" si="231"/>
        <v>2.360906876475E-2</v>
      </c>
      <c r="AG304">
        <f t="shared" si="246"/>
        <v>621.25539297155274</v>
      </c>
      <c r="AH304">
        <f t="shared" si="247"/>
        <v>-2177.048189092</v>
      </c>
      <c r="AJ304">
        <f t="shared" si="232"/>
        <v>20000</v>
      </c>
      <c r="AK304">
        <f t="shared" si="233"/>
        <v>34947.076638600003</v>
      </c>
      <c r="AL304">
        <v>1</v>
      </c>
      <c r="AM304">
        <f t="shared" si="234"/>
        <v>86.57035538193</v>
      </c>
      <c r="AN304">
        <f t="shared" si="248"/>
        <v>406.29854381422786</v>
      </c>
      <c r="AO304">
        <f t="shared" si="249"/>
        <v>-226.33269055836178</v>
      </c>
      <c r="AQ304">
        <f t="shared" si="235"/>
        <v>1.2345663770785468E-2</v>
      </c>
      <c r="AR304">
        <f t="shared" si="236"/>
        <v>-11.111097393706922</v>
      </c>
      <c r="AT304">
        <f t="shared" si="261"/>
        <v>-24181.724649597083</v>
      </c>
      <c r="AU304">
        <f t="shared" si="262"/>
        <v>-6929.7062826279162</v>
      </c>
      <c r="AV304">
        <f t="shared" si="250"/>
        <v>-2.8625039732477595</v>
      </c>
      <c r="AW304">
        <f t="shared" si="251"/>
        <v>-1545.3191344858906</v>
      </c>
      <c r="AX304">
        <f t="shared" si="252"/>
        <v>-7189.6975505243809</v>
      </c>
      <c r="AY304">
        <f t="shared" si="260"/>
        <v>-1.7825105561422088</v>
      </c>
      <c r="BA304">
        <f t="shared" si="237"/>
        <v>3.4206436356562264</v>
      </c>
      <c r="BB304">
        <f t="shared" si="253"/>
        <v>10.682156630561099</v>
      </c>
      <c r="BC304">
        <f t="shared" si="254"/>
        <v>-1.0799934171055507</v>
      </c>
      <c r="BD304">
        <f t="shared" si="238"/>
        <v>-241.87906477276712</v>
      </c>
      <c r="BF304">
        <f t="shared" si="239"/>
        <v>-38.117849051181949</v>
      </c>
      <c r="BG304">
        <f t="shared" si="240"/>
        <v>-179.86414285591067</v>
      </c>
      <c r="BH304">
        <f t="shared" si="255"/>
        <v>0.13585714408932859</v>
      </c>
      <c r="BI304">
        <f t="shared" si="256"/>
        <v>0.13585714408932859</v>
      </c>
      <c r="BJ304">
        <f t="shared" si="241"/>
        <v>0</v>
      </c>
      <c r="BK304">
        <f t="shared" si="257"/>
        <v>0</v>
      </c>
      <c r="BM304">
        <f t="shared" si="258"/>
        <v>-48.800005681743045</v>
      </c>
      <c r="BN304">
        <f t="shared" si="242"/>
        <v>-117.98507808314356</v>
      </c>
      <c r="BQ304" s="66">
        <f t="shared" si="259"/>
        <v>27.584117430846238</v>
      </c>
      <c r="BR304" s="71"/>
      <c r="BS304" s="71"/>
      <c r="BT304" s="71">
        <v>87096.358999999997</v>
      </c>
      <c r="BU304" s="71">
        <v>4.9475499999999997</v>
      </c>
      <c r="BV304" s="71">
        <v>-129.96199999999999</v>
      </c>
      <c r="BY304" s="71"/>
      <c r="BZ304" s="71"/>
      <c r="CA304" s="71"/>
      <c r="CC304" s="71"/>
    </row>
    <row r="305" spans="1:81" x14ac:dyDescent="0.15">
      <c r="A305">
        <f t="shared" si="263"/>
        <v>455000</v>
      </c>
      <c r="B305">
        <f t="shared" si="243"/>
        <v>455</v>
      </c>
      <c r="C305">
        <f t="shared" si="212"/>
        <v>2.1354548097495223</v>
      </c>
      <c r="D305">
        <f t="shared" si="213"/>
        <v>1.0834482937706256</v>
      </c>
      <c r="F305">
        <f t="shared" si="214"/>
        <v>1.1182957644739939E-4</v>
      </c>
      <c r="G305">
        <f t="shared" si="215"/>
        <v>3.4639699895723406E-3</v>
      </c>
      <c r="H305">
        <f t="shared" si="216"/>
        <v>-3.138128680010428</v>
      </c>
      <c r="J305">
        <f t="shared" si="217"/>
        <v>15</v>
      </c>
      <c r="M305">
        <f t="shared" si="218"/>
        <v>2.094557389929017E-3</v>
      </c>
      <c r="N305">
        <f t="shared" si="219"/>
        <v>-1.5707963250000001</v>
      </c>
      <c r="O305">
        <f t="shared" si="220"/>
        <v>193.40374120565221</v>
      </c>
      <c r="P305">
        <f t="shared" si="221"/>
        <v>1.5656257729599441</v>
      </c>
      <c r="Q305">
        <f t="shared" si="222"/>
        <v>87.537960213620394</v>
      </c>
      <c r="R305">
        <f t="shared" si="223"/>
        <v>1.5593724628087029</v>
      </c>
      <c r="S305">
        <f t="shared" si="224"/>
        <v>0.4925766373711023</v>
      </c>
      <c r="T305">
        <f t="shared" si="225"/>
        <v>-1.0557483097292097</v>
      </c>
      <c r="U305">
        <f t="shared" si="226"/>
        <v>0.27660038081631522</v>
      </c>
      <c r="V305">
        <f t="shared" si="227"/>
        <v>-1.2905416680040771</v>
      </c>
      <c r="X305">
        <f t="shared" si="244"/>
        <v>-35.235630689241987</v>
      </c>
      <c r="Y305">
        <f t="shared" si="228"/>
        <v>-163.10781780597796</v>
      </c>
      <c r="Z305">
        <f t="shared" si="245"/>
        <v>16.892182194022041</v>
      </c>
      <c r="AC305">
        <v>1</v>
      </c>
      <c r="AD305">
        <f t="shared" si="229"/>
        <v>193.40115592297502</v>
      </c>
      <c r="AE305">
        <f t="shared" si="230"/>
        <v>-8.2935714218055193E-2</v>
      </c>
      <c r="AF305">
        <f t="shared" si="231"/>
        <v>2.3871391751025001E-2</v>
      </c>
      <c r="AG305">
        <f t="shared" si="246"/>
        <v>608.7153447238727</v>
      </c>
      <c r="AH305">
        <f t="shared" si="247"/>
        <v>-2156.7339854809011</v>
      </c>
      <c r="AJ305">
        <f t="shared" si="232"/>
        <v>20000</v>
      </c>
      <c r="AK305">
        <f t="shared" si="233"/>
        <v>35335.377490140003</v>
      </c>
      <c r="AL305">
        <v>1</v>
      </c>
      <c r="AM305">
        <f t="shared" si="234"/>
        <v>87.532248219506997</v>
      </c>
      <c r="AN305">
        <f t="shared" si="248"/>
        <v>406.24140684533972</v>
      </c>
      <c r="AO305">
        <f t="shared" si="249"/>
        <v>-223.84617088800073</v>
      </c>
      <c r="AQ305">
        <f t="shared" si="235"/>
        <v>1.207582166909592E-2</v>
      </c>
      <c r="AR305">
        <f t="shared" si="236"/>
        <v>-10.988997718877286</v>
      </c>
      <c r="AT305">
        <f t="shared" si="261"/>
        <v>-23692.994108724612</v>
      </c>
      <c r="AU305">
        <f t="shared" si="262"/>
        <v>-6715.2158696125844</v>
      </c>
      <c r="AV305">
        <f t="shared" si="250"/>
        <v>-2.865409647977363</v>
      </c>
      <c r="AW305">
        <f t="shared" si="251"/>
        <v>-1501.7990683093237</v>
      </c>
      <c r="AX305">
        <f t="shared" si="252"/>
        <v>-7113.2276534234516</v>
      </c>
      <c r="AY305">
        <f t="shared" si="260"/>
        <v>-1.7788683007955397</v>
      </c>
      <c r="BA305">
        <f t="shared" si="237"/>
        <v>3.3873630950724265</v>
      </c>
      <c r="BB305">
        <f t="shared" si="253"/>
        <v>10.597235032594817</v>
      </c>
      <c r="BC305">
        <f t="shared" si="254"/>
        <v>-1.0865413471818233</v>
      </c>
      <c r="BD305">
        <f t="shared" si="238"/>
        <v>-242.25423353111302</v>
      </c>
      <c r="BF305">
        <f t="shared" si="239"/>
        <v>-38.319998478518997</v>
      </c>
      <c r="BG305">
        <f t="shared" si="240"/>
        <v>-179.9787480454834</v>
      </c>
      <c r="BH305">
        <f t="shared" si="255"/>
        <v>2.1251954516600335E-2</v>
      </c>
      <c r="BI305">
        <f t="shared" si="256"/>
        <v>2.1251954516600335E-2</v>
      </c>
      <c r="BJ305">
        <f t="shared" si="241"/>
        <v>0</v>
      </c>
      <c r="BK305">
        <f t="shared" si="257"/>
        <v>0</v>
      </c>
      <c r="BM305">
        <f t="shared" si="258"/>
        <v>-48.917233511113814</v>
      </c>
      <c r="BN305">
        <f t="shared" si="242"/>
        <v>-117.7245145143704</v>
      </c>
      <c r="BQ305" s="66">
        <f t="shared" si="259"/>
        <v>27.499195832879948</v>
      </c>
      <c r="BR305" s="71"/>
      <c r="BS305" s="71"/>
      <c r="BT305" s="71">
        <v>89125.093999999997</v>
      </c>
      <c r="BU305" s="71">
        <v>5.2143100000000002</v>
      </c>
      <c r="BV305" s="71">
        <v>-129.73099999999999</v>
      </c>
      <c r="BY305" s="71"/>
      <c r="BZ305" s="71"/>
      <c r="CA305" s="71"/>
      <c r="CC305" s="71"/>
    </row>
    <row r="306" spans="1:81" x14ac:dyDescent="0.15">
      <c r="A306">
        <f t="shared" si="263"/>
        <v>460000</v>
      </c>
      <c r="B306">
        <f t="shared" si="243"/>
        <v>460</v>
      </c>
      <c r="C306">
        <f t="shared" si="212"/>
        <v>2.1537972509950345</v>
      </c>
      <c r="D306">
        <f t="shared" si="213"/>
        <v>1.0879564615958981</v>
      </c>
      <c r="F306">
        <f t="shared" si="214"/>
        <v>1.094114564119806E-4</v>
      </c>
      <c r="G306">
        <f t="shared" si="215"/>
        <v>3.4263100186138606E-3</v>
      </c>
      <c r="H306">
        <f t="shared" si="216"/>
        <v>-3.1381663399813862</v>
      </c>
      <c r="J306">
        <f t="shared" si="217"/>
        <v>15</v>
      </c>
      <c r="M306">
        <f t="shared" si="218"/>
        <v>2.0717904617776148E-3</v>
      </c>
      <c r="N306">
        <f t="shared" si="219"/>
        <v>-1.5707963250000001</v>
      </c>
      <c r="O306">
        <f t="shared" si="220"/>
        <v>195.52900053284807</v>
      </c>
      <c r="P306">
        <f t="shared" si="221"/>
        <v>1.5656819736466536</v>
      </c>
      <c r="Q306">
        <f t="shared" si="222"/>
        <v>88.499790968290327</v>
      </c>
      <c r="R306">
        <f t="shared" si="223"/>
        <v>1.5594966246157107</v>
      </c>
      <c r="S306">
        <f t="shared" si="224"/>
        <v>0.48850556301462106</v>
      </c>
      <c r="T306">
        <f t="shared" si="225"/>
        <v>-1.0604200990596653</v>
      </c>
      <c r="U306">
        <f t="shared" si="226"/>
        <v>0.27382042187472444</v>
      </c>
      <c r="V306">
        <f t="shared" si="227"/>
        <v>-1.2934332910067106</v>
      </c>
      <c r="X306">
        <f t="shared" si="244"/>
        <v>-35.416130399325695</v>
      </c>
      <c r="Y306">
        <f t="shared" si="228"/>
        <v>-163.27469416956711</v>
      </c>
      <c r="Z306">
        <f t="shared" si="245"/>
        <v>16.725305830432887</v>
      </c>
      <c r="AC306">
        <v>1</v>
      </c>
      <c r="AD306">
        <f t="shared" si="229"/>
        <v>195.52644335070002</v>
      </c>
      <c r="AE306">
        <f t="shared" si="230"/>
        <v>-8.4768492348945693E-2</v>
      </c>
      <c r="AF306">
        <f t="shared" si="231"/>
        <v>2.4133714737300003E-2</v>
      </c>
      <c r="AG306">
        <f t="shared" si="246"/>
        <v>596.54110292171492</v>
      </c>
      <c r="AH306">
        <f t="shared" si="247"/>
        <v>-2136.7572493574712</v>
      </c>
      <c r="AJ306">
        <f t="shared" si="232"/>
        <v>20000</v>
      </c>
      <c r="AK306">
        <f t="shared" si="233"/>
        <v>35723.678341679995</v>
      </c>
      <c r="AL306">
        <v>1</v>
      </c>
      <c r="AM306">
        <f t="shared" si="234"/>
        <v>88.494141057083993</v>
      </c>
      <c r="AN306">
        <f t="shared" si="248"/>
        <v>406.18612257675341</v>
      </c>
      <c r="AO306">
        <f t="shared" si="249"/>
        <v>-221.4136850572296</v>
      </c>
      <c r="AQ306">
        <f t="shared" si="235"/>
        <v>1.1814730842709308E-2</v>
      </c>
      <c r="AR306">
        <f t="shared" si="236"/>
        <v>-10.869552375292562</v>
      </c>
      <c r="AT306">
        <f t="shared" si="261"/>
        <v>-23218.54686260947</v>
      </c>
      <c r="AU306">
        <f t="shared" si="262"/>
        <v>-6509.3799739997376</v>
      </c>
      <c r="AV306">
        <f t="shared" si="250"/>
        <v>-2.8682570148561815</v>
      </c>
      <c r="AW306">
        <f t="shared" si="251"/>
        <v>-1459.7265931409663</v>
      </c>
      <c r="AX306">
        <f t="shared" si="252"/>
        <v>-7038.3491312697697</v>
      </c>
      <c r="AY306">
        <f t="shared" si="260"/>
        <v>-1.775293360146224</v>
      </c>
      <c r="BA306">
        <f t="shared" si="237"/>
        <v>3.3546642084899676</v>
      </c>
      <c r="BB306">
        <f t="shared" si="253"/>
        <v>10.512981102926926</v>
      </c>
      <c r="BC306">
        <f t="shared" si="254"/>
        <v>-1.0929636547099575</v>
      </c>
      <c r="BD306">
        <f t="shared" si="238"/>
        <v>-242.62220464763067</v>
      </c>
      <c r="BF306">
        <f t="shared" si="239"/>
        <v>-38.519841367524272</v>
      </c>
      <c r="BG306">
        <f t="shared" si="240"/>
        <v>-180.09057792937608</v>
      </c>
      <c r="BH306">
        <f t="shared" si="255"/>
        <v>-9.0577929376081556E-2</v>
      </c>
      <c r="BI306">
        <f t="shared" si="256"/>
        <v>-9.0577929376081556E-2</v>
      </c>
      <c r="BJ306">
        <f t="shared" si="241"/>
        <v>0</v>
      </c>
      <c r="BK306">
        <f t="shared" si="257"/>
        <v>0</v>
      </c>
      <c r="BM306">
        <f t="shared" si="258"/>
        <v>-49.032822470451201</v>
      </c>
      <c r="BN306">
        <f t="shared" si="242"/>
        <v>-117.46837328174543</v>
      </c>
      <c r="BQ306" s="66">
        <f t="shared" si="259"/>
        <v>27.41494190321206</v>
      </c>
      <c r="BR306" s="71"/>
      <c r="BS306" s="71"/>
      <c r="BT306" s="71">
        <v>91201.084000000003</v>
      </c>
      <c r="BU306" s="71">
        <v>5.4050900000000004</v>
      </c>
      <c r="BV306" s="71">
        <v>-129.68299999999999</v>
      </c>
      <c r="BY306" s="71"/>
      <c r="BZ306" s="71"/>
      <c r="CA306" s="71"/>
      <c r="CC306" s="71"/>
    </row>
    <row r="307" spans="1:81" x14ac:dyDescent="0.15">
      <c r="A307">
        <f t="shared" si="263"/>
        <v>465000</v>
      </c>
      <c r="B307">
        <f t="shared" si="243"/>
        <v>465</v>
      </c>
      <c r="C307">
        <f t="shared" si="212"/>
        <v>2.1721827253338102</v>
      </c>
      <c r="D307">
        <f t="shared" si="213"/>
        <v>1.0923884034670592</v>
      </c>
      <c r="F307">
        <f t="shared" si="214"/>
        <v>1.0707093082986774E-4</v>
      </c>
      <c r="G307">
        <f t="shared" si="215"/>
        <v>3.3894601973652448E-3</v>
      </c>
      <c r="H307">
        <f t="shared" si="216"/>
        <v>-3.1382031898026348</v>
      </c>
      <c r="J307">
        <f t="shared" si="217"/>
        <v>15</v>
      </c>
      <c r="M307">
        <f t="shared" si="218"/>
        <v>2.0495131449843069E-3</v>
      </c>
      <c r="N307">
        <f t="shared" si="219"/>
        <v>-1.5707963250000001</v>
      </c>
      <c r="O307">
        <f t="shared" si="220"/>
        <v>197.65426046434467</v>
      </c>
      <c r="P307">
        <f t="shared" si="221"/>
        <v>1.5657369657477203</v>
      </c>
      <c r="Q307">
        <f t="shared" si="222"/>
        <v>89.46162305795005</v>
      </c>
      <c r="R307">
        <f t="shared" si="223"/>
        <v>1.5596181166136107</v>
      </c>
      <c r="S307">
        <f t="shared" si="224"/>
        <v>0.48449091515247888</v>
      </c>
      <c r="T307">
        <f t="shared" si="225"/>
        <v>-1.0650151996963912</v>
      </c>
      <c r="U307">
        <f t="shared" si="226"/>
        <v>0.27109358707731279</v>
      </c>
      <c r="V307">
        <f t="shared" si="227"/>
        <v>-1.2962673449833559</v>
      </c>
      <c r="X307">
        <f t="shared" si="244"/>
        <v>-35.594845276974844</v>
      </c>
      <c r="Y307">
        <f t="shared" si="228"/>
        <v>-163.43842135539705</v>
      </c>
      <c r="Z307">
        <f t="shared" si="245"/>
        <v>16.561578644602946</v>
      </c>
      <c r="AC307">
        <v>1</v>
      </c>
      <c r="AD307">
        <f t="shared" si="229"/>
        <v>197.65173077842502</v>
      </c>
      <c r="AE307">
        <f t="shared" si="230"/>
        <v>-8.6621300841922405E-2</v>
      </c>
      <c r="AF307">
        <f t="shared" si="231"/>
        <v>2.4396037723575004E-2</v>
      </c>
      <c r="AG307">
        <f t="shared" si="246"/>
        <v>584.71897912179043</v>
      </c>
      <c r="AH307">
        <f t="shared" si="247"/>
        <v>-2117.1109498891892</v>
      </c>
      <c r="AJ307">
        <f t="shared" si="232"/>
        <v>20000</v>
      </c>
      <c r="AK307">
        <f t="shared" si="233"/>
        <v>36111.979193220002</v>
      </c>
      <c r="AL307">
        <v>1</v>
      </c>
      <c r="AM307">
        <f t="shared" si="234"/>
        <v>89.45603389466099</v>
      </c>
      <c r="AN307">
        <f t="shared" si="248"/>
        <v>406.13261176911067</v>
      </c>
      <c r="AO307">
        <f t="shared" si="249"/>
        <v>-219.03349092475597</v>
      </c>
      <c r="AQ307">
        <f t="shared" si="235"/>
        <v>1.1562016924480374E-2</v>
      </c>
      <c r="AR307">
        <f t="shared" si="236"/>
        <v>-10.752675739766747</v>
      </c>
      <c r="AT307">
        <f t="shared" si="261"/>
        <v>-22757.847018535347</v>
      </c>
      <c r="AU307">
        <f t="shared" si="262"/>
        <v>-6311.7716540176762</v>
      </c>
      <c r="AV307">
        <f t="shared" si="250"/>
        <v>-2.871047764422634</v>
      </c>
      <c r="AW307">
        <f t="shared" si="251"/>
        <v>-1419.0380494617675</v>
      </c>
      <c r="AX307">
        <f t="shared" si="252"/>
        <v>-6965.0131615971213</v>
      </c>
      <c r="AY307">
        <f t="shared" si="260"/>
        <v>-1.7717835474142252</v>
      </c>
      <c r="BA307">
        <f t="shared" si="237"/>
        <v>3.3225340081832</v>
      </c>
      <c r="BB307">
        <f t="shared" si="253"/>
        <v>10.429388698183821</v>
      </c>
      <c r="BC307">
        <f t="shared" si="254"/>
        <v>-1.0992642170084088</v>
      </c>
      <c r="BD307">
        <f t="shared" si="238"/>
        <v>-242.98320027630368</v>
      </c>
      <c r="BF307">
        <f t="shared" si="239"/>
        <v>-38.717427443981812</v>
      </c>
      <c r="BG307">
        <f t="shared" si="240"/>
        <v>-180.19975333272984</v>
      </c>
      <c r="BH307">
        <f t="shared" si="255"/>
        <v>-0.1997533327298413</v>
      </c>
      <c r="BI307">
        <f t="shared" si="256"/>
        <v>-0.1997533327298413</v>
      </c>
      <c r="BJ307">
        <f t="shared" si="241"/>
        <v>0</v>
      </c>
      <c r="BK307">
        <f t="shared" si="257"/>
        <v>0</v>
      </c>
      <c r="BM307">
        <f t="shared" si="258"/>
        <v>-49.146816142165633</v>
      </c>
      <c r="BN307">
        <f t="shared" si="242"/>
        <v>-117.21655305642619</v>
      </c>
      <c r="BQ307" s="66">
        <f t="shared" si="259"/>
        <v>27.331349498468956</v>
      </c>
      <c r="BR307" s="71"/>
      <c r="BS307" s="71"/>
      <c r="BT307" s="71">
        <v>93325.43</v>
      </c>
      <c r="BU307" s="71">
        <v>5.6014999999999997</v>
      </c>
      <c r="BV307" s="71">
        <v>-129.64400000000001</v>
      </c>
      <c r="BY307" s="71"/>
      <c r="BZ307" s="71"/>
      <c r="CA307" s="71"/>
      <c r="CC307" s="71"/>
    </row>
    <row r="308" spans="1:81" x14ac:dyDescent="0.15">
      <c r="A308">
        <f t="shared" si="263"/>
        <v>470000</v>
      </c>
      <c r="B308">
        <f t="shared" si="243"/>
        <v>470</v>
      </c>
      <c r="C308">
        <f t="shared" si="212"/>
        <v>2.1906101492545251</v>
      </c>
      <c r="D308">
        <f t="shared" si="213"/>
        <v>1.0967458666973253</v>
      </c>
      <c r="F308">
        <f t="shared" si="214"/>
        <v>1.0480471487805254E-4</v>
      </c>
      <c r="G308">
        <f t="shared" si="215"/>
        <v>3.3533946591847563E-3</v>
      </c>
      <c r="H308">
        <f t="shared" si="216"/>
        <v>-3.1382392553408156</v>
      </c>
      <c r="J308">
        <f t="shared" si="217"/>
        <v>15</v>
      </c>
      <c r="M308">
        <f t="shared" si="218"/>
        <v>2.0277098136546865E-3</v>
      </c>
      <c r="N308">
        <f t="shared" si="219"/>
        <v>-1.5707963250000001</v>
      </c>
      <c r="O308">
        <f t="shared" si="220"/>
        <v>199.77952098085629</v>
      </c>
      <c r="P308">
        <f t="shared" si="221"/>
        <v>1.5657907878337165</v>
      </c>
      <c r="Q308">
        <f t="shared" si="222"/>
        <v>90.423456439998802</v>
      </c>
      <c r="R308">
        <f t="shared" si="223"/>
        <v>1.5597370239949548</v>
      </c>
      <c r="S308">
        <f t="shared" si="224"/>
        <v>0.48053181644779397</v>
      </c>
      <c r="T308">
        <f t="shared" si="225"/>
        <v>-1.069535295210744</v>
      </c>
      <c r="U308">
        <f t="shared" si="226"/>
        <v>0.26841843448089964</v>
      </c>
      <c r="V308">
        <f t="shared" si="227"/>
        <v>-1.2990454879964082</v>
      </c>
      <c r="X308">
        <f t="shared" si="244"/>
        <v>-35.771809263307901</v>
      </c>
      <c r="Y308">
        <f t="shared" si="228"/>
        <v>-163.59908510225057</v>
      </c>
      <c r="Z308">
        <f t="shared" si="245"/>
        <v>16.400914897749431</v>
      </c>
      <c r="AC308">
        <v>1</v>
      </c>
      <c r="AD308">
        <f t="shared" si="229"/>
        <v>199.77701820615002</v>
      </c>
      <c r="AE308">
        <f t="shared" si="230"/>
        <v>-8.8494139696985344E-2</v>
      </c>
      <c r="AF308">
        <f t="shared" si="231"/>
        <v>2.4658360709850002E-2</v>
      </c>
      <c r="AG308">
        <f t="shared" si="246"/>
        <v>573.23589916858384</v>
      </c>
      <c r="AH308">
        <f t="shared" si="247"/>
        <v>-2097.788184260296</v>
      </c>
      <c r="AJ308">
        <f t="shared" si="232"/>
        <v>20000</v>
      </c>
      <c r="AK308">
        <f t="shared" si="233"/>
        <v>36500.280044760002</v>
      </c>
      <c r="AL308">
        <v>1</v>
      </c>
      <c r="AM308">
        <f t="shared" si="234"/>
        <v>90.417926732238001</v>
      </c>
      <c r="AN308">
        <f t="shared" si="248"/>
        <v>406.0807993743278</v>
      </c>
      <c r="AO308">
        <f t="shared" si="249"/>
        <v>-216.70392043660488</v>
      </c>
      <c r="AQ308">
        <f t="shared" si="235"/>
        <v>1.131732535386447E-2</v>
      </c>
      <c r="AR308">
        <f t="shared" si="236"/>
        <v>-10.638285832632603</v>
      </c>
      <c r="AT308">
        <f t="shared" si="261"/>
        <v>-22310.382823304972</v>
      </c>
      <c r="AU308">
        <f t="shared" si="262"/>
        <v>-6121.9886962863229</v>
      </c>
      <c r="AV308">
        <f t="shared" si="250"/>
        <v>-2.8737835243665746</v>
      </c>
      <c r="AW308">
        <f t="shared" si="251"/>
        <v>-1379.6732428850057</v>
      </c>
      <c r="AX308">
        <f t="shared" si="252"/>
        <v>-6893.172895343133</v>
      </c>
      <c r="AY308">
        <f t="shared" si="260"/>
        <v>-1.7683367671341197</v>
      </c>
      <c r="BA308">
        <f t="shared" si="237"/>
        <v>3.2909597878503782</v>
      </c>
      <c r="BB308">
        <f t="shared" si="253"/>
        <v>10.346451513882723</v>
      </c>
      <c r="BC308">
        <f t="shared" si="254"/>
        <v>-1.1054467572324549</v>
      </c>
      <c r="BD308">
        <f t="shared" si="238"/>
        <v>-243.33743373821613</v>
      </c>
      <c r="BF308">
        <f t="shared" si="239"/>
        <v>-38.912804979680864</v>
      </c>
      <c r="BG308">
        <f t="shared" si="240"/>
        <v>-180.30638894500532</v>
      </c>
      <c r="BH308">
        <f t="shared" si="255"/>
        <v>-0.30638894500532388</v>
      </c>
      <c r="BI308">
        <f t="shared" si="256"/>
        <v>-0.30638894500532388</v>
      </c>
      <c r="BJ308">
        <f t="shared" si="241"/>
        <v>0</v>
      </c>
      <c r="BK308">
        <f t="shared" si="257"/>
        <v>0</v>
      </c>
      <c r="BM308">
        <f t="shared" si="258"/>
        <v>-49.259256493563591</v>
      </c>
      <c r="BN308">
        <f t="shared" si="242"/>
        <v>-116.96895520678922</v>
      </c>
      <c r="BQ308" s="66">
        <f t="shared" si="259"/>
        <v>27.248412314167858</v>
      </c>
      <c r="BR308" s="71"/>
      <c r="BS308" s="71"/>
      <c r="BT308" s="71">
        <v>95499.259000000005</v>
      </c>
      <c r="BU308" s="71">
        <v>5.7946099999999996</v>
      </c>
      <c r="BV308" s="71">
        <v>-129.63</v>
      </c>
      <c r="BY308" s="71"/>
      <c r="BZ308" s="71"/>
      <c r="CA308" s="71"/>
      <c r="CC308" s="71"/>
    </row>
    <row r="309" spans="1:81" x14ac:dyDescent="0.15">
      <c r="A309">
        <f t="shared" si="263"/>
        <v>475000</v>
      </c>
      <c r="B309">
        <f t="shared" si="243"/>
        <v>475</v>
      </c>
      <c r="C309">
        <f t="shared" si="212"/>
        <v>2.2090784729675632</v>
      </c>
      <c r="D309">
        <f t="shared" si="213"/>
        <v>1.1010305516818919</v>
      </c>
      <c r="F309">
        <f t="shared" si="214"/>
        <v>1.0260969573863181E-4</v>
      </c>
      <c r="G309">
        <f t="shared" si="215"/>
        <v>3.3180886271119785E-3</v>
      </c>
      <c r="H309">
        <f t="shared" si="216"/>
        <v>-3.1382745613728882</v>
      </c>
      <c r="J309">
        <f t="shared" si="217"/>
        <v>15</v>
      </c>
      <c r="M309">
        <f t="shared" si="218"/>
        <v>2.0063654998267425E-3</v>
      </c>
      <c r="N309">
        <f t="shared" si="219"/>
        <v>-1.5707963250000001</v>
      </c>
      <c r="O309">
        <f t="shared" si="220"/>
        <v>201.90478206390921</v>
      </c>
      <c r="P309">
        <f t="shared" si="221"/>
        <v>1.5658434768512588</v>
      </c>
      <c r="Q309">
        <f t="shared" si="222"/>
        <v>91.385291073629276</v>
      </c>
      <c r="R309">
        <f t="shared" si="223"/>
        <v>1.5598534283659713</v>
      </c>
      <c r="S309">
        <f t="shared" si="224"/>
        <v>0.47662739568515716</v>
      </c>
      <c r="T309">
        <f t="shared" si="225"/>
        <v>-1.073982026923695</v>
      </c>
      <c r="U309">
        <f t="shared" si="226"/>
        <v>0.26579357114707586</v>
      </c>
      <c r="V309">
        <f t="shared" si="227"/>
        <v>-1.3017693167810729</v>
      </c>
      <c r="X309">
        <f t="shared" si="244"/>
        <v>-35.947055360618691</v>
      </c>
      <c r="Y309">
        <f t="shared" si="228"/>
        <v>-163.7567681386497</v>
      </c>
      <c r="Z309">
        <f t="shared" si="245"/>
        <v>16.243231861350296</v>
      </c>
      <c r="AC309">
        <v>1</v>
      </c>
      <c r="AD309">
        <f t="shared" si="229"/>
        <v>201.90230563387502</v>
      </c>
      <c r="AE309">
        <f t="shared" si="230"/>
        <v>-9.0387008914134523E-2</v>
      </c>
      <c r="AF309">
        <f t="shared" si="231"/>
        <v>2.4920683696125004E-2</v>
      </c>
      <c r="AG309">
        <f t="shared" si="246"/>
        <v>562.07937160836434</v>
      </c>
      <c r="AH309">
        <f t="shared" si="247"/>
        <v>-2078.7821796426729</v>
      </c>
      <c r="AJ309">
        <f t="shared" si="232"/>
        <v>20000</v>
      </c>
      <c r="AK309">
        <f t="shared" si="233"/>
        <v>36888.580896300002</v>
      </c>
      <c r="AL309">
        <v>1</v>
      </c>
      <c r="AM309">
        <f t="shared" si="234"/>
        <v>91.379819569814998</v>
      </c>
      <c r="AN309">
        <f t="shared" si="248"/>
        <v>406.03061427236287</v>
      </c>
      <c r="AO309">
        <f t="shared" si="249"/>
        <v>-214.42337572966719</v>
      </c>
      <c r="AQ309">
        <f t="shared" si="235"/>
        <v>1.1080320132609272E-2</v>
      </c>
      <c r="AR309">
        <f t="shared" si="236"/>
        <v>-10.526304125978807</v>
      </c>
      <c r="AT309">
        <f t="shared" si="261"/>
        <v>-21875.665415206531</v>
      </c>
      <c r="AU309">
        <f t="shared" si="262"/>
        <v>-5939.6519805251046</v>
      </c>
      <c r="AV309">
        <f t="shared" si="250"/>
        <v>-2.876465862329443</v>
      </c>
      <c r="AW309">
        <f t="shared" si="251"/>
        <v>-1341.5752202874385</v>
      </c>
      <c r="AX309">
        <f t="shared" si="252"/>
        <v>-6822.7833577353176</v>
      </c>
      <c r="AY309">
        <f t="shared" si="260"/>
        <v>-1.7649510106200457</v>
      </c>
      <c r="BA309">
        <f t="shared" si="237"/>
        <v>3.2599291057341384</v>
      </c>
      <c r="BB309">
        <f t="shared" si="253"/>
        <v>10.26416310980512</v>
      </c>
      <c r="BC309">
        <f t="shared" si="254"/>
        <v>-1.1115148517093973</v>
      </c>
      <c r="BD309">
        <f t="shared" si="238"/>
        <v>-243.68510994182887</v>
      </c>
      <c r="BF309">
        <f t="shared" si="239"/>
        <v>-39.106020841238241</v>
      </c>
      <c r="BG309">
        <f t="shared" si="240"/>
        <v>-180.41059366881024</v>
      </c>
      <c r="BH309">
        <f t="shared" si="255"/>
        <v>-0.41059366881023607</v>
      </c>
      <c r="BI309">
        <f t="shared" si="256"/>
        <v>-0.41059366881023607</v>
      </c>
      <c r="BJ309">
        <f t="shared" si="241"/>
        <v>0</v>
      </c>
      <c r="BK309">
        <f t="shared" si="257"/>
        <v>0</v>
      </c>
      <c r="BM309">
        <f t="shared" si="258"/>
        <v>-49.370183951043359</v>
      </c>
      <c r="BN309">
        <f t="shared" si="242"/>
        <v>-116.72548372698138</v>
      </c>
      <c r="BQ309" s="66">
        <f t="shared" si="259"/>
        <v>27.166123910090256</v>
      </c>
      <c r="BR309" s="71"/>
      <c r="BS309" s="71"/>
      <c r="BT309" s="71">
        <v>97723.721999999994</v>
      </c>
      <c r="BU309" s="71">
        <v>5.9855799999999997</v>
      </c>
      <c r="BV309" s="71">
        <v>-129.62100000000001</v>
      </c>
      <c r="BY309" s="71"/>
      <c r="BZ309" s="71"/>
      <c r="CA309" s="71"/>
      <c r="CC309" s="71"/>
    </row>
    <row r="310" spans="1:81" x14ac:dyDescent="0.15">
      <c r="A310">
        <f t="shared" si="263"/>
        <v>480000</v>
      </c>
      <c r="B310">
        <f t="shared" si="243"/>
        <v>480</v>
      </c>
      <c r="C310">
        <f t="shared" si="212"/>
        <v>2.2275866792055323</v>
      </c>
      <c r="D310">
        <f t="shared" si="213"/>
        <v>1.1052441131812663</v>
      </c>
      <c r="F310">
        <f t="shared" si="214"/>
        <v>1.0048292190241546E-4</v>
      </c>
      <c r="G310">
        <f t="shared" si="215"/>
        <v>3.2835183570791562E-3</v>
      </c>
      <c r="H310">
        <f t="shared" si="216"/>
        <v>-3.138309131642921</v>
      </c>
      <c r="J310">
        <f t="shared" si="217"/>
        <v>15</v>
      </c>
      <c r="M310">
        <f t="shared" si="218"/>
        <v>1.9854658592035473E-3</v>
      </c>
      <c r="N310">
        <f t="shared" si="219"/>
        <v>-1.5707963250000001</v>
      </c>
      <c r="O310">
        <f t="shared" si="220"/>
        <v>204.03004369579952</v>
      </c>
      <c r="P310">
        <f t="shared" si="221"/>
        <v>1.5658950682075838</v>
      </c>
      <c r="Q310">
        <f t="shared" si="222"/>
        <v>92.347126919734194</v>
      </c>
      <c r="R310">
        <f t="shared" si="223"/>
        <v>1.5599674079333075</v>
      </c>
      <c r="S310">
        <f t="shared" si="224"/>
        <v>0.47277678851410093</v>
      </c>
      <c r="T310">
        <f t="shared" si="225"/>
        <v>-1.0783569949171821</v>
      </c>
      <c r="U310">
        <f t="shared" si="226"/>
        <v>0.26321765121911783</v>
      </c>
      <c r="V310">
        <f t="shared" si="227"/>
        <v>-1.3044403694693383</v>
      </c>
      <c r="X310">
        <f t="shared" si="244"/>
        <v>-36.120615666153022</v>
      </c>
      <c r="Y310">
        <f t="shared" si="228"/>
        <v>-163.91155031105356</v>
      </c>
      <c r="Z310">
        <f t="shared" si="245"/>
        <v>16.08844968894644</v>
      </c>
      <c r="AC310">
        <v>1</v>
      </c>
      <c r="AD310">
        <f t="shared" si="229"/>
        <v>204.02759306160002</v>
      </c>
      <c r="AE310">
        <f t="shared" si="230"/>
        <v>-9.2299908493369956E-2</v>
      </c>
      <c r="AF310">
        <f t="shared" si="231"/>
        <v>2.5183006682400002E-2</v>
      </c>
      <c r="AG310">
        <f t="shared" si="246"/>
        <v>551.23745789766588</v>
      </c>
      <c r="AH310">
        <f t="shared" si="247"/>
        <v>-2060.0862945539361</v>
      </c>
      <c r="AJ310">
        <f t="shared" si="232"/>
        <v>20000</v>
      </c>
      <c r="AK310">
        <f t="shared" si="233"/>
        <v>37276.881747840001</v>
      </c>
      <c r="AL310">
        <v>1</v>
      </c>
      <c r="AM310">
        <f t="shared" si="234"/>
        <v>92.341712407391995</v>
      </c>
      <c r="AN310">
        <f t="shared" si="248"/>
        <v>405.98198902706895</v>
      </c>
      <c r="AO310">
        <f t="shared" si="249"/>
        <v>-212.19032547856912</v>
      </c>
      <c r="AQ310">
        <f t="shared" si="235"/>
        <v>1.0850682670700227E-2</v>
      </c>
      <c r="AR310">
        <f t="shared" si="236"/>
        <v>-10.416655363872218</v>
      </c>
      <c r="AT310">
        <f t="shared" si="261"/>
        <v>-21453.22764747305</v>
      </c>
      <c r="AU310">
        <f t="shared" si="262"/>
        <v>-5764.4039652334704</v>
      </c>
      <c r="AV310">
        <f t="shared" si="250"/>
        <v>-2.8790962885616409</v>
      </c>
      <c r="AW310">
        <f t="shared" si="251"/>
        <v>-1304.6900626155443</v>
      </c>
      <c r="AX310">
        <f t="shared" si="252"/>
        <v>-6753.8013551517906</v>
      </c>
      <c r="AY310">
        <f t="shared" si="260"/>
        <v>-1.7616243516839565</v>
      </c>
      <c r="BA310">
        <f t="shared" si="237"/>
        <v>3.2294297864482178</v>
      </c>
      <c r="BB310">
        <f t="shared" si="253"/>
        <v>10.182516932935087</v>
      </c>
      <c r="BC310">
        <f t="shared" si="254"/>
        <v>-1.1174719368776844</v>
      </c>
      <c r="BD310">
        <f t="shared" si="238"/>
        <v>-244.02642578056171</v>
      </c>
      <c r="BF310">
        <f t="shared" si="239"/>
        <v>-39.297120537362431</v>
      </c>
      <c r="BG310">
        <f t="shared" si="240"/>
        <v>-180.51247094720603</v>
      </c>
      <c r="BH310">
        <f t="shared" si="255"/>
        <v>-0.51247094720602604</v>
      </c>
      <c r="BI310">
        <f t="shared" si="256"/>
        <v>-0.51247094720602604</v>
      </c>
      <c r="BJ310">
        <f t="shared" si="241"/>
        <v>0</v>
      </c>
      <c r="BK310">
        <f t="shared" si="257"/>
        <v>0</v>
      </c>
      <c r="BM310">
        <f t="shared" si="258"/>
        <v>-49.479637470297526</v>
      </c>
      <c r="BN310">
        <f t="shared" si="242"/>
        <v>-116.48604516664433</v>
      </c>
      <c r="BQ310" s="66">
        <f t="shared" si="259"/>
        <v>27.084477733220226</v>
      </c>
      <c r="BR310" s="71"/>
      <c r="BS310" s="71"/>
      <c r="BT310" s="71">
        <v>100000</v>
      </c>
      <c r="BU310" s="71">
        <v>6.1811499999999997</v>
      </c>
      <c r="BV310" s="71">
        <v>-129.59</v>
      </c>
      <c r="BY310" s="71"/>
      <c r="BZ310" s="71"/>
      <c r="CA310" s="71"/>
      <c r="CC310" s="71"/>
    </row>
    <row r="311" spans="1:81" x14ac:dyDescent="0.15">
      <c r="A311">
        <f t="shared" si="263"/>
        <v>485000</v>
      </c>
      <c r="B311">
        <f t="shared" si="243"/>
        <v>485</v>
      </c>
      <c r="C311">
        <f t="shared" si="212"/>
        <v>2.2461337820692284</v>
      </c>
      <c r="D311">
        <f t="shared" si="213"/>
        <v>1.1093881615793721</v>
      </c>
      <c r="F311">
        <f t="shared" si="214"/>
        <v>9.8421593240623738E-5</v>
      </c>
      <c r="G311">
        <f t="shared" si="215"/>
        <v>3.2496610846376598E-3</v>
      </c>
      <c r="H311">
        <f t="shared" si="216"/>
        <v>-3.1383429889153627</v>
      </c>
      <c r="J311">
        <f t="shared" si="217"/>
        <v>15</v>
      </c>
      <c r="M311">
        <f t="shared" si="218"/>
        <v>1.9649971390055727E-3</v>
      </c>
      <c r="N311">
        <f t="shared" si="219"/>
        <v>-1.5707963250000001</v>
      </c>
      <c r="O311">
        <f t="shared" si="220"/>
        <v>206.15530585955318</v>
      </c>
      <c r="P311">
        <f t="shared" si="221"/>
        <v>1.5659455958498949</v>
      </c>
      <c r="Q311">
        <f t="shared" si="222"/>
        <v>93.308963940818728</v>
      </c>
      <c r="R311">
        <f t="shared" si="223"/>
        <v>1.5600790376792251</v>
      </c>
      <c r="S311">
        <f t="shared" si="224"/>
        <v>0.46897913811429237</v>
      </c>
      <c r="T311">
        <f t="shared" si="225"/>
        <v>-1.0826617590349452</v>
      </c>
      <c r="U311">
        <f t="shared" si="226"/>
        <v>0.26068937407966686</v>
      </c>
      <c r="V311">
        <f t="shared" si="227"/>
        <v>-1.3070601281750793</v>
      </c>
      <c r="X311">
        <f t="shared" si="244"/>
        <v>-36.292521404398727</v>
      </c>
      <c r="Y311">
        <f t="shared" si="228"/>
        <v>-164.06350870570091</v>
      </c>
      <c r="Z311">
        <f t="shared" si="245"/>
        <v>15.936491294299088</v>
      </c>
      <c r="AC311">
        <v>1</v>
      </c>
      <c r="AD311">
        <f t="shared" si="229"/>
        <v>206.15288048932504</v>
      </c>
      <c r="AE311">
        <f t="shared" si="230"/>
        <v>-9.4232838434691615E-2</v>
      </c>
      <c r="AF311">
        <f t="shared" si="231"/>
        <v>2.5445329668675003E-2</v>
      </c>
      <c r="AG311">
        <f t="shared" si="246"/>
        <v>540.69874429749734</v>
      </c>
      <c r="AH311">
        <f t="shared" si="247"/>
        <v>-2041.6940196763398</v>
      </c>
      <c r="AJ311">
        <f t="shared" si="232"/>
        <v>20000</v>
      </c>
      <c r="AK311">
        <f t="shared" si="233"/>
        <v>37665.182599380001</v>
      </c>
      <c r="AL311">
        <v>1</v>
      </c>
      <c r="AM311">
        <f t="shared" si="234"/>
        <v>93.303605244969006</v>
      </c>
      <c r="AN311">
        <f t="shared" si="248"/>
        <v>405.9348596595691</v>
      </c>
      <c r="AO311">
        <f t="shared" si="249"/>
        <v>-210.0033014683209</v>
      </c>
      <c r="AQ311">
        <f t="shared" si="235"/>
        <v>1.0628110715154942E-2</v>
      </c>
      <c r="AR311">
        <f t="shared" si="236"/>
        <v>-10.309267393700294</v>
      </c>
      <c r="AT311">
        <f t="shared" si="261"/>
        <v>-21042.622978844236</v>
      </c>
      <c r="AU311">
        <f t="shared" si="262"/>
        <v>-5595.9072844884713</v>
      </c>
      <c r="AV311">
        <f t="shared" si="250"/>
        <v>-2.8816762584451534</v>
      </c>
      <c r="AW311">
        <f t="shared" si="251"/>
        <v>-1268.9666929649622</v>
      </c>
      <c r="AX311">
        <f t="shared" si="252"/>
        <v>-6686.185387534093</v>
      </c>
      <c r="AY311">
        <f t="shared" si="260"/>
        <v>-1.7583549425920917</v>
      </c>
      <c r="BA311">
        <f t="shared" si="237"/>
        <v>3.1994499216814694</v>
      </c>
      <c r="BB311">
        <f t="shared" si="253"/>
        <v>10.101506338187168</v>
      </c>
      <c r="BC311">
        <f t="shared" si="254"/>
        <v>-1.1233213158530617</v>
      </c>
      <c r="BD311">
        <f t="shared" si="238"/>
        <v>-244.36157050900636</v>
      </c>
      <c r="BF311">
        <f t="shared" si="239"/>
        <v>-39.486148264579413</v>
      </c>
      <c r="BG311">
        <f t="shared" si="240"/>
        <v>-180.61211907088887</v>
      </c>
      <c r="BH311">
        <f t="shared" si="255"/>
        <v>-0.61211907088886619</v>
      </c>
      <c r="BI311">
        <f t="shared" si="256"/>
        <v>-0.61211907088886619</v>
      </c>
      <c r="BJ311">
        <f t="shared" si="241"/>
        <v>0</v>
      </c>
      <c r="BK311">
        <f t="shared" si="257"/>
        <v>0</v>
      </c>
      <c r="BM311">
        <f t="shared" si="258"/>
        <v>-49.587654602766584</v>
      </c>
      <c r="BN311">
        <f t="shared" si="242"/>
        <v>-116.25054856188255</v>
      </c>
      <c r="BQ311" s="66">
        <f t="shared" si="259"/>
        <v>27.003467138472303</v>
      </c>
      <c r="BR311" s="71"/>
      <c r="BS311" s="71"/>
      <c r="BT311" s="71">
        <v>102329.299</v>
      </c>
      <c r="BU311" s="71">
        <v>6.3762999999999996</v>
      </c>
      <c r="BV311" s="71">
        <v>-129.61099999999999</v>
      </c>
      <c r="BY311" s="71"/>
      <c r="BZ311" s="71"/>
      <c r="CA311" s="71"/>
      <c r="CC311" s="71"/>
    </row>
    <row r="312" spans="1:81" x14ac:dyDescent="0.15">
      <c r="A312">
        <f t="shared" si="263"/>
        <v>490000</v>
      </c>
      <c r="B312">
        <f t="shared" si="243"/>
        <v>490</v>
      </c>
      <c r="C312">
        <f t="shared" si="212"/>
        <v>2.2647188259174165</v>
      </c>
      <c r="D312">
        <f t="shared" si="213"/>
        <v>1.1134642641156554</v>
      </c>
      <c r="F312">
        <f t="shared" si="214"/>
        <v>9.6423051782278371E-5</v>
      </c>
      <c r="G312">
        <f t="shared" si="215"/>
        <v>3.2164949749483459E-3</v>
      </c>
      <c r="H312">
        <f t="shared" si="216"/>
        <v>-3.138376155025052</v>
      </c>
      <c r="J312">
        <f t="shared" si="217"/>
        <v>15</v>
      </c>
      <c r="M312">
        <f t="shared" si="218"/>
        <v>1.9449461477912301E-3</v>
      </c>
      <c r="N312">
        <f t="shared" si="219"/>
        <v>-1.5707963250000001</v>
      </c>
      <c r="O312">
        <f t="shared" si="220"/>
        <v>208.2805685388891</v>
      </c>
      <c r="P312">
        <f t="shared" si="221"/>
        <v>1.5659950923398496</v>
      </c>
      <c r="Q312">
        <f t="shared" si="222"/>
        <v>94.270802100918218</v>
      </c>
      <c r="R312">
        <f t="shared" si="223"/>
        <v>1.5601883895260711</v>
      </c>
      <c r="S312">
        <f t="shared" si="224"/>
        <v>0.46523359578836393</v>
      </c>
      <c r="T312">
        <f t="shared" si="225"/>
        <v>-1.0868978398713545</v>
      </c>
      <c r="U312">
        <f t="shared" si="226"/>
        <v>0.25820748258596049</v>
      </c>
      <c r="V312">
        <f t="shared" si="227"/>
        <v>-1.309630021448132</v>
      </c>
      <c r="X312">
        <f t="shared" si="244"/>
        <v>-36.46280295796597</v>
      </c>
      <c r="Y312">
        <f t="shared" si="228"/>
        <v>-164.212717764454</v>
      </c>
      <c r="Z312">
        <f t="shared" si="245"/>
        <v>15.787282235546002</v>
      </c>
      <c r="AC312">
        <v>1</v>
      </c>
      <c r="AD312">
        <f t="shared" si="229"/>
        <v>208.27816791705004</v>
      </c>
      <c r="AE312">
        <f t="shared" si="230"/>
        <v>-9.6185798738099515E-2</v>
      </c>
      <c r="AF312">
        <f t="shared" si="231"/>
        <v>2.5707652654950005E-2</v>
      </c>
      <c r="AG312">
        <f t="shared" si="246"/>
        <v>530.45231535126106</v>
      </c>
      <c r="AH312">
        <f t="shared" si="247"/>
        <v>-2023.5989782022539</v>
      </c>
      <c r="AJ312">
        <f t="shared" si="232"/>
        <v>20000</v>
      </c>
      <c r="AK312">
        <f t="shared" si="233"/>
        <v>38053.483450920001</v>
      </c>
      <c r="AL312">
        <v>1</v>
      </c>
      <c r="AM312">
        <f t="shared" si="234"/>
        <v>94.265498082545989</v>
      </c>
      <c r="AN312">
        <f t="shared" si="248"/>
        <v>405.88916543773104</v>
      </c>
      <c r="AO312">
        <f t="shared" si="249"/>
        <v>-207.86089537663275</v>
      </c>
      <c r="AQ312">
        <f t="shared" si="235"/>
        <v>1.0412317354938198E-2</v>
      </c>
      <c r="AR312">
        <f t="shared" si="236"/>
        <v>-10.204071007839433</v>
      </c>
      <c r="AT312">
        <f t="shared" si="261"/>
        <v>-20643.424427118021</v>
      </c>
      <c r="AU312">
        <f t="shared" si="262"/>
        <v>-5433.8434468772739</v>
      </c>
      <c r="AV312">
        <f t="shared" si="250"/>
        <v>-2.8842071748889708</v>
      </c>
      <c r="AW312">
        <f t="shared" si="251"/>
        <v>-1234.3566986621381</v>
      </c>
      <c r="AX312">
        <f t="shared" si="252"/>
        <v>-6619.8955659640278</v>
      </c>
      <c r="AY312">
        <f t="shared" si="260"/>
        <v>-1.7551410102454688</v>
      </c>
      <c r="BA312">
        <f t="shared" si="237"/>
        <v>3.1699778699304422</v>
      </c>
      <c r="BB312">
        <f t="shared" si="253"/>
        <v>10.021124607127012</v>
      </c>
      <c r="BC312">
        <f t="shared" si="254"/>
        <v>-1.1290661646435021</v>
      </c>
      <c r="BD312">
        <f t="shared" si="238"/>
        <v>-244.69072609901554</v>
      </c>
      <c r="BF312">
        <f t="shared" si="239"/>
        <v>-39.673146951444068</v>
      </c>
      <c r="BG312">
        <f t="shared" si="240"/>
        <v>-180.70963146654984</v>
      </c>
      <c r="BH312">
        <f t="shared" si="255"/>
        <v>-0.70963146654983689</v>
      </c>
      <c r="BI312">
        <f t="shared" si="256"/>
        <v>-0.70963146654983689</v>
      </c>
      <c r="BJ312">
        <f t="shared" si="241"/>
        <v>0</v>
      </c>
      <c r="BK312">
        <f t="shared" si="257"/>
        <v>0</v>
      </c>
      <c r="BM312">
        <f t="shared" si="258"/>
        <v>-49.694271558571081</v>
      </c>
      <c r="BN312">
        <f t="shared" si="242"/>
        <v>-116.0189053675343</v>
      </c>
      <c r="BQ312" s="66">
        <f t="shared" si="259"/>
        <v>26.923085407412152</v>
      </c>
      <c r="BR312" s="71"/>
      <c r="BS312" s="71"/>
      <c r="BT312" s="71">
        <v>104712.855</v>
      </c>
      <c r="BU312" s="71">
        <v>6.5692300000000001</v>
      </c>
      <c r="BV312" s="71">
        <v>-129.61699999999999</v>
      </c>
      <c r="BY312" s="71"/>
      <c r="BZ312" s="71"/>
      <c r="CA312" s="71"/>
      <c r="CC312" s="71"/>
    </row>
    <row r="313" spans="1:81" x14ac:dyDescent="0.15">
      <c r="A313">
        <f t="shared" si="263"/>
        <v>495000</v>
      </c>
      <c r="B313">
        <f t="shared" si="243"/>
        <v>495</v>
      </c>
      <c r="C313">
        <f t="shared" si="212"/>
        <v>2.2833408842987857</v>
      </c>
      <c r="D313">
        <f t="shared" si="213"/>
        <v>1.1174739460905938</v>
      </c>
      <c r="F313">
        <f t="shared" si="214"/>
        <v>9.4484773140536318E-5</v>
      </c>
      <c r="G313">
        <f t="shared" si="215"/>
        <v>3.1839990758048106E-3</v>
      </c>
      <c r="H313">
        <f t="shared" si="216"/>
        <v>-3.1384086509241955</v>
      </c>
      <c r="J313">
        <f t="shared" si="217"/>
        <v>15</v>
      </c>
      <c r="M313">
        <f t="shared" si="218"/>
        <v>1.9253002271064701E-3</v>
      </c>
      <c r="N313">
        <f t="shared" si="219"/>
        <v>-1.5707963250000001</v>
      </c>
      <c r="O313">
        <f t="shared" si="220"/>
        <v>210.40583171818392</v>
      </c>
      <c r="P313">
        <f t="shared" si="221"/>
        <v>1.5660435889235329</v>
      </c>
      <c r="Q313">
        <f t="shared" si="222"/>
        <v>95.232641365520919</v>
      </c>
      <c r="R313">
        <f t="shared" si="223"/>
        <v>1.5602955324907848</v>
      </c>
      <c r="S313">
        <f t="shared" si="224"/>
        <v>0.46153932148790533</v>
      </c>
      <c r="T313">
        <f t="shared" si="225"/>
        <v>-1.0910667197469426</v>
      </c>
      <c r="U313">
        <f t="shared" si="226"/>
        <v>0.25577076137947957</v>
      </c>
      <c r="V313">
        <f t="shared" si="227"/>
        <v>-1.3121514266047045</v>
      </c>
      <c r="X313">
        <f t="shared" si="244"/>
        <v>-36.631489897130344</v>
      </c>
      <c r="Y313">
        <f t="shared" si="228"/>
        <v>-164.35924939497409</v>
      </c>
      <c r="Z313">
        <f t="shared" si="245"/>
        <v>15.640750605025914</v>
      </c>
      <c r="AC313">
        <v>1</v>
      </c>
      <c r="AD313">
        <f t="shared" si="229"/>
        <v>210.40345534477501</v>
      </c>
      <c r="AE313">
        <f t="shared" si="230"/>
        <v>-9.8158789403593655E-2</v>
      </c>
      <c r="AF313">
        <f t="shared" si="231"/>
        <v>2.5969975641224999E-2</v>
      </c>
      <c r="AG313">
        <f t="shared" si="246"/>
        <v>520.48772885069786</v>
      </c>
      <c r="AH313">
        <f t="shared" si="247"/>
        <v>-2005.794925765025</v>
      </c>
      <c r="AJ313">
        <f t="shared" si="232"/>
        <v>20000</v>
      </c>
      <c r="AK313">
        <f t="shared" si="233"/>
        <v>38441.784302460001</v>
      </c>
      <c r="AL313">
        <v>1</v>
      </c>
      <c r="AM313">
        <f t="shared" si="234"/>
        <v>95.227390920123</v>
      </c>
      <c r="AN313">
        <f t="shared" si="248"/>
        <v>405.844848680447</v>
      </c>
      <c r="AO313">
        <f t="shared" si="249"/>
        <v>-205.76175575108624</v>
      </c>
      <c r="AQ313">
        <f t="shared" si="235"/>
        <v>1.0203030095877873E-2</v>
      </c>
      <c r="AR313">
        <f t="shared" si="236"/>
        <v>-10.100999794919096</v>
      </c>
      <c r="AT313">
        <f t="shared" si="261"/>
        <v>-20255.223581840281</v>
      </c>
      <c r="AU313">
        <f t="shared" si="262"/>
        <v>-5277.9116283725443</v>
      </c>
      <c r="AV313">
        <f t="shared" si="250"/>
        <v>-2.8866903906044001</v>
      </c>
      <c r="AW313">
        <f t="shared" si="251"/>
        <v>-1200.8141661946565</v>
      </c>
      <c r="AX313">
        <f t="shared" si="252"/>
        <v>-6554.8935350476986</v>
      </c>
      <c r="AY313">
        <f t="shared" si="260"/>
        <v>-1.7519808525710463</v>
      </c>
      <c r="BA313">
        <f t="shared" si="237"/>
        <v>3.1410022553943659</v>
      </c>
      <c r="BB313">
        <f t="shared" si="253"/>
        <v>9.9413649648690203</v>
      </c>
      <c r="BC313">
        <f t="shared" si="254"/>
        <v>-1.1347095380333538</v>
      </c>
      <c r="BD313">
        <f t="shared" si="238"/>
        <v>-245.01406757683995</v>
      </c>
      <c r="BF313">
        <f t="shared" si="239"/>
        <v>-39.858158301265526</v>
      </c>
      <c r="BG313">
        <f t="shared" si="240"/>
        <v>-180.80509696763261</v>
      </c>
      <c r="BH313">
        <f t="shared" si="255"/>
        <v>-0.80509696763260763</v>
      </c>
      <c r="BI313">
        <f t="shared" si="256"/>
        <v>-0.80509696763260763</v>
      </c>
      <c r="BJ313">
        <f t="shared" si="241"/>
        <v>0</v>
      </c>
      <c r="BK313">
        <f t="shared" si="257"/>
        <v>0</v>
      </c>
      <c r="BM313">
        <f t="shared" si="258"/>
        <v>-49.799523266134543</v>
      </c>
      <c r="BN313">
        <f t="shared" si="242"/>
        <v>-115.79102939079269</v>
      </c>
      <c r="BQ313" s="66">
        <f t="shared" si="259"/>
        <v>26.843325765154159</v>
      </c>
      <c r="BR313" s="71"/>
      <c r="BS313" s="71"/>
      <c r="BT313" s="71">
        <v>107151.931</v>
      </c>
      <c r="BU313" s="71">
        <v>6.77081</v>
      </c>
      <c r="BV313" s="71">
        <v>-129.57599999999999</v>
      </c>
      <c r="BY313" s="71"/>
      <c r="BZ313" s="71"/>
      <c r="CA313" s="71"/>
      <c r="CC313" s="71"/>
    </row>
    <row r="314" spans="1:81" x14ac:dyDescent="0.15">
      <c r="A314">
        <f t="shared" si="263"/>
        <v>500000</v>
      </c>
      <c r="B314">
        <f t="shared" si="243"/>
        <v>500</v>
      </c>
      <c r="C314">
        <f t="shared" si="212"/>
        <v>2.3019990589245301</v>
      </c>
      <c r="D314">
        <f t="shared" si="213"/>
        <v>1.1214186920441729</v>
      </c>
      <c r="F314">
        <f t="shared" si="214"/>
        <v>9.2604358536299441E-5</v>
      </c>
      <c r="G314">
        <f t="shared" si="215"/>
        <v>3.1521532734771029E-3</v>
      </c>
      <c r="H314">
        <f t="shared" si="216"/>
        <v>-3.1384404967265231</v>
      </c>
      <c r="J314">
        <f t="shared" si="217"/>
        <v>15</v>
      </c>
      <c r="M314">
        <f t="shared" si="218"/>
        <v>1.9060472248354054E-3</v>
      </c>
      <c r="N314">
        <f t="shared" si="219"/>
        <v>-1.5707963250000001</v>
      </c>
      <c r="O314">
        <f t="shared" si="220"/>
        <v>212.53109538243922</v>
      </c>
      <c r="P314">
        <f t="shared" si="221"/>
        <v>1.5660911155972341</v>
      </c>
      <c r="Q314">
        <f t="shared" si="222"/>
        <v>96.194481701495391</v>
      </c>
      <c r="R314">
        <f t="shared" si="223"/>
        <v>1.5604005328301347</v>
      </c>
      <c r="S314">
        <f t="shared" si="224"/>
        <v>0.45789548427776555</v>
      </c>
      <c r="T314">
        <f t="shared" si="225"/>
        <v>-1.0951698436695385</v>
      </c>
      <c r="U314">
        <f t="shared" si="226"/>
        <v>0.25337803526695479</v>
      </c>
      <c r="V314">
        <f t="shared" si="227"/>
        <v>-1.3146256719410534</v>
      </c>
      <c r="X314">
        <f t="shared" si="244"/>
        <v>-36.79861100810664</v>
      </c>
      <c r="Y314">
        <f t="shared" si="228"/>
        <v>-164.5031730755428</v>
      </c>
      <c r="Z314">
        <f t="shared" si="245"/>
        <v>15.496826924457196</v>
      </c>
      <c r="AC314">
        <v>1</v>
      </c>
      <c r="AD314">
        <f t="shared" si="229"/>
        <v>212.52874277250004</v>
      </c>
      <c r="AE314">
        <f t="shared" si="230"/>
        <v>-0.10015181043117402</v>
      </c>
      <c r="AF314">
        <f t="shared" si="231"/>
        <v>2.6232298627500001E-2</v>
      </c>
      <c r="AG314">
        <f t="shared" si="246"/>
        <v>510.79499220011991</v>
      </c>
      <c r="AH314">
        <f t="shared" si="247"/>
        <v>-1988.2757500077346</v>
      </c>
      <c r="AJ314">
        <f t="shared" si="232"/>
        <v>20000</v>
      </c>
      <c r="AK314">
        <f t="shared" si="233"/>
        <v>38830.085154</v>
      </c>
      <c r="AL314">
        <v>1</v>
      </c>
      <c r="AM314">
        <f t="shared" si="234"/>
        <v>96.189283757699997</v>
      </c>
      <c r="AN314">
        <f t="shared" si="248"/>
        <v>405.80185457554006</v>
      </c>
      <c r="AO314">
        <f t="shared" si="249"/>
        <v>-203.70458516753362</v>
      </c>
      <c r="AQ314">
        <f t="shared" si="235"/>
        <v>9.9999900000099992E-3</v>
      </c>
      <c r="AR314">
        <f t="shared" si="236"/>
        <v>-9.9999900000099995</v>
      </c>
      <c r="AT314">
        <f t="shared" si="261"/>
        <v>-19877.629672525673</v>
      </c>
      <c r="AU314">
        <f t="shared" si="262"/>
        <v>-5127.827551673724</v>
      </c>
      <c r="AV314">
        <f t="shared" si="250"/>
        <v>-2.8891272102669454</v>
      </c>
      <c r="AW314">
        <f t="shared" si="251"/>
        <v>-1168.2955279423329</v>
      </c>
      <c r="AX314">
        <f t="shared" si="252"/>
        <v>-6491.1423997783404</v>
      </c>
      <c r="AY314">
        <f t="shared" si="260"/>
        <v>-1.7488728351110108</v>
      </c>
      <c r="BA314">
        <f t="shared" si="237"/>
        <v>3.1125119661507585</v>
      </c>
      <c r="BB314">
        <f t="shared" si="253"/>
        <v>9.8622205953176501</v>
      </c>
      <c r="BC314">
        <f t="shared" si="254"/>
        <v>-1.1402543751559346</v>
      </c>
      <c r="BD314">
        <f t="shared" si="238"/>
        <v>-245.33176334241432</v>
      </c>
      <c r="BF314">
        <f t="shared" si="239"/>
        <v>-40.041222833377091</v>
      </c>
      <c r="BG314">
        <f t="shared" si="240"/>
        <v>-180.89860006862801</v>
      </c>
      <c r="BH314">
        <f t="shared" si="255"/>
        <v>-0.89860006862801356</v>
      </c>
      <c r="BI314">
        <f t="shared" si="256"/>
        <v>-0.89860006862801356</v>
      </c>
      <c r="BJ314">
        <f t="shared" si="241"/>
        <v>0</v>
      </c>
      <c r="BK314">
        <f t="shared" si="257"/>
        <v>0</v>
      </c>
      <c r="BM314">
        <f t="shared" si="258"/>
        <v>-49.903443428694743</v>
      </c>
      <c r="BN314">
        <f t="shared" si="242"/>
        <v>-115.56683672621369</v>
      </c>
      <c r="BQ314" s="66">
        <f t="shared" si="259"/>
        <v>26.76418139560279</v>
      </c>
      <c r="BR314" s="71"/>
      <c r="BS314" s="71"/>
      <c r="BT314" s="71">
        <v>109647.82</v>
      </c>
      <c r="BU314" s="71">
        <v>6.9849899999999998</v>
      </c>
      <c r="BV314" s="71">
        <v>-129.52799999999999</v>
      </c>
      <c r="BY314" s="71"/>
      <c r="BZ314" s="71"/>
      <c r="CA314" s="71"/>
      <c r="CC314" s="71"/>
    </row>
    <row r="315" spans="1:81" x14ac:dyDescent="0.15">
      <c r="A315">
        <f t="shared" si="263"/>
        <v>505000</v>
      </c>
      <c r="B315">
        <f t="shared" si="243"/>
        <v>505</v>
      </c>
      <c r="C315">
        <f t="shared" si="212"/>
        <v>2.3206924786800038</v>
      </c>
      <c r="D315">
        <f t="shared" si="213"/>
        <v>1.1252999469070244</v>
      </c>
      <c r="F315">
        <f t="shared" si="214"/>
        <v>9.0779527372014446E-5</v>
      </c>
      <c r="G315">
        <f t="shared" si="215"/>
        <v>3.1209382511802673E-3</v>
      </c>
      <c r="H315">
        <f t="shared" si="216"/>
        <v>-3.1384717117488199</v>
      </c>
      <c r="J315">
        <f t="shared" si="217"/>
        <v>15</v>
      </c>
      <c r="M315">
        <f t="shared" si="218"/>
        <v>1.887175470134065E-3</v>
      </c>
      <c r="N315">
        <f t="shared" si="219"/>
        <v>-1.5707963250000001</v>
      </c>
      <c r="O315">
        <f t="shared" si="220"/>
        <v>214.65635951725054</v>
      </c>
      <c r="P315">
        <f t="shared" si="221"/>
        <v>1.5661377011693143</v>
      </c>
      <c r="Q315">
        <f t="shared" si="222"/>
        <v>97.156323077022122</v>
      </c>
      <c r="R315">
        <f t="shared" si="223"/>
        <v>1.5605034541773324</v>
      </c>
      <c r="S315">
        <f t="shared" si="224"/>
        <v>0.45430126274346772</v>
      </c>
      <c r="T315">
        <f t="shared" si="225"/>
        <v>-1.0992086202800619</v>
      </c>
      <c r="U315">
        <f t="shared" si="226"/>
        <v>0.2510281676697641</v>
      </c>
      <c r="V315">
        <f t="shared" si="227"/>
        <v>-1.3170540388369238</v>
      </c>
      <c r="X315">
        <f t="shared" si="244"/>
        <v>-36.96419432011777</v>
      </c>
      <c r="Y315">
        <f t="shared" si="228"/>
        <v>-164.64455595482258</v>
      </c>
      <c r="Z315">
        <f t="shared" si="245"/>
        <v>15.355444045177421</v>
      </c>
      <c r="AC315">
        <v>1</v>
      </c>
      <c r="AD315">
        <f t="shared" si="229"/>
        <v>214.65403020022504</v>
      </c>
      <c r="AE315">
        <f t="shared" si="230"/>
        <v>-0.10216486182084061</v>
      </c>
      <c r="AF315">
        <f t="shared" si="231"/>
        <v>2.6494621613775002E-2</v>
      </c>
      <c r="AG315">
        <f t="shared" si="246"/>
        <v>501.36454009479849</v>
      </c>
      <c r="AH315">
        <f t="shared" si="247"/>
        <v>-1971.0354698367676</v>
      </c>
      <c r="AJ315">
        <f t="shared" si="232"/>
        <v>20000</v>
      </c>
      <c r="AK315">
        <f t="shared" si="233"/>
        <v>39218.38600554</v>
      </c>
      <c r="AL315">
        <v>1</v>
      </c>
      <c r="AM315">
        <f t="shared" si="234"/>
        <v>97.151176595276993</v>
      </c>
      <c r="AN315">
        <f t="shared" si="248"/>
        <v>405.76013101022579</v>
      </c>
      <c r="AO315">
        <f t="shared" si="249"/>
        <v>-201.6881375571765</v>
      </c>
      <c r="AQ315">
        <f t="shared" si="235"/>
        <v>9.8029508842751838E-3</v>
      </c>
      <c r="AR315">
        <f t="shared" si="236"/>
        <v>-9.900980393117937</v>
      </c>
      <c r="AT315">
        <f t="shared" si="261"/>
        <v>-19510.268689032167</v>
      </c>
      <c r="AU315">
        <f t="shared" si="262"/>
        <v>-4983.3224451851656</v>
      </c>
      <c r="AV315">
        <f t="shared" si="250"/>
        <v>-2.8915188925710313</v>
      </c>
      <c r="AW315">
        <f t="shared" si="251"/>
        <v>-1136.7594197561268</v>
      </c>
      <c r="AX315">
        <f t="shared" si="252"/>
        <v>-6428.60665657544</v>
      </c>
      <c r="AY315">
        <f t="shared" si="260"/>
        <v>-1.7458153877984035</v>
      </c>
      <c r="BA315">
        <f t="shared" si="237"/>
        <v>3.0844961517161158</v>
      </c>
      <c r="BB315">
        <f t="shared" si="253"/>
        <v>9.7836846549035883</v>
      </c>
      <c r="BC315">
        <f t="shared" si="254"/>
        <v>-1.1457035047726278</v>
      </c>
      <c r="BD315">
        <f t="shared" si="238"/>
        <v>-245.64397547182733</v>
      </c>
      <c r="BF315">
        <f t="shared" si="239"/>
        <v>-40.222379922984686</v>
      </c>
      <c r="BG315">
        <f t="shared" si="240"/>
        <v>-180.99022116396793</v>
      </c>
      <c r="BH315">
        <f t="shared" si="255"/>
        <v>-0.99022116396793081</v>
      </c>
      <c r="BI315">
        <f t="shared" si="256"/>
        <v>-0.99022116396793081</v>
      </c>
      <c r="BJ315">
        <f t="shared" si="241"/>
        <v>0</v>
      </c>
      <c r="BK315">
        <f t="shared" si="257"/>
        <v>0</v>
      </c>
      <c r="BM315">
        <f t="shared" si="258"/>
        <v>-50.006064577888274</v>
      </c>
      <c r="BN315">
        <f t="shared" si="242"/>
        <v>-115.34624569214064</v>
      </c>
      <c r="BQ315" s="66">
        <f t="shared" si="259"/>
        <v>26.685645455188727</v>
      </c>
      <c r="BR315" s="71"/>
      <c r="BS315" s="71"/>
      <c r="BT315" s="71">
        <v>112201.845</v>
      </c>
      <c r="BU315" s="71">
        <v>7.2120699999999998</v>
      </c>
      <c r="BV315" s="71">
        <v>-129.44300000000001</v>
      </c>
      <c r="BY315" s="71"/>
      <c r="BZ315" s="71"/>
      <c r="CA315" s="71"/>
      <c r="CC315" s="71"/>
    </row>
    <row r="316" spans="1:81" x14ac:dyDescent="0.15">
      <c r="A316">
        <f t="shared" si="263"/>
        <v>510000</v>
      </c>
      <c r="B316">
        <f t="shared" si="243"/>
        <v>510</v>
      </c>
      <c r="C316">
        <f t="shared" si="212"/>
        <v>2.3394202986739927</v>
      </c>
      <c r="D316">
        <f t="shared" si="213"/>
        <v>1.1291191171240582</v>
      </c>
      <c r="F316">
        <f t="shared" si="214"/>
        <v>8.9008110312713539E-5</v>
      </c>
      <c r="G316">
        <f t="shared" si="215"/>
        <v>3.0903354499874462E-3</v>
      </c>
      <c r="H316">
        <f t="shared" si="216"/>
        <v>-3.1385023145500126</v>
      </c>
      <c r="J316">
        <f t="shared" si="217"/>
        <v>15</v>
      </c>
      <c r="M316">
        <f t="shared" si="218"/>
        <v>1.868673749838633E-3</v>
      </c>
      <c r="N316">
        <f t="shared" si="219"/>
        <v>-1.5707963250000001</v>
      </c>
      <c r="O316">
        <f t="shared" si="220"/>
        <v>216.78162410877826</v>
      </c>
      <c r="P316">
        <f t="shared" si="221"/>
        <v>1.5661833733184356</v>
      </c>
      <c r="Q316">
        <f t="shared" si="222"/>
        <v>98.118165461529259</v>
      </c>
      <c r="R316">
        <f t="shared" si="223"/>
        <v>1.5606043576706097</v>
      </c>
      <c r="S316">
        <f t="shared" si="224"/>
        <v>0.45075584534620988</v>
      </c>
      <c r="T316">
        <f t="shared" si="225"/>
        <v>-1.1031844227821861</v>
      </c>
      <c r="U316">
        <f t="shared" si="226"/>
        <v>0.24872005913884632</v>
      </c>
      <c r="V316">
        <f t="shared" si="227"/>
        <v>-1.3194377637548735</v>
      </c>
      <c r="X316">
        <f t="shared" si="244"/>
        <v>-37.128267131318886</v>
      </c>
      <c r="Y316">
        <f t="shared" si="228"/>
        <v>-164.78346294683186</v>
      </c>
      <c r="Z316">
        <f t="shared" si="245"/>
        <v>15.216537053168139</v>
      </c>
      <c r="AC316">
        <v>1</v>
      </c>
      <c r="AD316">
        <f t="shared" si="229"/>
        <v>216.77931762795001</v>
      </c>
      <c r="AE316">
        <f t="shared" si="230"/>
        <v>-0.10419794357259342</v>
      </c>
      <c r="AF316">
        <f t="shared" si="231"/>
        <v>2.6756944600050004E-2</v>
      </c>
      <c r="AG316">
        <f t="shared" si="246"/>
        <v>492.18721343463704</v>
      </c>
      <c r="AH316">
        <f t="shared" si="247"/>
        <v>-1954.0682344020925</v>
      </c>
      <c r="AJ316">
        <f t="shared" si="232"/>
        <v>20000</v>
      </c>
      <c r="AK316">
        <f t="shared" si="233"/>
        <v>39606.68685708</v>
      </c>
      <c r="AL316">
        <v>1</v>
      </c>
      <c r="AM316">
        <f t="shared" si="234"/>
        <v>98.113069432854005</v>
      </c>
      <c r="AN316">
        <f t="shared" si="248"/>
        <v>405.71962841314638</v>
      </c>
      <c r="AO316">
        <f t="shared" si="249"/>
        <v>-199.71121569075629</v>
      </c>
      <c r="AQ316">
        <f t="shared" si="235"/>
        <v>9.6116785739344731E-3</v>
      </c>
      <c r="AR316">
        <f t="shared" si="236"/>
        <v>-9.8039121454131628</v>
      </c>
      <c r="AT316">
        <f t="shared" si="261"/>
        <v>-19152.782550926993</v>
      </c>
      <c r="AU316">
        <f t="shared" si="262"/>
        <v>-4844.1420753895081</v>
      </c>
      <c r="AV316">
        <f t="shared" si="250"/>
        <v>-2.8938666521834753</v>
      </c>
      <c r="AW316">
        <f t="shared" si="251"/>
        <v>-1106.1665485174228</v>
      </c>
      <c r="AX316">
        <f t="shared" si="252"/>
        <v>-6367.252128221071</v>
      </c>
      <c r="AY316">
        <f t="shared" si="260"/>
        <v>-1.7428070019080155</v>
      </c>
      <c r="BA316">
        <f t="shared" si="237"/>
        <v>3.0569442200839623</v>
      </c>
      <c r="BB316">
        <f t="shared" si="253"/>
        <v>9.7057502849519359</v>
      </c>
      <c r="BC316">
        <f t="shared" si="254"/>
        <v>-1.1510596502754598</v>
      </c>
      <c r="BD316">
        <f t="shared" si="238"/>
        <v>-245.95086000394824</v>
      </c>
      <c r="BF316">
        <f t="shared" si="239"/>
        <v>-40.401667839628566</v>
      </c>
      <c r="BG316">
        <f t="shared" si="240"/>
        <v>-181.08003677251233</v>
      </c>
      <c r="BH316">
        <f t="shared" si="255"/>
        <v>-1.0800367725123294</v>
      </c>
      <c r="BI316">
        <f t="shared" si="256"/>
        <v>-1.0800367725123294</v>
      </c>
      <c r="BJ316">
        <f t="shared" si="241"/>
        <v>0</v>
      </c>
      <c r="BK316">
        <f t="shared" si="257"/>
        <v>0</v>
      </c>
      <c r="BM316">
        <f t="shared" si="258"/>
        <v>-50.107418124580498</v>
      </c>
      <c r="BN316">
        <f t="shared" si="242"/>
        <v>-115.12917676856412</v>
      </c>
      <c r="BQ316" s="66">
        <f t="shared" si="259"/>
        <v>26.607711085237074</v>
      </c>
      <c r="BR316" s="71"/>
      <c r="BS316" s="71"/>
      <c r="BT316" s="71">
        <v>114815.36199999999</v>
      </c>
      <c r="BU316" s="71">
        <v>7.47248</v>
      </c>
      <c r="BV316" s="71">
        <v>-129.58500000000001</v>
      </c>
      <c r="BY316" s="71"/>
      <c r="BZ316" s="71"/>
      <c r="CA316" s="71"/>
      <c r="CC316" s="71"/>
    </row>
    <row r="317" spans="1:81" x14ac:dyDescent="0.15">
      <c r="A317">
        <f t="shared" si="263"/>
        <v>515000</v>
      </c>
      <c r="B317">
        <f t="shared" si="243"/>
        <v>515</v>
      </c>
      <c r="C317">
        <f t="shared" si="212"/>
        <v>2.3581816993241524</v>
      </c>
      <c r="D317">
        <f t="shared" si="213"/>
        <v>1.1328775717505124</v>
      </c>
      <c r="F317">
        <f t="shared" si="214"/>
        <v>8.7288042835081234E-5</v>
      </c>
      <c r="G317">
        <f t="shared" si="215"/>
        <v>3.0603270320212995E-3</v>
      </c>
      <c r="H317">
        <f t="shared" si="216"/>
        <v>-3.1385323229679791</v>
      </c>
      <c r="J317">
        <f t="shared" si="217"/>
        <v>15</v>
      </c>
      <c r="M317">
        <f t="shared" si="218"/>
        <v>1.8505312862479666E-3</v>
      </c>
      <c r="N317">
        <f t="shared" si="219"/>
        <v>-1.5707963250000001</v>
      </c>
      <c r="O317">
        <f t="shared" si="220"/>
        <v>218.90688914372032</v>
      </c>
      <c r="P317">
        <f t="shared" si="221"/>
        <v>1.5662281586483993</v>
      </c>
      <c r="Q317">
        <f t="shared" si="222"/>
        <v>99.080008825632078</v>
      </c>
      <c r="R317">
        <f t="shared" si="223"/>
        <v>1.5607033020743093</v>
      </c>
      <c r="S317">
        <f t="shared" si="224"/>
        <v>0.44725843072961602</v>
      </c>
      <c r="T317">
        <f t="shared" si="225"/>
        <v>-1.1070985898552157</v>
      </c>
      <c r="U317">
        <f t="shared" si="226"/>
        <v>0.24645264593234684</v>
      </c>
      <c r="V317">
        <f t="shared" si="227"/>
        <v>-1.321778040141226</v>
      </c>
      <c r="X317">
        <f t="shared" si="244"/>
        <v>-37.290856033634007</v>
      </c>
      <c r="Y317">
        <f t="shared" si="228"/>
        <v>-164.91995682139631</v>
      </c>
      <c r="Z317">
        <f t="shared" si="245"/>
        <v>15.080043178603688</v>
      </c>
      <c r="AC317">
        <v>1</v>
      </c>
      <c r="AD317">
        <f t="shared" si="229"/>
        <v>218.90460505567503</v>
      </c>
      <c r="AE317">
        <f t="shared" si="230"/>
        <v>-0.10625105568643249</v>
      </c>
      <c r="AF317">
        <f t="shared" si="231"/>
        <v>2.7019267586325002E-2</v>
      </c>
      <c r="AG317">
        <f t="shared" si="246"/>
        <v>483.25423939918778</v>
      </c>
      <c r="AH317">
        <f t="shared" si="247"/>
        <v>-1937.3683218416029</v>
      </c>
      <c r="AJ317">
        <f t="shared" si="232"/>
        <v>20000</v>
      </c>
      <c r="AK317">
        <f t="shared" si="233"/>
        <v>39994.987708619999</v>
      </c>
      <c r="AL317">
        <v>1</v>
      </c>
      <c r="AM317">
        <f t="shared" si="234"/>
        <v>99.074962270431001</v>
      </c>
      <c r="AN317">
        <f t="shared" si="248"/>
        <v>405.680299607086</v>
      </c>
      <c r="AO317">
        <f t="shared" si="249"/>
        <v>-197.7726688091897</v>
      </c>
      <c r="AQ317">
        <f t="shared" si="235"/>
        <v>9.4259502064754398E-3</v>
      </c>
      <c r="AR317">
        <f t="shared" si="236"/>
        <v>-9.7087287126697017</v>
      </c>
      <c r="AT317">
        <f t="shared" si="261"/>
        <v>-18804.82832288264</v>
      </c>
      <c r="AU317">
        <f t="shared" si="262"/>
        <v>-4710.0458469075338</v>
      </c>
      <c r="AV317">
        <f t="shared" si="250"/>
        <v>-2.8961716616012594</v>
      </c>
      <c r="AW317">
        <f t="shared" si="251"/>
        <v>-1076.479568887401</v>
      </c>
      <c r="AX317">
        <f t="shared" si="252"/>
        <v>-6307.045902435947</v>
      </c>
      <c r="AY317">
        <f t="shared" si="260"/>
        <v>-1.7398462271721649</v>
      </c>
      <c r="BA317">
        <f t="shared" si="237"/>
        <v>3.0298458343215584</v>
      </c>
      <c r="BB317">
        <f t="shared" si="253"/>
        <v>9.6284106228065767</v>
      </c>
      <c r="BC317">
        <f t="shared" si="254"/>
        <v>-1.1563254344290945</v>
      </c>
      <c r="BD317">
        <f t="shared" si="238"/>
        <v>-246.25256721212313</v>
      </c>
      <c r="BF317">
        <f t="shared" si="239"/>
        <v>-40.579123784295533</v>
      </c>
      <c r="BG317">
        <f t="shared" si="240"/>
        <v>-181.16811974855523</v>
      </c>
      <c r="BH317">
        <f t="shared" si="255"/>
        <v>-1.1681197485552275</v>
      </c>
      <c r="BI317">
        <f t="shared" si="256"/>
        <v>-1.1681197485552275</v>
      </c>
      <c r="BJ317">
        <f t="shared" si="241"/>
        <v>0</v>
      </c>
      <c r="BK317">
        <f t="shared" si="257"/>
        <v>0</v>
      </c>
      <c r="BM317">
        <f t="shared" si="258"/>
        <v>-50.207534407102116</v>
      </c>
      <c r="BN317">
        <f t="shared" si="242"/>
        <v>-114.91555253643212</v>
      </c>
      <c r="BQ317" s="66">
        <f t="shared" si="259"/>
        <v>26.530371423091715</v>
      </c>
      <c r="BR317" s="71"/>
      <c r="BS317" s="71"/>
      <c r="BT317" s="71">
        <v>117489.755</v>
      </c>
      <c r="BU317" s="71">
        <v>7.6753600000000004</v>
      </c>
      <c r="BV317" s="71">
        <v>-129.61699999999999</v>
      </c>
      <c r="BY317" s="71"/>
      <c r="BZ317" s="71"/>
      <c r="CA317" s="71"/>
      <c r="CC317" s="71"/>
    </row>
    <row r="318" spans="1:81" x14ac:dyDescent="0.15">
      <c r="A318">
        <f t="shared" si="263"/>
        <v>520000</v>
      </c>
      <c r="B318">
        <f t="shared" si="243"/>
        <v>520</v>
      </c>
      <c r="C318">
        <f t="shared" si="212"/>
        <v>2.3769758854772247</v>
      </c>
      <c r="D318">
        <f t="shared" si="213"/>
        <v>1.1365766435204558</v>
      </c>
      <c r="F318">
        <f t="shared" si="214"/>
        <v>8.5617359208711418E-5</v>
      </c>
      <c r="G318">
        <f t="shared" si="215"/>
        <v>3.0308958457702703E-3</v>
      </c>
      <c r="H318">
        <f t="shared" si="216"/>
        <v>-3.1385617541542299</v>
      </c>
      <c r="J318">
        <f t="shared" si="217"/>
        <v>15</v>
      </c>
      <c r="M318">
        <f t="shared" si="218"/>
        <v>1.8327377161878899E-3</v>
      </c>
      <c r="N318">
        <f t="shared" si="219"/>
        <v>-1.5707963250000001</v>
      </c>
      <c r="O318">
        <f t="shared" si="220"/>
        <v>221.03215460928612</v>
      </c>
      <c r="P318">
        <f t="shared" si="221"/>
        <v>1.5662720827398184</v>
      </c>
      <c r="Q318">
        <f t="shared" si="222"/>
        <v>100.04185314107586</v>
      </c>
      <c r="R318">
        <f t="shared" si="223"/>
        <v>1.5608003438929909</v>
      </c>
      <c r="S318">
        <f t="shared" si="224"/>
        <v>0.44380822798211245</v>
      </c>
      <c r="T318">
        <f t="shared" si="225"/>
        <v>-1.1109524265496435</v>
      </c>
      <c r="U318">
        <f t="shared" si="226"/>
        <v>0.24422489865331085</v>
      </c>
      <c r="V318">
        <f t="shared" si="227"/>
        <v>-1.3240760202340607</v>
      </c>
      <c r="X318">
        <f t="shared" si="244"/>
        <v>-37.451986936558697</v>
      </c>
      <c r="Y318">
        <f t="shared" si="228"/>
        <v>-165.05409829031794</v>
      </c>
      <c r="Z318">
        <f t="shared" si="245"/>
        <v>14.945901709682062</v>
      </c>
      <c r="AC318">
        <v>1</v>
      </c>
      <c r="AD318">
        <f t="shared" si="229"/>
        <v>221.02989248340003</v>
      </c>
      <c r="AE318">
        <f t="shared" si="230"/>
        <v>-0.1083241981623578</v>
      </c>
      <c r="AF318">
        <f t="shared" si="231"/>
        <v>2.7281590572600004E-2</v>
      </c>
      <c r="AG318">
        <f t="shared" si="246"/>
        <v>474.55721261470973</v>
      </c>
      <c r="AH318">
        <f t="shared" si="247"/>
        <v>-1920.9301378228824</v>
      </c>
      <c r="AJ318">
        <f t="shared" si="232"/>
        <v>20000</v>
      </c>
      <c r="AK318">
        <f t="shared" si="233"/>
        <v>40383.288560159999</v>
      </c>
      <c r="AL318">
        <v>1</v>
      </c>
      <c r="AM318">
        <f t="shared" si="234"/>
        <v>100.036855108008</v>
      </c>
      <c r="AN318">
        <f t="shared" si="248"/>
        <v>405.64209967154818</v>
      </c>
      <c r="AO318">
        <f t="shared" si="249"/>
        <v>-195.87139039079923</v>
      </c>
      <c r="AQ318">
        <f t="shared" si="235"/>
        <v>9.2455535821435071E-3</v>
      </c>
      <c r="AR318">
        <f t="shared" si="236"/>
        <v>-9.6153757254292476</v>
      </c>
      <c r="AT318">
        <f t="shared" si="261"/>
        <v>-18466.077473330581</v>
      </c>
      <c r="AU318">
        <f t="shared" si="262"/>
        <v>-4580.8059650196419</v>
      </c>
      <c r="AV318">
        <f t="shared" si="250"/>
        <v>-2.8984350529188285</v>
      </c>
      <c r="AW318">
        <f t="shared" si="251"/>
        <v>-1047.6629685257299</v>
      </c>
      <c r="AX318">
        <f t="shared" si="252"/>
        <v>-6247.956273857164</v>
      </c>
      <c r="AY318">
        <f t="shared" si="260"/>
        <v>-1.7369316690516068</v>
      </c>
      <c r="BA318">
        <f t="shared" si="237"/>
        <v>3.0031909087970812</v>
      </c>
      <c r="BB318">
        <f t="shared" si="253"/>
        <v>9.5516588118238079</v>
      </c>
      <c r="BC318">
        <f t="shared" si="254"/>
        <v>-1.1615033838672217</v>
      </c>
      <c r="BD318">
        <f t="shared" si="238"/>
        <v>-246.54924186179895</v>
      </c>
      <c r="BF318">
        <f t="shared" si="239"/>
        <v>-40.754783925219016</v>
      </c>
      <c r="BG318">
        <f t="shared" si="240"/>
        <v>-181.2545394802153</v>
      </c>
      <c r="BH318">
        <f t="shared" si="255"/>
        <v>-1.2545394802152998</v>
      </c>
      <c r="BI318">
        <f t="shared" si="256"/>
        <v>-1.2545394802152998</v>
      </c>
      <c r="BJ318">
        <f t="shared" si="241"/>
        <v>0</v>
      </c>
      <c r="BK318">
        <f t="shared" si="257"/>
        <v>0</v>
      </c>
      <c r="BM318">
        <f t="shared" si="258"/>
        <v>-50.306442737042822</v>
      </c>
      <c r="BN318">
        <f t="shared" si="242"/>
        <v>-114.70529761841634</v>
      </c>
      <c r="BQ318" s="66">
        <f t="shared" si="259"/>
        <v>26.453619612108945</v>
      </c>
      <c r="BR318" s="71"/>
      <c r="BS318" s="71"/>
      <c r="BT318" s="71">
        <v>120226.443</v>
      </c>
      <c r="BU318" s="71">
        <v>7.9446199999999996</v>
      </c>
      <c r="BV318" s="71">
        <v>-129.863</v>
      </c>
      <c r="BY318" s="71"/>
      <c r="BZ318" s="71"/>
      <c r="CA318" s="71"/>
      <c r="CC318" s="71"/>
    </row>
    <row r="319" spans="1:81" x14ac:dyDescent="0.15">
      <c r="A319">
        <f t="shared" si="263"/>
        <v>525000</v>
      </c>
      <c r="B319">
        <f t="shared" si="243"/>
        <v>525</v>
      </c>
      <c r="C319">
        <f t="shared" si="212"/>
        <v>2.3958020855627007</v>
      </c>
      <c r="D319">
        <f t="shared" si="213"/>
        <v>1.1402176298878544</v>
      </c>
      <c r="F319">
        <f t="shared" si="214"/>
        <v>8.3994186876775389E-5</v>
      </c>
      <c r="G319">
        <f t="shared" si="215"/>
        <v>3.0020253933879665E-3</v>
      </c>
      <c r="H319">
        <f t="shared" si="216"/>
        <v>-3.1385906246066124</v>
      </c>
      <c r="J319">
        <f t="shared" si="217"/>
        <v>15</v>
      </c>
      <c r="M319">
        <f t="shared" si="218"/>
        <v>1.8152830712718148E-3</v>
      </c>
      <c r="N319">
        <f t="shared" si="219"/>
        <v>-1.5707963250000001</v>
      </c>
      <c r="O319">
        <f t="shared" si="220"/>
        <v>223.1574204931724</v>
      </c>
      <c r="P319">
        <f t="shared" si="221"/>
        <v>1.5663151701988403</v>
      </c>
      <c r="Q319">
        <f t="shared" si="222"/>
        <v>101.00369838068214</v>
      </c>
      <c r="R319">
        <f t="shared" si="223"/>
        <v>1.5608955374790179</v>
      </c>
      <c r="S319">
        <f t="shared" si="224"/>
        <v>0.44040445685853397</v>
      </c>
      <c r="T319">
        <f t="shared" si="225"/>
        <v>-1.1147472051649601</v>
      </c>
      <c r="U319">
        <f t="shared" si="226"/>
        <v>0.24203582094483475</v>
      </c>
      <c r="V319">
        <f t="shared" si="227"/>
        <v>-1.3263328167833179</v>
      </c>
      <c r="X319">
        <f t="shared" si="244"/>
        <v>-37.611685089979488</v>
      </c>
      <c r="Y319">
        <f t="shared" si="228"/>
        <v>-165.18594608949445</v>
      </c>
      <c r="Z319">
        <f t="shared" si="245"/>
        <v>14.81405391050555</v>
      </c>
      <c r="AC319">
        <v>1</v>
      </c>
      <c r="AD319">
        <f t="shared" si="229"/>
        <v>223.155179911125</v>
      </c>
      <c r="AE319">
        <f t="shared" si="230"/>
        <v>-0.11041737100036934</v>
      </c>
      <c r="AF319">
        <f t="shared" si="231"/>
        <v>2.7543913558875005E-2</v>
      </c>
      <c r="AG319">
        <f t="shared" si="246"/>
        <v>466.08807734829867</v>
      </c>
      <c r="AH319">
        <f t="shared" si="247"/>
        <v>-1904.7482139120818</v>
      </c>
      <c r="AJ319">
        <f t="shared" si="232"/>
        <v>20000</v>
      </c>
      <c r="AK319">
        <f t="shared" si="233"/>
        <v>40771.589411700006</v>
      </c>
      <c r="AL319">
        <v>1</v>
      </c>
      <c r="AM319">
        <f t="shared" si="234"/>
        <v>100.998747945585</v>
      </c>
      <c r="AN319">
        <f t="shared" si="248"/>
        <v>405.60498581444836</v>
      </c>
      <c r="AO319">
        <f t="shared" si="249"/>
        <v>-194.00631604604055</v>
      </c>
      <c r="AQ319">
        <f t="shared" si="235"/>
        <v>9.0702865575632129E-3</v>
      </c>
      <c r="AR319">
        <f t="shared" si="236"/>
        <v>-9.5238008854413732</v>
      </c>
      <c r="AT319">
        <f t="shared" si="261"/>
        <v>-18136.215173776145</v>
      </c>
      <c r="AU319">
        <f t="shared" si="262"/>
        <v>-4456.2066558635834</v>
      </c>
      <c r="AV319">
        <f t="shared" si="250"/>
        <v>-2.9006579195098356</v>
      </c>
      <c r="AW319">
        <f t="shared" si="251"/>
        <v>-1019.6829611207344</v>
      </c>
      <c r="AX319">
        <f t="shared" si="252"/>
        <v>-6189.9526891975638</v>
      </c>
      <c r="AY319">
        <f t="shared" si="260"/>
        <v>-1.7340619861524231</v>
      </c>
      <c r="BA319">
        <f t="shared" si="237"/>
        <v>2.9769696051004075</v>
      </c>
      <c r="BB319">
        <f t="shared" si="253"/>
        <v>9.4754880103375285</v>
      </c>
      <c r="BC319">
        <f t="shared" si="254"/>
        <v>-1.1665959333574125</v>
      </c>
      <c r="BD319">
        <f t="shared" si="238"/>
        <v>-246.84102345488179</v>
      </c>
      <c r="BF319">
        <f t="shared" si="239"/>
        <v>-40.928683432405357</v>
      </c>
      <c r="BG319">
        <f t="shared" si="240"/>
        <v>-181.3393620760192</v>
      </c>
      <c r="BH319">
        <f t="shared" si="255"/>
        <v>-1.3393620760191993</v>
      </c>
      <c r="BI319">
        <f t="shared" si="256"/>
        <v>-1.3393620760191993</v>
      </c>
      <c r="BJ319">
        <f t="shared" si="241"/>
        <v>0</v>
      </c>
      <c r="BK319">
        <f t="shared" si="257"/>
        <v>0</v>
      </c>
      <c r="BM319">
        <f t="shared" si="258"/>
        <v>-50.404171442742879</v>
      </c>
      <c r="BN319">
        <f t="shared" si="242"/>
        <v>-114.49833862113741</v>
      </c>
      <c r="BQ319" s="66">
        <f t="shared" si="259"/>
        <v>26.377448810622663</v>
      </c>
      <c r="BR319" s="71"/>
      <c r="BS319" s="71"/>
      <c r="BT319" s="71">
        <v>123026.87699999999</v>
      </c>
      <c r="BU319" s="71">
        <v>8.1865900000000007</v>
      </c>
      <c r="BV319" s="71">
        <v>-130.31299999999999</v>
      </c>
      <c r="BY319" s="71"/>
      <c r="BZ319" s="71"/>
      <c r="CA319" s="71"/>
      <c r="CC319" s="71"/>
    </row>
    <row r="320" spans="1:81" x14ac:dyDescent="0.15">
      <c r="A320">
        <f t="shared" si="263"/>
        <v>530000</v>
      </c>
      <c r="B320">
        <f t="shared" si="243"/>
        <v>530</v>
      </c>
      <c r="C320">
        <f t="shared" si="212"/>
        <v>2.4146595507786173</v>
      </c>
      <c r="D320">
        <f t="shared" si="213"/>
        <v>1.1438017940403873</v>
      </c>
      <c r="F320">
        <f t="shared" si="214"/>
        <v>8.241674120609351E-5</v>
      </c>
      <c r="G320">
        <f t="shared" si="215"/>
        <v>2.9736997998445884E-3</v>
      </c>
      <c r="H320">
        <f t="shared" si="216"/>
        <v>-3.1386189502001556</v>
      </c>
      <c r="J320">
        <f t="shared" si="217"/>
        <v>15</v>
      </c>
      <c r="M320">
        <f t="shared" si="218"/>
        <v>1.7981577592786843E-3</v>
      </c>
      <c r="N320">
        <f t="shared" si="219"/>
        <v>-1.5707963250000001</v>
      </c>
      <c r="O320">
        <f t="shared" si="220"/>
        <v>225.28268678354019</v>
      </c>
      <c r="P320">
        <f t="shared" si="221"/>
        <v>1.566357444703109</v>
      </c>
      <c r="Q320">
        <f t="shared" si="222"/>
        <v>101.96554451829796</v>
      </c>
      <c r="R320">
        <f t="shared" si="223"/>
        <v>1.5609889351340567</v>
      </c>
      <c r="S320">
        <f t="shared" si="224"/>
        <v>0.43704634796431002</v>
      </c>
      <c r="T320">
        <f t="shared" si="225"/>
        <v>-1.1184841661093929</v>
      </c>
      <c r="U320">
        <f t="shared" si="226"/>
        <v>0.23988444824018154</v>
      </c>
      <c r="V320">
        <f t="shared" si="227"/>
        <v>-1.328549504687806</v>
      </c>
      <c r="X320">
        <f t="shared" si="244"/>
        <v>-37.76997510605802</v>
      </c>
      <c r="Y320">
        <f t="shared" si="228"/>
        <v>-165.31555705720291</v>
      </c>
      <c r="Z320">
        <f t="shared" si="245"/>
        <v>14.684442942797091</v>
      </c>
      <c r="AC320">
        <v>1</v>
      </c>
      <c r="AD320">
        <f t="shared" si="229"/>
        <v>225.28046733885003</v>
      </c>
      <c r="AE320">
        <f t="shared" si="230"/>
        <v>-0.11253057420046712</v>
      </c>
      <c r="AF320">
        <f t="shared" si="231"/>
        <v>2.780623654515E-2</v>
      </c>
      <c r="AG320">
        <f t="shared" si="246"/>
        <v>457.83911066819797</v>
      </c>
      <c r="AH320">
        <f t="shared" si="247"/>
        <v>-1888.8172057963843</v>
      </c>
      <c r="AJ320">
        <f t="shared" si="232"/>
        <v>20000</v>
      </c>
      <c r="AK320">
        <f t="shared" si="233"/>
        <v>41159.890263239999</v>
      </c>
      <c r="AL320">
        <v>1</v>
      </c>
      <c r="AM320">
        <f t="shared" si="234"/>
        <v>101.96064078316199</v>
      </c>
      <c r="AN320">
        <f t="shared" si="248"/>
        <v>405.56891725223727</v>
      </c>
      <c r="AO320">
        <f t="shared" si="249"/>
        <v>-192.17642153131342</v>
      </c>
      <c r="AQ320">
        <f t="shared" si="235"/>
        <v>8.8999564792128158E-3</v>
      </c>
      <c r="AR320">
        <f t="shared" si="236"/>
        <v>-9.4339538679655863</v>
      </c>
      <c r="AT320">
        <f t="shared" si="261"/>
        <v>-17814.939636343322</v>
      </c>
      <c r="AU320">
        <f t="shared" si="262"/>
        <v>-4336.0434399229471</v>
      </c>
      <c r="AV320">
        <f t="shared" si="250"/>
        <v>-2.9028413176279479</v>
      </c>
      <c r="AW320">
        <f t="shared" si="251"/>
        <v>-992.50738662998265</v>
      </c>
      <c r="AX320">
        <f t="shared" si="252"/>
        <v>-6133.0056953829926</v>
      </c>
      <c r="AY320">
        <f t="shared" si="260"/>
        <v>-1.7312358877803142</v>
      </c>
      <c r="BA320">
        <f t="shared" si="237"/>
        <v>2.9511723277131243</v>
      </c>
      <c r="BB320">
        <f t="shared" si="253"/>
        <v>9.399891399689146</v>
      </c>
      <c r="BC320">
        <f t="shared" si="254"/>
        <v>-1.1716054298476337</v>
      </c>
      <c r="BD320">
        <f t="shared" si="238"/>
        <v>-247.12804646158503</v>
      </c>
      <c r="BF320">
        <f t="shared" si="239"/>
        <v>-41.100856510925155</v>
      </c>
      <c r="BG320">
        <f t="shared" si="240"/>
        <v>-181.42265054042963</v>
      </c>
      <c r="BH320">
        <f t="shared" si="255"/>
        <v>-1.422650540429629</v>
      </c>
      <c r="BI320">
        <f t="shared" si="256"/>
        <v>-1.422650540429629</v>
      </c>
      <c r="BJ320">
        <f t="shared" si="241"/>
        <v>0</v>
      </c>
      <c r="BK320">
        <f t="shared" si="257"/>
        <v>0</v>
      </c>
      <c r="BM320">
        <f t="shared" si="258"/>
        <v>-50.500747910614301</v>
      </c>
      <c r="BN320">
        <f t="shared" si="242"/>
        <v>-114.29460407884461</v>
      </c>
      <c r="BQ320" s="66">
        <f t="shared" si="259"/>
        <v>26.301852199974284</v>
      </c>
      <c r="BR320" s="71"/>
      <c r="BS320" s="71"/>
      <c r="BT320" s="71">
        <v>125892.541</v>
      </c>
      <c r="BU320" s="71">
        <v>8.4445800000000002</v>
      </c>
      <c r="BV320" s="71">
        <v>-130.77099999999999</v>
      </c>
      <c r="BY320" s="71"/>
      <c r="BZ320" s="71"/>
      <c r="CA320" s="71"/>
      <c r="CC320" s="71"/>
    </row>
    <row r="321" spans="1:81" x14ac:dyDescent="0.15">
      <c r="A321">
        <f t="shared" si="263"/>
        <v>535000</v>
      </c>
      <c r="B321">
        <f t="shared" si="243"/>
        <v>535</v>
      </c>
      <c r="C321">
        <f t="shared" si="212"/>
        <v>2.4335475543082485</v>
      </c>
      <c r="D321">
        <f t="shared" si="213"/>
        <v>1.1473303658862655</v>
      </c>
      <c r="F321">
        <f t="shared" si="214"/>
        <v>8.0883320579114949E-5</v>
      </c>
      <c r="G321">
        <f t="shared" si="215"/>
        <v>2.9459037838091748E-3</v>
      </c>
      <c r="H321">
        <f t="shared" si="216"/>
        <v>-3.1386467462161911</v>
      </c>
      <c r="J321">
        <f t="shared" si="217"/>
        <v>15</v>
      </c>
      <c r="M321">
        <f t="shared" si="218"/>
        <v>1.7813525465751451E-3</v>
      </c>
      <c r="N321">
        <f t="shared" si="219"/>
        <v>-1.5707963250000001</v>
      </c>
      <c r="O321">
        <f t="shared" si="220"/>
        <v>227.40795346899296</v>
      </c>
      <c r="P321">
        <f t="shared" si="221"/>
        <v>1.5663989290451525</v>
      </c>
      <c r="Q321">
        <f t="shared" si="222"/>
        <v>102.92739152874785</v>
      </c>
      <c r="R321">
        <f t="shared" si="223"/>
        <v>1.5610805872048843</v>
      </c>
      <c r="S321">
        <f t="shared" si="224"/>
        <v>0.43373314290534204</v>
      </c>
      <c r="T321">
        <f t="shared" si="225"/>
        <v>-1.1221645187413298</v>
      </c>
      <c r="U321">
        <f t="shared" si="226"/>
        <v>0.23776984656546477</v>
      </c>
      <c r="V321">
        <f t="shared" si="227"/>
        <v>-1.3307271225536026</v>
      </c>
      <c r="X321">
        <f t="shared" si="244"/>
        <v>-37.926880980224922</v>
      </c>
      <c r="Y321">
        <f t="shared" si="228"/>
        <v>-165.44298620875236</v>
      </c>
      <c r="Z321">
        <f t="shared" si="245"/>
        <v>14.557013791247641</v>
      </c>
      <c r="AC321">
        <v>1</v>
      </c>
      <c r="AD321">
        <f t="shared" si="229"/>
        <v>227.40575476657503</v>
      </c>
      <c r="AE321">
        <f t="shared" si="230"/>
        <v>-0.11466380776265114</v>
      </c>
      <c r="AF321">
        <f t="shared" si="231"/>
        <v>2.8068559531425001E-2</v>
      </c>
      <c r="AG321">
        <f t="shared" si="246"/>
        <v>449.80290651320183</v>
      </c>
      <c r="AH321">
        <f t="shared" si="247"/>
        <v>-1873.1318913836087</v>
      </c>
      <c r="AJ321">
        <f t="shared" si="232"/>
        <v>20000</v>
      </c>
      <c r="AK321">
        <f t="shared" si="233"/>
        <v>41548.191114779998</v>
      </c>
      <c r="AL321">
        <v>1</v>
      </c>
      <c r="AM321">
        <f t="shared" si="234"/>
        <v>102.922533620739</v>
      </c>
      <c r="AN321">
        <f t="shared" si="248"/>
        <v>405.53385509782771</v>
      </c>
      <c r="AO321">
        <f t="shared" si="249"/>
        <v>-190.38072087407173</v>
      </c>
      <c r="AQ321">
        <f t="shared" si="235"/>
        <v>8.7343796537866589E-3</v>
      </c>
      <c r="AR321">
        <f t="shared" si="236"/>
        <v>-9.3457862295517256</v>
      </c>
      <c r="AT321">
        <f t="shared" si="261"/>
        <v>-17501.961487272249</v>
      </c>
      <c r="AU321">
        <f t="shared" si="262"/>
        <v>-4220.122454784384</v>
      </c>
      <c r="AV321">
        <f t="shared" si="250"/>
        <v>-2.9049862679310898</v>
      </c>
      <c r="AW321">
        <f t="shared" si="251"/>
        <v>-966.10561818170868</v>
      </c>
      <c r="AX321">
        <f t="shared" si="252"/>
        <v>-6077.0868904786976</v>
      </c>
      <c r="AY321">
        <f t="shared" si="260"/>
        <v>-1.7284521316242358</v>
      </c>
      <c r="BA321">
        <f t="shared" si="237"/>
        <v>2.925789719476612</v>
      </c>
      <c r="BB321">
        <f t="shared" si="253"/>
        <v>9.3248621914067602</v>
      </c>
      <c r="BC321">
        <f t="shared" si="254"/>
        <v>-1.176534136306854</v>
      </c>
      <c r="BD321">
        <f t="shared" si="238"/>
        <v>-247.4104405404799</v>
      </c>
      <c r="BF321">
        <f t="shared" si="239"/>
        <v>-41.271336433008194</v>
      </c>
      <c r="BG321">
        <f t="shared" si="240"/>
        <v>-181.50446493902393</v>
      </c>
      <c r="BH321">
        <f t="shared" si="255"/>
        <v>-1.5044649390239329</v>
      </c>
      <c r="BI321">
        <f t="shared" si="256"/>
        <v>-1.5044649390239329</v>
      </c>
      <c r="BJ321">
        <f t="shared" si="241"/>
        <v>0</v>
      </c>
      <c r="BK321">
        <f t="shared" si="257"/>
        <v>0</v>
      </c>
      <c r="BM321">
        <f t="shared" si="258"/>
        <v>-50.596198624414953</v>
      </c>
      <c r="BN321">
        <f t="shared" si="242"/>
        <v>-114.09402439854402</v>
      </c>
      <c r="BQ321" s="66">
        <f t="shared" si="259"/>
        <v>26.226822991691897</v>
      </c>
      <c r="BR321" s="71"/>
      <c r="BS321" s="71"/>
      <c r="BT321" s="71">
        <v>128824.955</v>
      </c>
      <c r="BU321" s="71">
        <v>8.6780500000000007</v>
      </c>
      <c r="BV321" s="71">
        <v>-131.42599999999999</v>
      </c>
      <c r="BY321" s="71"/>
      <c r="BZ321" s="71"/>
      <c r="CA321" s="71"/>
      <c r="CC321" s="71"/>
    </row>
    <row r="322" spans="1:81" x14ac:dyDescent="0.15">
      <c r="A322">
        <f t="shared" si="263"/>
        <v>540000</v>
      </c>
      <c r="B322">
        <f t="shared" si="243"/>
        <v>540</v>
      </c>
      <c r="C322">
        <f t="shared" si="212"/>
        <v>2.4524653905664766</v>
      </c>
      <c r="D322">
        <f t="shared" si="213"/>
        <v>1.1508045430143572</v>
      </c>
      <c r="F322">
        <f t="shared" si="214"/>
        <v>7.9392301802591329E-5</v>
      </c>
      <c r="G322">
        <f t="shared" si="215"/>
        <v>2.918622630150405E-3</v>
      </c>
      <c r="H322">
        <f t="shared" si="216"/>
        <v>-3.1386740273698499</v>
      </c>
      <c r="J322">
        <f t="shared" si="217"/>
        <v>15</v>
      </c>
      <c r="M322">
        <f t="shared" si="218"/>
        <v>1.7648585415142646E-3</v>
      </c>
      <c r="N322">
        <f t="shared" si="219"/>
        <v>-1.5707963250000001</v>
      </c>
      <c r="O322">
        <f t="shared" si="220"/>
        <v>229.53322053855635</v>
      </c>
      <c r="P322">
        <f t="shared" si="221"/>
        <v>1.5664396451733584</v>
      </c>
      <c r="Q322">
        <f t="shared" si="222"/>
        <v>103.88923938778871</v>
      </c>
      <c r="R322">
        <f t="shared" si="223"/>
        <v>1.5611705421738757</v>
      </c>
      <c r="S322">
        <f t="shared" si="224"/>
        <v>0.43046409440646166</v>
      </c>
      <c r="T322">
        <f t="shared" si="225"/>
        <v>-1.1257894421922741</v>
      </c>
      <c r="U322">
        <f t="shared" si="226"/>
        <v>0.23569111139259846</v>
      </c>
      <c r="V322">
        <f t="shared" si="227"/>
        <v>-1.3328666741780848</v>
      </c>
      <c r="X322">
        <f t="shared" si="244"/>
        <v>-38.082426111326136</v>
      </c>
      <c r="Y322">
        <f t="shared" si="228"/>
        <v>-165.56828680769644</v>
      </c>
      <c r="Z322">
        <f t="shared" si="245"/>
        <v>14.431713192303562</v>
      </c>
      <c r="AC322">
        <v>1</v>
      </c>
      <c r="AD322">
        <f t="shared" si="229"/>
        <v>229.53104219430006</v>
      </c>
      <c r="AE322">
        <f t="shared" si="230"/>
        <v>-0.11681707168692136</v>
      </c>
      <c r="AF322">
        <f t="shared" si="231"/>
        <v>2.8330882517700003E-2</v>
      </c>
      <c r="AG322">
        <f t="shared" si="246"/>
        <v>441.97236061763846</v>
      </c>
      <c r="AH322">
        <f t="shared" si="247"/>
        <v>-1857.6871687998939</v>
      </c>
      <c r="AJ322">
        <f t="shared" si="232"/>
        <v>20000</v>
      </c>
      <c r="AK322">
        <f t="shared" si="233"/>
        <v>41936.491966319998</v>
      </c>
      <c r="AL322">
        <v>1</v>
      </c>
      <c r="AM322">
        <f t="shared" si="234"/>
        <v>103.884426458316</v>
      </c>
      <c r="AN322">
        <f t="shared" si="248"/>
        <v>405.49976225574943</v>
      </c>
      <c r="AO322">
        <f t="shared" si="249"/>
        <v>-188.61826460202496</v>
      </c>
      <c r="AQ322">
        <f t="shared" si="235"/>
        <v>8.5733808527256056E-3</v>
      </c>
      <c r="AR322">
        <f t="shared" si="236"/>
        <v>-9.2592513209436547</v>
      </c>
      <c r="AT322">
        <f t="shared" si="261"/>
        <v>-17197.003174236543</v>
      </c>
      <c r="AU322">
        <f t="shared" si="262"/>
        <v>-4108.2598234727966</v>
      </c>
      <c r="AV322">
        <f t="shared" si="250"/>
        <v>-2.9070937569332043</v>
      </c>
      <c r="AW322">
        <f t="shared" si="251"/>
        <v>-940.44847513408865</v>
      </c>
      <c r="AX322">
        <f t="shared" si="252"/>
        <v>-6022.1688772298821</v>
      </c>
      <c r="AY322">
        <f t="shared" si="260"/>
        <v>-1.7257095215618332</v>
      </c>
      <c r="BA322">
        <f t="shared" si="237"/>
        <v>2.9008126569011075</v>
      </c>
      <c r="BB322">
        <f t="shared" si="253"/>
        <v>9.2503936336105568</v>
      </c>
      <c r="BC322">
        <f t="shared" si="254"/>
        <v>-1.181384235371371</v>
      </c>
      <c r="BD322">
        <f t="shared" si="238"/>
        <v>-247.68833074741462</v>
      </c>
      <c r="BF322">
        <f t="shared" si="239"/>
        <v>-41.440155568980629</v>
      </c>
      <c r="BG322">
        <f t="shared" si="240"/>
        <v>-181.58486255397733</v>
      </c>
      <c r="BH322">
        <f t="shared" si="255"/>
        <v>-1.5848625539773309</v>
      </c>
      <c r="BI322">
        <f t="shared" si="256"/>
        <v>-1.5848625539773309</v>
      </c>
      <c r="BJ322">
        <f t="shared" si="241"/>
        <v>0</v>
      </c>
      <c r="BK322">
        <f t="shared" si="257"/>
        <v>0</v>
      </c>
      <c r="BM322">
        <f t="shared" si="258"/>
        <v>-50.690549202591185</v>
      </c>
      <c r="BN322">
        <f t="shared" si="242"/>
        <v>-113.89653180656272</v>
      </c>
      <c r="BQ322" s="66">
        <f t="shared" si="259"/>
        <v>26.152354433895692</v>
      </c>
      <c r="BR322" s="71"/>
      <c r="BS322" s="71"/>
      <c r="BT322" s="71">
        <v>131825.674</v>
      </c>
      <c r="BU322" s="71">
        <v>8.8889499999999995</v>
      </c>
      <c r="BV322" s="71">
        <v>-132.06399999999999</v>
      </c>
      <c r="BY322" s="71"/>
      <c r="BZ322" s="71"/>
      <c r="CA322" s="71"/>
      <c r="CC322" s="71"/>
    </row>
    <row r="323" spans="1:81" x14ac:dyDescent="0.15">
      <c r="A323">
        <f t="shared" si="263"/>
        <v>545000</v>
      </c>
      <c r="B323">
        <f t="shared" si="243"/>
        <v>545</v>
      </c>
      <c r="C323">
        <f t="shared" si="212"/>
        <v>2.471412374474677</v>
      </c>
      <c r="D323">
        <f t="shared" si="213"/>
        <v>1.1542254916279757</v>
      </c>
      <c r="F323">
        <f t="shared" si="214"/>
        <v>7.7942135809803162E-5</v>
      </c>
      <c r="G323">
        <f t="shared" si="215"/>
        <v>2.8918421639519539E-3</v>
      </c>
      <c r="H323">
        <f t="shared" si="216"/>
        <v>-3.1387008078360483</v>
      </c>
      <c r="J323">
        <f t="shared" si="217"/>
        <v>15</v>
      </c>
      <c r="M323">
        <f t="shared" si="218"/>
        <v>1.7486671787480786E-3</v>
      </c>
      <c r="N323">
        <f t="shared" si="219"/>
        <v>-1.5707963250000001</v>
      </c>
      <c r="O323">
        <f t="shared" si="220"/>
        <v>231.65848798165871</v>
      </c>
      <c r="P323">
        <f t="shared" si="221"/>
        <v>1.5664796142306938</v>
      </c>
      <c r="Q323">
        <f t="shared" si="222"/>
        <v>104.85108807206699</v>
      </c>
      <c r="R323">
        <f t="shared" si="223"/>
        <v>1.5612588467445114</v>
      </c>
      <c r="S323">
        <f t="shared" si="224"/>
        <v>0.42723846640115193</v>
      </c>
      <c r="T323">
        <f t="shared" si="225"/>
        <v>-1.1293600861712316</v>
      </c>
      <c r="U323">
        <f t="shared" si="226"/>
        <v>0.23364736654030291</v>
      </c>
      <c r="V323">
        <f t="shared" si="227"/>
        <v>-1.3349691299635742</v>
      </c>
      <c r="X323">
        <f t="shared" si="244"/>
        <v>-38.236633320962191</v>
      </c>
      <c r="Y323">
        <f t="shared" si="228"/>
        <v>-165.69151043378625</v>
      </c>
      <c r="Z323">
        <f t="shared" si="245"/>
        <v>14.308489566213751</v>
      </c>
      <c r="AC323">
        <v>1</v>
      </c>
      <c r="AD323">
        <f t="shared" si="229"/>
        <v>231.65632962202503</v>
      </c>
      <c r="AE323">
        <f t="shared" si="230"/>
        <v>-0.11899036597327786</v>
      </c>
      <c r="AF323">
        <f t="shared" si="231"/>
        <v>2.8593205503975004E-2</v>
      </c>
      <c r="AG323">
        <f t="shared" si="246"/>
        <v>434.34065624175452</v>
      </c>
      <c r="AH323">
        <f t="shared" si="247"/>
        <v>-1842.4780543040615</v>
      </c>
      <c r="AJ323">
        <f t="shared" si="232"/>
        <v>20000</v>
      </c>
      <c r="AK323">
        <f t="shared" si="233"/>
        <v>42324.792817860005</v>
      </c>
      <c r="AL323">
        <v>1</v>
      </c>
      <c r="AM323">
        <f t="shared" si="234"/>
        <v>104.846319295893</v>
      </c>
      <c r="AN323">
        <f t="shared" si="248"/>
        <v>405.46660332400444</v>
      </c>
      <c r="AO323">
        <f t="shared" si="249"/>
        <v>-186.88813806975048</v>
      </c>
      <c r="AQ323">
        <f t="shared" si="235"/>
        <v>8.4167928484194521E-3</v>
      </c>
      <c r="AR323">
        <f t="shared" si="236"/>
        <v>-9.1743042047772025</v>
      </c>
      <c r="AT323">
        <f t="shared" si="261"/>
        <v>-16899.798405482237</v>
      </c>
      <c r="AU323">
        <f t="shared" si="262"/>
        <v>-4000.2810649752541</v>
      </c>
      <c r="AV323">
        <f t="shared" si="250"/>
        <v>-2.9091647383874073</v>
      </c>
      <c r="AW323">
        <f t="shared" si="251"/>
        <v>-915.50814183164732</v>
      </c>
      <c r="AX323">
        <f t="shared" si="252"/>
        <v>-5968.2252190539757</v>
      </c>
      <c r="AY323">
        <f t="shared" si="260"/>
        <v>-1.7230069055795822</v>
      </c>
      <c r="BA323">
        <f t="shared" si="237"/>
        <v>2.8762322453533082</v>
      </c>
      <c r="BB323">
        <f t="shared" si="253"/>
        <v>9.176479016714282</v>
      </c>
      <c r="BC323">
        <f t="shared" si="254"/>
        <v>-1.1861578328078251</v>
      </c>
      <c r="BD323">
        <f t="shared" si="238"/>
        <v>-247.96183773393045</v>
      </c>
      <c r="BF323">
        <f t="shared" si="239"/>
        <v>-41.607345417082769</v>
      </c>
      <c r="BG323">
        <f t="shared" si="240"/>
        <v>-181.66389803046602</v>
      </c>
      <c r="BH323">
        <f t="shared" si="255"/>
        <v>-1.6638980304660151</v>
      </c>
      <c r="BI323">
        <f t="shared" si="256"/>
        <v>-1.6638980304660151</v>
      </c>
      <c r="BJ323">
        <f t="shared" si="241"/>
        <v>0</v>
      </c>
      <c r="BK323">
        <f t="shared" si="257"/>
        <v>0</v>
      </c>
      <c r="BM323">
        <f t="shared" si="258"/>
        <v>-50.783824433797051</v>
      </c>
      <c r="BN323">
        <f t="shared" si="242"/>
        <v>-113.70206029653559</v>
      </c>
      <c r="BQ323" s="66">
        <f t="shared" si="259"/>
        <v>26.07843981699942</v>
      </c>
      <c r="BR323" s="71"/>
      <c r="BS323" s="71"/>
      <c r="BT323" s="71">
        <v>134896.288</v>
      </c>
      <c r="BU323" s="71">
        <v>9.0986999999999991</v>
      </c>
      <c r="BV323" s="71">
        <v>-132.62899999999999</v>
      </c>
      <c r="BY323" s="71"/>
      <c r="BZ323" s="71"/>
      <c r="CA323" s="71"/>
      <c r="CC323" s="71"/>
    </row>
    <row r="324" spans="1:81" x14ac:dyDescent="0.15">
      <c r="A324">
        <f t="shared" si="263"/>
        <v>550000</v>
      </c>
      <c r="B324">
        <f t="shared" si="243"/>
        <v>550</v>
      </c>
      <c r="C324">
        <f t="shared" si="212"/>
        <v>2.4903878407630002</v>
      </c>
      <c r="D324">
        <f t="shared" si="213"/>
        <v>1.1575943474527211</v>
      </c>
      <c r="F324">
        <f t="shared" si="214"/>
        <v>7.6531343635082713E-5</v>
      </c>
      <c r="G324">
        <f t="shared" si="215"/>
        <v>2.8655487259459569E-3</v>
      </c>
      <c r="H324">
        <f t="shared" si="216"/>
        <v>-3.1387271012740543</v>
      </c>
      <c r="J324">
        <f t="shared" si="217"/>
        <v>15</v>
      </c>
      <c r="M324">
        <f t="shared" si="218"/>
        <v>1.7327702043958232E-3</v>
      </c>
      <c r="N324">
        <f t="shared" si="219"/>
        <v>-1.5707963250000001</v>
      </c>
      <c r="O324">
        <f t="shared" si="220"/>
        <v>233.78375578811281</v>
      </c>
      <c r="P324">
        <f t="shared" si="221"/>
        <v>1.5665188565913148</v>
      </c>
      <c r="Q324">
        <f t="shared" si="222"/>
        <v>105.81293755907825</v>
      </c>
      <c r="R324">
        <f t="shared" si="223"/>
        <v>1.561345545922221</v>
      </c>
      <c r="S324">
        <f t="shared" si="224"/>
        <v>0.42405553409501784</v>
      </c>
      <c r="T324">
        <f t="shared" si="225"/>
        <v>-1.1328775717505124</v>
      </c>
      <c r="U324">
        <f t="shared" si="226"/>
        <v>0.23163776312104806</v>
      </c>
      <c r="V324">
        <f t="shared" si="227"/>
        <v>-1.3370354282643442</v>
      </c>
      <c r="X324">
        <f t="shared" si="244"/>
        <v>-38.389524872058324</v>
      </c>
      <c r="Y324">
        <f t="shared" si="228"/>
        <v>-165.81270704783375</v>
      </c>
      <c r="Z324">
        <f t="shared" si="245"/>
        <v>14.187292952166246</v>
      </c>
      <c r="AC324">
        <v>1</v>
      </c>
      <c r="AD324">
        <f t="shared" si="229"/>
        <v>233.78161704975003</v>
      </c>
      <c r="AE324">
        <f t="shared" si="230"/>
        <v>-0.12118369062172055</v>
      </c>
      <c r="AF324">
        <f t="shared" si="231"/>
        <v>2.8855528490250002E-2</v>
      </c>
      <c r="AG324">
        <f t="shared" si="246"/>
        <v>426.90125066046329</v>
      </c>
      <c r="AH324">
        <f t="shared" si="247"/>
        <v>-1827.4996801351699</v>
      </c>
      <c r="AJ324">
        <f t="shared" si="232"/>
        <v>20000</v>
      </c>
      <c r="AK324">
        <f t="shared" si="233"/>
        <v>42713.093669400005</v>
      </c>
      <c r="AL324">
        <v>1</v>
      </c>
      <c r="AM324">
        <f t="shared" si="234"/>
        <v>105.80821213347001</v>
      </c>
      <c r="AN324">
        <f t="shared" si="248"/>
        <v>405.43434450213749</v>
      </c>
      <c r="AO324">
        <f t="shared" si="249"/>
        <v>-185.18945987652287</v>
      </c>
      <c r="AQ324">
        <f t="shared" si="235"/>
        <v>8.264455979788447E-3</v>
      </c>
      <c r="AR324">
        <f t="shared" si="236"/>
        <v>-9.0909015777672906</v>
      </c>
      <c r="AT324">
        <f t="shared" si="261"/>
        <v>-16610.091618916234</v>
      </c>
      <c r="AU324">
        <f t="shared" si="262"/>
        <v>-3896.0205438395901</v>
      </c>
      <c r="AV324">
        <f t="shared" si="250"/>
        <v>-2.9112001346041696</v>
      </c>
      <c r="AW324">
        <f t="shared" si="251"/>
        <v>-891.25809163644294</v>
      </c>
      <c r="AX324">
        <f t="shared" si="252"/>
        <v>-5915.2303983338134</v>
      </c>
      <c r="AY324">
        <f t="shared" si="260"/>
        <v>-1.7203431738009962</v>
      </c>
      <c r="BA324">
        <f t="shared" si="237"/>
        <v>2.8520398141554137</v>
      </c>
      <c r="BB324">
        <f t="shared" si="253"/>
        <v>9.103111678486508</v>
      </c>
      <c r="BC324">
        <f t="shared" si="254"/>
        <v>-1.1908569608031734</v>
      </c>
      <c r="BD324">
        <f t="shared" si="238"/>
        <v>-248.23107793576332</v>
      </c>
      <c r="BF324">
        <f t="shared" si="239"/>
        <v>-41.772936632205308</v>
      </c>
      <c r="BG324">
        <f t="shared" si="240"/>
        <v>-181.74162351456073</v>
      </c>
      <c r="BH324">
        <f t="shared" si="255"/>
        <v>-1.7416235145607288</v>
      </c>
      <c r="BI324">
        <f t="shared" si="256"/>
        <v>-1.7416235145607288</v>
      </c>
      <c r="BJ324">
        <f t="shared" si="241"/>
        <v>0</v>
      </c>
      <c r="BK324">
        <f t="shared" si="257"/>
        <v>0</v>
      </c>
      <c r="BM324">
        <f t="shared" si="258"/>
        <v>-50.876048310691814</v>
      </c>
      <c r="BN324">
        <f t="shared" si="242"/>
        <v>-113.51054557879742</v>
      </c>
      <c r="BQ324" s="66">
        <f t="shared" si="259"/>
        <v>26.005072478771645</v>
      </c>
      <c r="BR324" s="71"/>
      <c r="BS324" s="71"/>
      <c r="BT324" s="71">
        <v>138038.42600000001</v>
      </c>
      <c r="BU324" s="71">
        <v>9.3196600000000007</v>
      </c>
      <c r="BV324" s="71">
        <v>-133.267</v>
      </c>
      <c r="BY324" s="71"/>
      <c r="BZ324" s="71"/>
      <c r="CA324" s="71"/>
      <c r="CC324" s="71"/>
    </row>
    <row r="325" spans="1:81" x14ac:dyDescent="0.15">
      <c r="A325">
        <f t="shared" si="263"/>
        <v>555000</v>
      </c>
      <c r="B325">
        <f t="shared" si="243"/>
        <v>555</v>
      </c>
      <c r="C325">
        <f t="shared" si="212"/>
        <v>2.5093911432989668</v>
      </c>
      <c r="D325">
        <f t="shared" si="213"/>
        <v>1.1609122166188079</v>
      </c>
      <c r="F325">
        <f t="shared" si="214"/>
        <v>7.5158512641093571E-5</v>
      </c>
      <c r="G325">
        <f t="shared" si="215"/>
        <v>2.8397291492750941E-3</v>
      </c>
      <c r="H325">
        <f t="shared" si="216"/>
        <v>-3.1387529208507252</v>
      </c>
      <c r="J325">
        <f t="shared" si="217"/>
        <v>15</v>
      </c>
      <c r="M325">
        <f t="shared" si="218"/>
        <v>1.7171596620138788E-3</v>
      </c>
      <c r="N325">
        <f t="shared" si="219"/>
        <v>-1.5707963250000001</v>
      </c>
      <c r="O325">
        <f t="shared" si="220"/>
        <v>235.90902394809854</v>
      </c>
      <c r="P325">
        <f t="shared" si="221"/>
        <v>1.5665573918951965</v>
      </c>
      <c r="Q325">
        <f t="shared" si="222"/>
        <v>106.77478782712892</v>
      </c>
      <c r="R325">
        <f t="shared" si="223"/>
        <v>1.5614306830908573</v>
      </c>
      <c r="S325">
        <f t="shared" si="224"/>
        <v>0.42091458400531251</v>
      </c>
      <c r="T325">
        <f t="shared" si="225"/>
        <v>-1.136342992132964</v>
      </c>
      <c r="U325">
        <f t="shared" si="226"/>
        <v>0.22966147853190608</v>
      </c>
      <c r="V325">
        <f t="shared" si="227"/>
        <v>-1.3390664766705225</v>
      </c>
      <c r="X325">
        <f t="shared" si="244"/>
        <v>-38.541122486701646</v>
      </c>
      <c r="Y325">
        <f t="shared" si="228"/>
        <v>-165.93192505364533</v>
      </c>
      <c r="Z325">
        <f t="shared" si="245"/>
        <v>14.06807494635467</v>
      </c>
      <c r="AC325">
        <v>1</v>
      </c>
      <c r="AD325">
        <f t="shared" si="229"/>
        <v>235.90690447747505</v>
      </c>
      <c r="AE325">
        <f t="shared" si="230"/>
        <v>-0.12339704563224949</v>
      </c>
      <c r="AF325">
        <f t="shared" si="231"/>
        <v>2.9117851476525004E-2</v>
      </c>
      <c r="AG325">
        <f t="shared" si="246"/>
        <v>419.64786236632597</v>
      </c>
      <c r="AH325">
        <f t="shared" si="247"/>
        <v>-1812.7472923078722</v>
      </c>
      <c r="AJ325">
        <f t="shared" si="232"/>
        <v>20000</v>
      </c>
      <c r="AK325">
        <f t="shared" si="233"/>
        <v>43101.394520939997</v>
      </c>
      <c r="AL325">
        <v>1</v>
      </c>
      <c r="AM325">
        <f t="shared" si="234"/>
        <v>106.770104971047</v>
      </c>
      <c r="AN325">
        <f t="shared" si="248"/>
        <v>405.40295350507739</v>
      </c>
      <c r="AO325">
        <f t="shared" si="249"/>
        <v>-183.52138036961202</v>
      </c>
      <c r="AQ325">
        <f t="shared" si="235"/>
        <v>8.1162177451361544E-3</v>
      </c>
      <c r="AR325">
        <f t="shared" si="236"/>
        <v>-9.0090016971011302</v>
      </c>
      <c r="AT325">
        <f t="shared" si="261"/>
        <v>-16327.637479389854</v>
      </c>
      <c r="AU325">
        <f t="shared" si="262"/>
        <v>-3795.320955984369</v>
      </c>
      <c r="AV325">
        <f t="shared" si="250"/>
        <v>-2.9132008377079486</v>
      </c>
      <c r="AW325">
        <f t="shared" si="251"/>
        <v>-867.67301584653683</v>
      </c>
      <c r="AX325">
        <f t="shared" si="252"/>
        <v>-5863.1597768715292</v>
      </c>
      <c r="AY325">
        <f t="shared" si="260"/>
        <v>-1.7177172566166603</v>
      </c>
      <c r="BA325">
        <f t="shared" si="237"/>
        <v>2.8282269116242795</v>
      </c>
      <c r="BB325">
        <f t="shared" si="253"/>
        <v>9.0302850085294502</v>
      </c>
      <c r="BC325">
        <f t="shared" si="254"/>
        <v>-1.1954835810912883</v>
      </c>
      <c r="BD325">
        <f t="shared" si="238"/>
        <v>-248.4961637519848</v>
      </c>
      <c r="BF325">
        <f t="shared" si="239"/>
        <v>-41.936959053581155</v>
      </c>
      <c r="BG325">
        <f t="shared" si="240"/>
        <v>-181.81808878314536</v>
      </c>
      <c r="BH325">
        <f t="shared" si="255"/>
        <v>-1.818088783145356</v>
      </c>
      <c r="BI325">
        <f t="shared" si="256"/>
        <v>-1.818088783145356</v>
      </c>
      <c r="BJ325">
        <f t="shared" si="241"/>
        <v>0</v>
      </c>
      <c r="BK325">
        <f t="shared" si="257"/>
        <v>0</v>
      </c>
      <c r="BM325">
        <f t="shared" si="258"/>
        <v>-50.967244062110602</v>
      </c>
      <c r="BN325">
        <f t="shared" si="242"/>
        <v>-113.32192503116057</v>
      </c>
      <c r="BQ325" s="66">
        <f t="shared" si="259"/>
        <v>25.932245808814585</v>
      </c>
      <c r="BR325" s="71"/>
      <c r="BS325" s="71"/>
      <c r="BT325" s="71">
        <v>141253.75399999999</v>
      </c>
      <c r="BU325" s="71">
        <v>9.5290400000000002</v>
      </c>
      <c r="BV325" s="71">
        <v>-133.959</v>
      </c>
      <c r="BY325" s="71"/>
      <c r="BZ325" s="71"/>
      <c r="CA325" s="71"/>
      <c r="CC325" s="71"/>
    </row>
    <row r="326" spans="1:81" x14ac:dyDescent="0.15">
      <c r="A326">
        <f t="shared" si="263"/>
        <v>560000</v>
      </c>
      <c r="B326">
        <f t="shared" si="243"/>
        <v>560</v>
      </c>
      <c r="C326">
        <f t="shared" si="212"/>
        <v>2.5284216544413338</v>
      </c>
      <c r="D326">
        <f t="shared" si="213"/>
        <v>1.1641801765183353</v>
      </c>
      <c r="F326">
        <f t="shared" si="214"/>
        <v>7.3822292980889643E-5</v>
      </c>
      <c r="G326">
        <f t="shared" si="215"/>
        <v>2.814370737500215E-3</v>
      </c>
      <c r="H326">
        <f t="shared" si="216"/>
        <v>-3.1387782792625001</v>
      </c>
      <c r="J326">
        <f t="shared" si="217"/>
        <v>15</v>
      </c>
      <c r="M326">
        <f t="shared" si="218"/>
        <v>1.7018278793173264E-3</v>
      </c>
      <c r="N326">
        <f t="shared" si="219"/>
        <v>-1.5707963250000001</v>
      </c>
      <c r="O326">
        <f t="shared" si="220"/>
        <v>238.03429245214642</v>
      </c>
      <c r="P326">
        <f t="shared" si="221"/>
        <v>1.5665952390809064</v>
      </c>
      <c r="Q326">
        <f t="shared" si="222"/>
        <v>107.73663885530014</v>
      </c>
      <c r="R326">
        <f t="shared" si="223"/>
        <v>1.561514300085078</v>
      </c>
      <c r="S326">
        <f t="shared" si="224"/>
        <v>0.41781491397865611</v>
      </c>
      <c r="T326">
        <f t="shared" si="225"/>
        <v>-1.1397574134007202</v>
      </c>
      <c r="U326">
        <f t="shared" si="226"/>
        <v>0.22771771548736758</v>
      </c>
      <c r="V326">
        <f t="shared" si="227"/>
        <v>-1.3410631532322195</v>
      </c>
      <c r="X326">
        <f t="shared" si="244"/>
        <v>-38.691447363279515</v>
      </c>
      <c r="Y326">
        <f t="shared" si="228"/>
        <v>-166.04921135717632</v>
      </c>
      <c r="Z326">
        <f t="shared" si="245"/>
        <v>13.950788642823682</v>
      </c>
      <c r="AC326">
        <v>1</v>
      </c>
      <c r="AD326">
        <f t="shared" si="229"/>
        <v>238.03219190520002</v>
      </c>
      <c r="AE326">
        <f t="shared" si="230"/>
        <v>-0.12563043100486465</v>
      </c>
      <c r="AF326">
        <f t="shared" si="231"/>
        <v>2.9380174462800005E-2</v>
      </c>
      <c r="AG326">
        <f t="shared" si="246"/>
        <v>412.57445894539705</v>
      </c>
      <c r="AH326">
        <f t="shared" si="247"/>
        <v>-1798.2162483685283</v>
      </c>
      <c r="AJ326">
        <f t="shared" si="232"/>
        <v>20000</v>
      </c>
      <c r="AK326">
        <f t="shared" si="233"/>
        <v>43489.695372479997</v>
      </c>
      <c r="AL326">
        <v>1</v>
      </c>
      <c r="AM326">
        <f t="shared" si="234"/>
        <v>107.73199780862399</v>
      </c>
      <c r="AN326">
        <f t="shared" si="248"/>
        <v>405.37239948233639</v>
      </c>
      <c r="AO326">
        <f t="shared" si="249"/>
        <v>-181.88308022771213</v>
      </c>
      <c r="AQ326">
        <f t="shared" si="235"/>
        <v>7.971932420334487E-3</v>
      </c>
      <c r="AR326">
        <f t="shared" si="236"/>
        <v>-8.9285643107746253</v>
      </c>
      <c r="AT326">
        <f t="shared" si="261"/>
        <v>-16052.200402533213</v>
      </c>
      <c r="AU326">
        <f t="shared" si="262"/>
        <v>-3698.0328480861644</v>
      </c>
      <c r="AV326">
        <f t="shared" si="250"/>
        <v>-2.915167710835509</v>
      </c>
      <c r="AW326">
        <f t="shared" si="251"/>
        <v>-844.7287571459367</v>
      </c>
      <c r="AX326">
        <f t="shared" si="252"/>
        <v>-5811.9895583727366</v>
      </c>
      <c r="AY326">
        <f t="shared" si="260"/>
        <v>-1.7151281229102444</v>
      </c>
      <c r="BA326">
        <f t="shared" si="237"/>
        <v>2.8047853000757308</v>
      </c>
      <c r="BB326">
        <f t="shared" si="253"/>
        <v>8.9579924522282504</v>
      </c>
      <c r="BC326">
        <f t="shared" si="254"/>
        <v>-1.2000395879252646</v>
      </c>
      <c r="BD326">
        <f t="shared" si="238"/>
        <v>-248.75720371530269</v>
      </c>
      <c r="BF326">
        <f t="shared" si="239"/>
        <v>-42.099441731469589</v>
      </c>
      <c r="BG326">
        <f t="shared" si="240"/>
        <v>-181.89334136635989</v>
      </c>
      <c r="BH326">
        <f t="shared" si="255"/>
        <v>-1.8933413663598913</v>
      </c>
      <c r="BI326">
        <f t="shared" si="256"/>
        <v>-1.8933413663598913</v>
      </c>
      <c r="BJ326">
        <f t="shared" si="241"/>
        <v>0</v>
      </c>
      <c r="BK326">
        <f t="shared" si="257"/>
        <v>0</v>
      </c>
      <c r="BM326">
        <f t="shared" si="258"/>
        <v>-51.057434183697836</v>
      </c>
      <c r="BN326">
        <f t="shared" si="242"/>
        <v>-113.13613765105723</v>
      </c>
      <c r="BQ326" s="66">
        <f t="shared" si="259"/>
        <v>25.859953252513389</v>
      </c>
      <c r="BR326" s="71"/>
      <c r="BS326" s="71"/>
      <c r="BT326" s="71">
        <v>144543.97700000001</v>
      </c>
      <c r="BU326" s="71">
        <v>9.7312899999999996</v>
      </c>
      <c r="BV326" s="71">
        <v>-134.75200000000001</v>
      </c>
      <c r="BY326" s="71"/>
      <c r="BZ326" s="71"/>
      <c r="CA326" s="71"/>
      <c r="CC326" s="71"/>
    </row>
    <row r="327" spans="1:81" x14ac:dyDescent="0.15">
      <c r="A327">
        <f t="shared" si="263"/>
        <v>565000</v>
      </c>
      <c r="B327">
        <f t="shared" si="243"/>
        <v>565</v>
      </c>
      <c r="C327">
        <f t="shared" si="212"/>
        <v>2.5474787644182357</v>
      </c>
      <c r="D327">
        <f t="shared" si="213"/>
        <v>1.1673992766379775</v>
      </c>
      <c r="F327">
        <f t="shared" si="214"/>
        <v>7.2521394278203313E-5</v>
      </c>
      <c r="G327">
        <f t="shared" si="215"/>
        <v>2.7894612437762965E-3</v>
      </c>
      <c r="H327">
        <f t="shared" si="216"/>
        <v>-3.1388031887562238</v>
      </c>
      <c r="J327">
        <f t="shared" si="217"/>
        <v>15</v>
      </c>
      <c r="M327">
        <f t="shared" si="218"/>
        <v>1.6867674556065534E-3</v>
      </c>
      <c r="N327">
        <f t="shared" si="219"/>
        <v>-1.5707963250000001</v>
      </c>
      <c r="O327">
        <f t="shared" si="220"/>
        <v>240.15956129112226</v>
      </c>
      <c r="P327">
        <f t="shared" si="221"/>
        <v>1.566632416416641</v>
      </c>
      <c r="Q327">
        <f t="shared" si="222"/>
        <v>108.69849062341346</v>
      </c>
      <c r="R327">
        <f t="shared" si="223"/>
        <v>1.5615964372588793</v>
      </c>
      <c r="S327">
        <f t="shared" si="224"/>
        <v>0.41475583318892539</v>
      </c>
      <c r="T327">
        <f t="shared" si="225"/>
        <v>-1.1431218752455821</v>
      </c>
      <c r="U327">
        <f t="shared" si="226"/>
        <v>0.22580570109226392</v>
      </c>
      <c r="V327">
        <f t="shared" si="227"/>
        <v>-1.3430263076270086</v>
      </c>
      <c r="X327">
        <f t="shared" si="244"/>
        <v>-38.840520192951324</v>
      </c>
      <c r="Y327">
        <f t="shared" si="228"/>
        <v>-166.16461142304905</v>
      </c>
      <c r="Z327">
        <f t="shared" si="245"/>
        <v>13.835388576950947</v>
      </c>
      <c r="AC327">
        <v>1</v>
      </c>
      <c r="AD327">
        <f t="shared" si="229"/>
        <v>240.15747933292502</v>
      </c>
      <c r="AE327">
        <f t="shared" si="230"/>
        <v>-0.1278838467395661</v>
      </c>
      <c r="AF327">
        <f t="shared" si="231"/>
        <v>2.9642497449075007E-2</v>
      </c>
      <c r="AG327">
        <f t="shared" si="246"/>
        <v>405.67524558711125</v>
      </c>
      <c r="AH327">
        <f t="shared" si="247"/>
        <v>-1783.9020151234952</v>
      </c>
      <c r="AJ327">
        <f t="shared" si="232"/>
        <v>20000</v>
      </c>
      <c r="AK327">
        <f t="shared" si="233"/>
        <v>43877.996224020004</v>
      </c>
      <c r="AL327">
        <v>1</v>
      </c>
      <c r="AM327">
        <f t="shared" si="234"/>
        <v>108.69389064620101</v>
      </c>
      <c r="AN327">
        <f t="shared" si="248"/>
        <v>405.34265294219125</v>
      </c>
      <c r="AO327">
        <f t="shared" si="249"/>
        <v>-180.27376911954036</v>
      </c>
      <c r="AQ327">
        <f t="shared" si="235"/>
        <v>7.8314607005554853E-3</v>
      </c>
      <c r="AR327">
        <f t="shared" si="236"/>
        <v>-8.8495505916276986</v>
      </c>
      <c r="AT327">
        <f t="shared" si="261"/>
        <v>-15783.554103598968</v>
      </c>
      <c r="AU327">
        <f t="shared" si="262"/>
        <v>-3604.0141681192135</v>
      </c>
      <c r="AV327">
        <f t="shared" si="250"/>
        <v>-2.9171015892789649</v>
      </c>
      <c r="AW327">
        <f t="shared" si="251"/>
        <v>-822.40224725904329</v>
      </c>
      <c r="AX327">
        <f t="shared" si="252"/>
        <v>-5761.6967528396308</v>
      </c>
      <c r="AY327">
        <f t="shared" si="260"/>
        <v>-1.7125747783750078</v>
      </c>
      <c r="BA327">
        <f t="shared" si="237"/>
        <v>2.7817069508157282</v>
      </c>
      <c r="BB327">
        <f t="shared" si="253"/>
        <v>8.8862275142185734</v>
      </c>
      <c r="BC327">
        <f t="shared" si="254"/>
        <v>-1.2045268109039571</v>
      </c>
      <c r="BD327">
        <f t="shared" si="238"/>
        <v>-249.01430265400967</v>
      </c>
      <c r="BF327">
        <f t="shared" si="239"/>
        <v>-42.2604129528684</v>
      </c>
      <c r="BG327">
        <f t="shared" si="240"/>
        <v>-181.96742666303237</v>
      </c>
      <c r="BH327">
        <f t="shared" si="255"/>
        <v>-1.96742666303237</v>
      </c>
      <c r="BI327">
        <f t="shared" si="256"/>
        <v>-1.96742666303237</v>
      </c>
      <c r="BJ327">
        <f t="shared" si="241"/>
        <v>0</v>
      </c>
      <c r="BK327">
        <f t="shared" si="257"/>
        <v>0</v>
      </c>
      <c r="BM327">
        <f t="shared" si="258"/>
        <v>-51.146640467086968</v>
      </c>
      <c r="BN327">
        <f t="shared" si="242"/>
        <v>-112.95312400902272</v>
      </c>
      <c r="BQ327" s="66">
        <f t="shared" si="259"/>
        <v>25.788188314503707</v>
      </c>
      <c r="BR327" s="71"/>
      <c r="BS327" s="71"/>
      <c r="BT327" s="71">
        <v>147910.83900000001</v>
      </c>
      <c r="BU327" s="71">
        <v>9.9010099999999994</v>
      </c>
      <c r="BV327" s="71">
        <v>-135.72399999999999</v>
      </c>
      <c r="BY327" s="71"/>
      <c r="BZ327" s="71"/>
      <c r="CA327" s="71"/>
      <c r="CC327" s="71"/>
    </row>
    <row r="328" spans="1:81" x14ac:dyDescent="0.15">
      <c r="A328">
        <f t="shared" si="263"/>
        <v>570000</v>
      </c>
      <c r="B328">
        <f t="shared" si="243"/>
        <v>570</v>
      </c>
      <c r="C328">
        <f t="shared" si="212"/>
        <v>2.5665618807286399</v>
      </c>
      <c r="D328">
        <f t="shared" si="213"/>
        <v>1.1705705393676007</v>
      </c>
      <c r="F328">
        <f t="shared" si="214"/>
        <v>7.1254582510712699E-5</v>
      </c>
      <c r="G328">
        <f t="shared" si="215"/>
        <v>2.7649888511249538E-3</v>
      </c>
      <c r="H328">
        <f t="shared" si="216"/>
        <v>-3.1388276611488752</v>
      </c>
      <c r="J328">
        <f t="shared" si="217"/>
        <v>15</v>
      </c>
      <c r="M328">
        <f t="shared" si="218"/>
        <v>1.6719712498556188E-3</v>
      </c>
      <c r="N328">
        <f t="shared" si="219"/>
        <v>-1.5707963250000001</v>
      </c>
      <c r="O328">
        <f t="shared" si="220"/>
        <v>242.28483045621229</v>
      </c>
      <c r="P328">
        <f t="shared" si="221"/>
        <v>1.5666689415296249</v>
      </c>
      <c r="Q328">
        <f t="shared" si="222"/>
        <v>109.66034311199836</v>
      </c>
      <c r="R328">
        <f t="shared" si="223"/>
        <v>1.5616771335505284</v>
      </c>
      <c r="S328">
        <f t="shared" si="224"/>
        <v>0.41173666211714571</v>
      </c>
      <c r="T328">
        <f t="shared" si="225"/>
        <v>-1.1464373916811867</v>
      </c>
      <c r="U328">
        <f t="shared" si="226"/>
        <v>0.22392468595301521</v>
      </c>
      <c r="V328">
        <f t="shared" si="227"/>
        <v>-1.3449567622737248</v>
      </c>
      <c r="X328">
        <f t="shared" si="244"/>
        <v>-38.988361175484329</v>
      </c>
      <c r="Y328">
        <f t="shared" si="228"/>
        <v>-166.2781693285684</v>
      </c>
      <c r="Z328">
        <f t="shared" si="245"/>
        <v>13.721830671431604</v>
      </c>
      <c r="AC328">
        <v>1</v>
      </c>
      <c r="AD328">
        <f t="shared" si="229"/>
        <v>242.28276676065005</v>
      </c>
      <c r="AE328">
        <f t="shared" si="230"/>
        <v>-0.13015729283635374</v>
      </c>
      <c r="AF328">
        <f t="shared" si="231"/>
        <v>2.9904820435350001E-2</v>
      </c>
      <c r="AG328">
        <f t="shared" si="246"/>
        <v>398.94465419179579</v>
      </c>
      <c r="AH328">
        <f t="shared" si="247"/>
        <v>-1769.8001663496702</v>
      </c>
      <c r="AJ328">
        <f t="shared" si="232"/>
        <v>20000</v>
      </c>
      <c r="AK328">
        <f t="shared" si="233"/>
        <v>44266.297075560004</v>
      </c>
      <c r="AL328">
        <v>1</v>
      </c>
      <c r="AM328">
        <f t="shared" si="234"/>
        <v>109.655783483778</v>
      </c>
      <c r="AN328">
        <f t="shared" si="248"/>
        <v>405.31368568050033</v>
      </c>
      <c r="AO328">
        <f t="shared" si="249"/>
        <v>-178.69268443299435</v>
      </c>
      <c r="AQ328">
        <f t="shared" si="235"/>
        <v>7.6946693639047678E-3</v>
      </c>
      <c r="AR328">
        <f t="shared" si="236"/>
        <v>-8.7719230748514345</v>
      </c>
      <c r="AT328">
        <f t="shared" si="261"/>
        <v>-15521.481169870076</v>
      </c>
      <c r="AU328">
        <f t="shared" si="262"/>
        <v>-3513.1298448138837</v>
      </c>
      <c r="AV328">
        <f t="shared" si="250"/>
        <v>-2.9190032815764275</v>
      </c>
      <c r="AW328">
        <f t="shared" si="251"/>
        <v>-800.67144850892373</v>
      </c>
      <c r="AX328">
        <f t="shared" si="252"/>
        <v>-5712.2591427599418</v>
      </c>
      <c r="AY328">
        <f t="shared" si="260"/>
        <v>-1.710056263915642</v>
      </c>
      <c r="BA328">
        <f t="shared" si="237"/>
        <v>2.7589840391372009</v>
      </c>
      <c r="BB328">
        <f t="shared" si="253"/>
        <v>8.8149837614163289</v>
      </c>
      <c r="BC328">
        <f t="shared" si="254"/>
        <v>-1.2089470176607855</v>
      </c>
      <c r="BD328">
        <f t="shared" si="238"/>
        <v>-249.26756184604054</v>
      </c>
      <c r="BF328">
        <f t="shared" si="239"/>
        <v>-42.41990026628909</v>
      </c>
      <c r="BG328">
        <f t="shared" si="240"/>
        <v>-182.0403880495362</v>
      </c>
      <c r="BH328">
        <f t="shared" si="255"/>
        <v>-2.0403880495362046</v>
      </c>
      <c r="BI328">
        <f t="shared" si="256"/>
        <v>-2.0403880495362046</v>
      </c>
      <c r="BJ328">
        <f t="shared" si="241"/>
        <v>0</v>
      </c>
      <c r="BK328">
        <f t="shared" si="257"/>
        <v>0</v>
      </c>
      <c r="BM328">
        <f t="shared" si="258"/>
        <v>-51.234884027705412</v>
      </c>
      <c r="BN328">
        <f t="shared" si="242"/>
        <v>-112.77282620349565</v>
      </c>
      <c r="BQ328" s="66">
        <f t="shared" si="259"/>
        <v>25.716944561701464</v>
      </c>
      <c r="BR328" s="71"/>
      <c r="BS328" s="71"/>
      <c r="BT328" s="71">
        <v>151356.125</v>
      </c>
      <c r="BU328" s="71">
        <v>10.0764</v>
      </c>
      <c r="BV328" s="71">
        <v>-136.34200000000001</v>
      </c>
      <c r="BY328" s="71"/>
      <c r="BZ328" s="71"/>
      <c r="CA328" s="71"/>
      <c r="CC328" s="71"/>
    </row>
    <row r="329" spans="1:81" x14ac:dyDescent="0.15">
      <c r="A329">
        <f t="shared" si="263"/>
        <v>575000</v>
      </c>
      <c r="B329">
        <f t="shared" si="243"/>
        <v>575</v>
      </c>
      <c r="C329">
        <f t="shared" ref="C329:C392" si="264">SQRT((A329/Fesr)^2+1)</f>
        <v>2.5856704275661779</v>
      </c>
      <c r="D329">
        <f t="shared" ref="D329:D392" si="265">ATAN(A329/Fesr)</f>
        <v>1.1736949607853151</v>
      </c>
      <c r="F329">
        <f t="shared" ref="F329:F392" si="266">(Ro/(Ro+Rdcr))/SQRT((A329/(Q*Fo))^2+(1-(A329^2/Fo^2))^2)</f>
        <v>7.0020677082226613E-5</v>
      </c>
      <c r="G329">
        <f t="shared" ref="G329:G392" si="267">-ATAN(A329*Fo/(Q*(Fo^2-A329^2)))</f>
        <v>2.7409421537367158E-3</v>
      </c>
      <c r="H329">
        <f t="shared" ref="H329:H392" si="268">IF(G329&gt;0,G329-Pi,G329)</f>
        <v>-3.1388517078462637</v>
      </c>
      <c r="J329">
        <f t="shared" ref="J329:J392" si="269">Vin/Vramp</f>
        <v>15</v>
      </c>
      <c r="M329">
        <f t="shared" ref="M329:M392" si="270">1/(2*Pi*_Rfb1*(Cc1ea_u+Cc2ea_u)*A329)</f>
        <v>1.657432369422092E-3</v>
      </c>
      <c r="N329">
        <f t="shared" ref="N329:N392" si="271">-Pi/2</f>
        <v>-1.5707963250000001</v>
      </c>
      <c r="O329">
        <f t="shared" ref="O329:O392" si="272">SQRT(1+(A329/Fz1_u)^2)</f>
        <v>244.41009993890935</v>
      </c>
      <c r="P329">
        <f t="shared" ref="P329:P392" si="273">ATAN2(Fz1_u,A329)</f>
        <v>1.5667048314339802</v>
      </c>
      <c r="Q329">
        <f t="shared" ref="Q329:Q392" si="274">SQRT(1+(A329/Fz2_u)^2)</f>
        <v>110.62219630226146</v>
      </c>
      <c r="R329">
        <f t="shared" ref="R329:R392" si="275">ATAN2(Fz2_u,A329)</f>
        <v>1.5617564265441048</v>
      </c>
      <c r="S329">
        <f t="shared" ref="S329:S392" si="276">1/SQRT(1+(A329/Fp1_u)^2)</f>
        <v>0.40875673251508188</v>
      </c>
      <c r="T329">
        <f t="shared" ref="T329:T392" si="277">-ATAN2(Fp1_u,A329)</f>
        <v>-1.1497049517371587</v>
      </c>
      <c r="U329">
        <f t="shared" ref="U329:U392" si="278">1/SQRT(1+(A329/Fp2_u)^2)</f>
        <v>0.22207394332550387</v>
      </c>
      <c r="V329">
        <f t="shared" ref="V329:V392" si="279">-ATAN2(Fp2_u,A329)</f>
        <v>-1.346855313395354</v>
      </c>
      <c r="X329">
        <f t="shared" si="244"/>
        <v>-39.134990034482627</v>
      </c>
      <c r="Y329">
        <f t="shared" ref="Y329:Y392" si="280">(180/Pi)*(D329+H329+N329+P329+R329+T329+V329)</f>
        <v>-166.38992781536066</v>
      </c>
      <c r="Z329">
        <f t="shared" si="245"/>
        <v>13.610072184639336</v>
      </c>
      <c r="AC329">
        <v>1</v>
      </c>
      <c r="AD329">
        <f t="shared" ref="AD329:AD392" si="281">Rcea1_u*Cc1ea_u*A329*2*Pi</f>
        <v>244.40805418837502</v>
      </c>
      <c r="AE329">
        <f t="shared" ref="AE329:AE392" si="282">-Rcea1_u*Cc1ea_u*Cc2ea_u*(A329*2*Pi)^2</f>
        <v>-0.13245076929522764</v>
      </c>
      <c r="AF329">
        <f t="shared" ref="AF329:AF392" si="283">(Cc2ea_u+Cc1ea_u)*A329*2*Pi</f>
        <v>3.0167143421625003E-2</v>
      </c>
      <c r="AG329">
        <f t="shared" si="246"/>
        <v>392.37733304163061</v>
      </c>
      <c r="AH329">
        <f t="shared" si="247"/>
        <v>-1755.9063804961477</v>
      </c>
      <c r="AJ329">
        <f t="shared" ref="AJ329:AJ392" si="284">_Rfb1</f>
        <v>20000</v>
      </c>
      <c r="AK329">
        <f t="shared" ref="AK329:AK392" si="285">_Rfb1*Rcea2_u*Cc3ea_u*A329*2*Pi</f>
        <v>44654.597927100003</v>
      </c>
      <c r="AL329">
        <v>1</v>
      </c>
      <c r="AM329">
        <f t="shared" ref="AM329:AM392" si="286">(_Rfb1+Rcea2_u)*Cc3ea_u*A329*2*Pi</f>
        <v>110.61767632135499</v>
      </c>
      <c r="AN329">
        <f t="shared" si="248"/>
        <v>405.28547071383122</v>
      </c>
      <c r="AO329">
        <f t="shared" si="249"/>
        <v>-177.13909007057461</v>
      </c>
      <c r="AQ329">
        <f t="shared" ref="AQ329:AQ392" si="287">Eadcg/(1+(Eadcg*A329/GBP)^2)</f>
        <v>7.5614309554397309E-3</v>
      </c>
      <c r="AR329">
        <f t="shared" ref="AR329:AR392" si="288">-(A329*Eadcg*Eadcg/GBP)/(1+(Eadcg*A329/GBP)^2)</f>
        <v>-8.6956455987556911</v>
      </c>
      <c r="AT329">
        <f t="shared" si="261"/>
        <v>-15265.772655276089</v>
      </c>
      <c r="AU329">
        <f t="shared" si="262"/>
        <v>-3425.2513939752889</v>
      </c>
      <c r="AV329">
        <f t="shared" si="250"/>
        <v>-2.9208735705529478</v>
      </c>
      <c r="AW329">
        <f t="shared" si="251"/>
        <v>-779.51529900265734</v>
      </c>
      <c r="AX329">
        <f t="shared" si="252"/>
        <v>-5663.655250986285</v>
      </c>
      <c r="AY329">
        <f t="shared" si="260"/>
        <v>-1.7075716541306207</v>
      </c>
      <c r="BA329">
        <f t="shared" ref="BA329:BA392" si="289">SQRT(AT329^2+AU329^2)/SQRT(AW329^2+AX329^2)</f>
        <v>2.7366089393388031</v>
      </c>
      <c r="BB329">
        <f t="shared" si="253"/>
        <v>8.7442548256493762</v>
      </c>
      <c r="BC329">
        <f t="shared" si="254"/>
        <v>-1.2133019164223271</v>
      </c>
      <c r="BD329">
        <f t="shared" ref="BD329:BD392" si="290">BC329*180/Pi-180</f>
        <v>-249.51707916556873</v>
      </c>
      <c r="BF329">
        <f t="shared" ref="BF329:BF392" si="291">20*LOG(BA329*J329*F329*C329)</f>
        <v>-42.577930505629269</v>
      </c>
      <c r="BG329">
        <f t="shared" ref="BG329:BG392" si="292">(180/Pi)*(D329+H329+BC329)</f>
        <v>-182.11226698247768</v>
      </c>
      <c r="BH329">
        <f t="shared" si="255"/>
        <v>-2.1122669824776779</v>
      </c>
      <c r="BI329">
        <f t="shared" si="256"/>
        <v>-2.1122669824776779</v>
      </c>
      <c r="BJ329">
        <f t="shared" ref="BJ329:BJ392" si="293">SUM((BF330&lt;0)*(BF329&gt;0))*A329</f>
        <v>0</v>
      </c>
      <c r="BK329">
        <f t="shared" si="257"/>
        <v>0</v>
      </c>
      <c r="BM329">
        <f t="shared" si="258"/>
        <v>-51.322185331278646</v>
      </c>
      <c r="BN329">
        <f t="shared" ref="BN329:BN392" si="294">(H329+D329)*180/Pi</f>
        <v>-112.59518781690895</v>
      </c>
      <c r="BQ329" s="66">
        <f t="shared" si="259"/>
        <v>25.646215625934513</v>
      </c>
      <c r="BR329" s="71"/>
      <c r="BS329" s="71"/>
      <c r="BT329" s="71">
        <v>154881.66200000001</v>
      </c>
      <c r="BU329" s="71">
        <v>10.266</v>
      </c>
      <c r="BV329" s="71">
        <v>-136.816</v>
      </c>
      <c r="BY329" s="71"/>
      <c r="BZ329" s="71"/>
      <c r="CA329" s="71"/>
      <c r="CC329" s="71"/>
    </row>
    <row r="330" spans="1:81" x14ac:dyDescent="0.15">
      <c r="A330">
        <f t="shared" si="263"/>
        <v>580000</v>
      </c>
      <c r="B330">
        <f t="shared" ref="B330:B393" si="295">A330/1000</f>
        <v>580</v>
      </c>
      <c r="C330">
        <f t="shared" si="264"/>
        <v>2.6048038452644846</v>
      </c>
      <c r="D330">
        <f t="shared" si="265"/>
        <v>1.1767735114194959</v>
      </c>
      <c r="F330">
        <f t="shared" si="266"/>
        <v>6.8818548070812886E-5</v>
      </c>
      <c r="G330">
        <f t="shared" si="267"/>
        <v>2.7173101392408954E-3</v>
      </c>
      <c r="H330">
        <f t="shared" si="268"/>
        <v>-3.1388753398607592</v>
      </c>
      <c r="J330">
        <f t="shared" si="269"/>
        <v>15</v>
      </c>
      <c r="M330">
        <f t="shared" si="270"/>
        <v>1.6431441593408669E-3</v>
      </c>
      <c r="N330">
        <f t="shared" si="271"/>
        <v>-1.5707963250000001</v>
      </c>
      <c r="O330">
        <f t="shared" si="272"/>
        <v>246.53536973099961</v>
      </c>
      <c r="P330">
        <f t="shared" si="273"/>
        <v>1.566740102557151</v>
      </c>
      <c r="Q330">
        <f t="shared" si="274"/>
        <v>111.58405017605739</v>
      </c>
      <c r="R330">
        <f t="shared" si="275"/>
        <v>1.5618343525278628</v>
      </c>
      <c r="S330">
        <f t="shared" si="276"/>
        <v>0.40581538735409201</v>
      </c>
      <c r="T330">
        <f t="shared" si="277"/>
        <v>-1.1529255201354576</v>
      </c>
      <c r="U330">
        <f t="shared" si="278"/>
        <v>0.22025276829794974</v>
      </c>
      <c r="V330">
        <f t="shared" si="279"/>
        <v>-1.3487227320336483</v>
      </c>
      <c r="X330">
        <f t="shared" ref="X330:X393" si="296">20*LOG(C330*J330*O330*Q330*F330*M330*S330*U330)</f>
        <v>-39.280426032036509</v>
      </c>
      <c r="Y330">
        <f t="shared" si="280"/>
        <v>-166.49992833875643</v>
      </c>
      <c r="Z330">
        <f t="shared" ref="Z330:Z393" si="297">Y330+180</f>
        <v>13.500071661243567</v>
      </c>
      <c r="AC330">
        <v>1</v>
      </c>
      <c r="AD330">
        <f t="shared" si="281"/>
        <v>246.53334161610002</v>
      </c>
      <c r="AE330">
        <f t="shared" si="282"/>
        <v>-0.13476427611618774</v>
      </c>
      <c r="AF330">
        <f t="shared" si="283"/>
        <v>3.0429466407900004E-2</v>
      </c>
      <c r="AG330">
        <f t="shared" ref="AG330:AG359" si="298">AC330*AE330/(AE330^2+AF330^2)+AD330*AF330/(AE330^2+AF330^2)</f>
        <v>385.96813700298537</v>
      </c>
      <c r="AH330">
        <f t="shared" ref="AH330:AH359" si="299">AD330*AE330/(AE330^2+AF330^2)-AC330*AF330/(AE330^2+AF330^2)</f>
        <v>-1742.2164383847819</v>
      </c>
      <c r="AJ330">
        <f t="shared" si="284"/>
        <v>20000</v>
      </c>
      <c r="AK330">
        <f t="shared" si="285"/>
        <v>45042.898778639996</v>
      </c>
      <c r="AL330">
        <v>1</v>
      </c>
      <c r="AM330">
        <f t="shared" si="286"/>
        <v>111.57956915893199</v>
      </c>
      <c r="AN330">
        <f t="shared" ref="AN330:AN359" si="300">AJ330*AL330/(AL330^2+AM330^2)+AK330*AM330/(AL330^2+AM330^2)</f>
        <v>405.25798221660648</v>
      </c>
      <c r="AO330">
        <f t="shared" ref="AO330:AO359" si="301">AK330*AL330/(AL330^2+AM330^2)-AJ330*AM330/(AL330^2+AM330^2)</f>
        <v>-175.61227530707694</v>
      </c>
      <c r="AQ330">
        <f t="shared" si="287"/>
        <v>7.431623490172793E-3</v>
      </c>
      <c r="AR330">
        <f t="shared" si="288"/>
        <v>-8.6206832486004394</v>
      </c>
      <c r="AT330">
        <f t="shared" si="261"/>
        <v>-15016.2276959466</v>
      </c>
      <c r="AU330">
        <f t="shared" si="262"/>
        <v>-3340.2565497636206</v>
      </c>
      <c r="AV330">
        <f t="shared" ref="AV330:AV393" si="302">ATAN2(AT330,AU330)</f>
        <v>-2.9227132143143257</v>
      </c>
      <c r="AW330">
        <f t="shared" ref="AW330:AW393" si="303">AG330-AH330*AO330/_Rfb2+AG330*AN330/_Rfb2+AN330-AO330*AR330+AQ330*AN330</f>
        <v>-758.91366118887174</v>
      </c>
      <c r="AX330">
        <f t="shared" ref="AX330:AX393" si="304">AH330+AH330*AN330/_Rfb2+AG330*AO330/_Rfb2+AO330+AO330*AQ330+AN330*AR330</f>
        <v>-5615.8643102076385</v>
      </c>
      <c r="AY330">
        <f t="shared" si="260"/>
        <v>-1.705120055870514</v>
      </c>
      <c r="BA330">
        <f t="shared" si="289"/>
        <v>2.7145742197795335</v>
      </c>
      <c r="BB330">
        <f t="shared" ref="BB330:BB393" si="305">20*LOG(BA330)</f>
        <v>8.6740344059275252</v>
      </c>
      <c r="BC330">
        <f t="shared" ref="BC330:BC393" si="306">AV330-AY330</f>
        <v>-1.2175931584438118</v>
      </c>
      <c r="BD330">
        <f t="shared" si="290"/>
        <v>-249.76294922254993</v>
      </c>
      <c r="BF330">
        <f t="shared" si="291"/>
        <v>-42.734529813175286</v>
      </c>
      <c r="BG330">
        <f t="shared" si="292"/>
        <v>-182.18310309559499</v>
      </c>
      <c r="BH330">
        <f t="shared" ref="BH330:BH393" si="307">IF(BG330&gt;180,BG330-180,BG330+180)</f>
        <v>-2.1831030955949871</v>
      </c>
      <c r="BI330">
        <f t="shared" ref="BI330:BI393" si="308">IF(BH330&gt;180,BH330-360,BH330)</f>
        <v>-2.1831030955949871</v>
      </c>
      <c r="BJ330">
        <f t="shared" si="293"/>
        <v>0</v>
      </c>
      <c r="BK330">
        <f t="shared" ref="BK330:BK393" si="309">IF(BJ330&gt;0,BI330,0)</f>
        <v>0</v>
      </c>
      <c r="BM330">
        <f t="shared" ref="BM330:BM393" si="310">20*LOG(J330*F330*C330)</f>
        <v>-51.4085642191028</v>
      </c>
      <c r="BN330">
        <f t="shared" si="294"/>
        <v>-112.42015387304504</v>
      </c>
      <c r="BQ330" s="66">
        <f t="shared" ref="BQ330:BQ393" si="311">20*LOG(BA330*7)</f>
        <v>25.575995206212664</v>
      </c>
      <c r="BR330" s="71"/>
      <c r="BS330" s="71"/>
      <c r="BT330" s="71">
        <v>158489.31899999999</v>
      </c>
      <c r="BU330" s="71">
        <v>10.4788</v>
      </c>
      <c r="BV330" s="71">
        <v>-137.47</v>
      </c>
      <c r="BY330" s="71"/>
      <c r="BZ330" s="71"/>
      <c r="CA330" s="71"/>
      <c r="CC330" s="71"/>
    </row>
    <row r="331" spans="1:81" x14ac:dyDescent="0.15">
      <c r="A331">
        <f t="shared" si="263"/>
        <v>585000</v>
      </c>
      <c r="B331">
        <f t="shared" si="295"/>
        <v>585</v>
      </c>
      <c r="C331">
        <f t="shared" si="264"/>
        <v>2.6239615897631752</v>
      </c>
      <c r="D331">
        <f t="shared" si="265"/>
        <v>1.1798071369883025</v>
      </c>
      <c r="F331">
        <f t="shared" si="266"/>
        <v>6.7647113640888595E-5</v>
      </c>
      <c r="G331">
        <f t="shared" si="267"/>
        <v>2.6940821718851346E-3</v>
      </c>
      <c r="H331">
        <f t="shared" si="268"/>
        <v>-3.1388985678281149</v>
      </c>
      <c r="J331">
        <f t="shared" si="269"/>
        <v>15</v>
      </c>
      <c r="M331">
        <f t="shared" si="270"/>
        <v>1.6291001921670133E-3</v>
      </c>
      <c r="N331">
        <f t="shared" si="271"/>
        <v>-1.5707963250000001</v>
      </c>
      <c r="O331">
        <f t="shared" si="272"/>
        <v>248.66063982454997</v>
      </c>
      <c r="P331">
        <f t="shared" si="273"/>
        <v>1.5667747707649751</v>
      </c>
      <c r="Q331">
        <f t="shared" si="274"/>
        <v>112.54590471586108</v>
      </c>
      <c r="R331">
        <f t="shared" si="275"/>
        <v>1.5619109465495982</v>
      </c>
      <c r="S331">
        <f t="shared" si="276"/>
        <v>0.40291198076069562</v>
      </c>
      <c r="T331">
        <f t="shared" si="277"/>
        <v>-1.1561000379491686</v>
      </c>
      <c r="U331">
        <f t="shared" si="278"/>
        <v>0.21846047700723206</v>
      </c>
      <c r="V331">
        <f t="shared" si="279"/>
        <v>-1.3505597650179395</v>
      </c>
      <c r="X331">
        <f t="shared" si="296"/>
        <v>-39.424687982818469</v>
      </c>
      <c r="Y331">
        <f t="shared" si="280"/>
        <v>-166.60821111502869</v>
      </c>
      <c r="Z331">
        <f t="shared" si="297"/>
        <v>13.391788884971305</v>
      </c>
      <c r="AC331">
        <v>1</v>
      </c>
      <c r="AD331">
        <f t="shared" si="281"/>
        <v>248.65862904382504</v>
      </c>
      <c r="AE331">
        <f t="shared" si="282"/>
        <v>-0.13709781329923412</v>
      </c>
      <c r="AF331">
        <f t="shared" si="283"/>
        <v>3.0691789394175002E-2</v>
      </c>
      <c r="AG331">
        <f t="shared" si="298"/>
        <v>379.71211823001693</v>
      </c>
      <c r="AH331">
        <f t="shared" si="299"/>
        <v>-1728.7262209164446</v>
      </c>
      <c r="AJ331">
        <f t="shared" si="284"/>
        <v>20000</v>
      </c>
      <c r="AK331">
        <f t="shared" si="285"/>
        <v>45431.199630180003</v>
      </c>
      <c r="AL331">
        <v>1</v>
      </c>
      <c r="AM331">
        <f t="shared" si="286"/>
        <v>112.541461996509</v>
      </c>
      <c r="AN331">
        <f t="shared" si="300"/>
        <v>405.23119546199337</v>
      </c>
      <c r="AO331">
        <f t="shared" si="301"/>
        <v>-174.11155370583182</v>
      </c>
      <c r="AQ331">
        <f t="shared" si="287"/>
        <v>7.3051301737671317E-3</v>
      </c>
      <c r="AR331">
        <f t="shared" si="288"/>
        <v>-8.5470023033075435</v>
      </c>
      <c r="AT331">
        <f t="shared" si="261"/>
        <v>-14772.653145508772</v>
      </c>
      <c r="AU331">
        <f t="shared" si="262"/>
        <v>-3258.0289191843403</v>
      </c>
      <c r="AV331">
        <f t="shared" si="302"/>
        <v>-2.9245229471961798</v>
      </c>
      <c r="AW331">
        <f t="shared" si="303"/>
        <v>-738.8472735525479</v>
      </c>
      <c r="AX331">
        <f t="shared" si="304"/>
        <v>-5568.8662339211178</v>
      </c>
      <c r="AY331">
        <f t="shared" ref="AY331:AY394" si="312">ATAN2(AW331,AX331)</f>
        <v>-1.7027006068680139</v>
      </c>
      <c r="BA331">
        <f t="shared" si="289"/>
        <v>2.6928726379811745</v>
      </c>
      <c r="BB331">
        <f t="shared" si="305"/>
        <v>8.6043162703840039</v>
      </c>
      <c r="BC331">
        <f t="shared" si="306"/>
        <v>-1.2218223403281658</v>
      </c>
      <c r="BD331">
        <f t="shared" si="290"/>
        <v>-250.00526349559351</v>
      </c>
      <c r="BF331">
        <f t="shared" si="291"/>
        <v>-42.889723661767491</v>
      </c>
      <c r="BG331">
        <f t="shared" si="292"/>
        <v>-182.252934291222</v>
      </c>
      <c r="BH331">
        <f t="shared" si="307"/>
        <v>-2.2529342912220045</v>
      </c>
      <c r="BI331">
        <f t="shared" si="308"/>
        <v>-2.2529342912220045</v>
      </c>
      <c r="BJ331">
        <f t="shared" si="293"/>
        <v>0</v>
      </c>
      <c r="BK331">
        <f t="shared" si="309"/>
        <v>0</v>
      </c>
      <c r="BM331">
        <f t="shared" si="310"/>
        <v>-51.494039932151495</v>
      </c>
      <c r="BN331">
        <f t="shared" si="294"/>
        <v>-112.24767079562852</v>
      </c>
      <c r="BQ331" s="66">
        <f t="shared" si="311"/>
        <v>25.506277070669142</v>
      </c>
      <c r="BR331" s="71"/>
      <c r="BS331" s="71"/>
      <c r="BT331" s="71">
        <v>162181.01</v>
      </c>
      <c r="BU331" s="71">
        <v>10.741899999999999</v>
      </c>
      <c r="BV331" s="71">
        <v>-137.46899999999999</v>
      </c>
      <c r="BY331" s="71"/>
      <c r="BZ331" s="71"/>
      <c r="CA331" s="71"/>
      <c r="CC331" s="71"/>
    </row>
    <row r="332" spans="1:81" x14ac:dyDescent="0.15">
      <c r="A332">
        <f t="shared" si="263"/>
        <v>590000</v>
      </c>
      <c r="B332">
        <f t="shared" si="295"/>
        <v>590</v>
      </c>
      <c r="C332">
        <f t="shared" si="264"/>
        <v>2.6431431320936425</v>
      </c>
      <c r="D332">
        <f t="shared" si="265"/>
        <v>1.1827967591172401</v>
      </c>
      <c r="F332">
        <f t="shared" si="266"/>
        <v>6.6505337608202043E-5</v>
      </c>
      <c r="G332">
        <f t="shared" si="267"/>
        <v>2.6712479765706172E-3</v>
      </c>
      <c r="H332">
        <f t="shared" si="268"/>
        <v>-3.1389214020234295</v>
      </c>
      <c r="J332">
        <f t="shared" si="269"/>
        <v>15</v>
      </c>
      <c r="M332">
        <f t="shared" si="270"/>
        <v>1.6152942583350894E-3</v>
      </c>
      <c r="N332">
        <f t="shared" si="271"/>
        <v>-1.5707963250000001</v>
      </c>
      <c r="O332">
        <f t="shared" si="272"/>
        <v>250.78591021189641</v>
      </c>
      <c r="P332">
        <f t="shared" si="273"/>
        <v>1.5668088513854792</v>
      </c>
      <c r="Q332">
        <f t="shared" si="274"/>
        <v>113.50775990474149</v>
      </c>
      <c r="R332">
        <f t="shared" si="275"/>
        <v>1.5619862424692021</v>
      </c>
      <c r="S332">
        <f t="shared" si="276"/>
        <v>0.40004587794019131</v>
      </c>
      <c r="T332">
        <f t="shared" si="277"/>
        <v>-1.1592294232440032</v>
      </c>
      <c r="U332">
        <f t="shared" si="278"/>
        <v>0.21669640588717828</v>
      </c>
      <c r="V332">
        <f t="shared" si="279"/>
        <v>-1.3523671358904883</v>
      </c>
      <c r="X332">
        <f t="shared" si="296"/>
        <v>-39.567794267650392</v>
      </c>
      <c r="Y332">
        <f t="shared" si="280"/>
        <v>-166.71481516659387</v>
      </c>
      <c r="Z332">
        <f t="shared" si="297"/>
        <v>13.285184833406134</v>
      </c>
      <c r="AC332">
        <v>1</v>
      </c>
      <c r="AD332">
        <f t="shared" si="281"/>
        <v>250.78391647155004</v>
      </c>
      <c r="AE332">
        <f t="shared" si="282"/>
        <v>-0.13945138084436667</v>
      </c>
      <c r="AF332">
        <f t="shared" si="283"/>
        <v>3.0954112380450004E-2</v>
      </c>
      <c r="AG332">
        <f t="shared" si="298"/>
        <v>373.60451734125877</v>
      </c>
      <c r="AH332">
        <f t="shared" si="299"/>
        <v>-1715.4317067889292</v>
      </c>
      <c r="AJ332">
        <f t="shared" si="284"/>
        <v>20000</v>
      </c>
      <c r="AK332">
        <f t="shared" si="285"/>
        <v>45819.500481720002</v>
      </c>
      <c r="AL332">
        <v>1</v>
      </c>
      <c r="AM332">
        <f t="shared" si="286"/>
        <v>113.503354834086</v>
      </c>
      <c r="AN332">
        <f t="shared" si="300"/>
        <v>405.20508676628299</v>
      </c>
      <c r="AO332">
        <f t="shared" si="301"/>
        <v>-172.63626209001922</v>
      </c>
      <c r="AQ332">
        <f t="shared" si="287"/>
        <v>7.1818391397305802E-3</v>
      </c>
      <c r="AR332">
        <f t="shared" si="288"/>
        <v>-8.4745701848820847</v>
      </c>
      <c r="AT332">
        <f t="shared" si="261"/>
        <v>-14534.863229009425</v>
      </c>
      <c r="AU332">
        <f t="shared" si="262"/>
        <v>-3178.4576581708448</v>
      </c>
      <c r="AV332">
        <f t="shared" si="302"/>
        <v>-2.9263034806705601</v>
      </c>
      <c r="AW332">
        <f t="shared" si="303"/>
        <v>-719.29770523038405</v>
      </c>
      <c r="AX332">
        <f t="shared" si="304"/>
        <v>-5522.6415888183183</v>
      </c>
      <c r="AY332">
        <f t="shared" si="312"/>
        <v>-1.7003124744356608</v>
      </c>
      <c r="BA332">
        <f t="shared" si="289"/>
        <v>2.6714971357886954</v>
      </c>
      <c r="BB332">
        <f t="shared" si="305"/>
        <v>8.535094257918594</v>
      </c>
      <c r="BC332">
        <f t="shared" si="306"/>
        <v>-1.2259910062348993</v>
      </c>
      <c r="BD332">
        <f t="shared" si="290"/>
        <v>-250.24411045852233</v>
      </c>
      <c r="BF332">
        <f t="shared" si="291"/>
        <v>-43.04353687615928</v>
      </c>
      <c r="BG332">
        <f t="shared" si="292"/>
        <v>-182.32179682664966</v>
      </c>
      <c r="BH332">
        <f t="shared" si="307"/>
        <v>-2.3217968266496598</v>
      </c>
      <c r="BI332">
        <f t="shared" si="308"/>
        <v>-2.3217968266496598</v>
      </c>
      <c r="BJ332">
        <f t="shared" si="293"/>
        <v>0</v>
      </c>
      <c r="BK332">
        <f t="shared" si="309"/>
        <v>0</v>
      </c>
      <c r="BM332">
        <f t="shared" si="310"/>
        <v>-51.578631134077867</v>
      </c>
      <c r="BN332">
        <f t="shared" si="294"/>
        <v>-112.07768636812735</v>
      </c>
      <c r="BQ332" s="66">
        <f t="shared" si="311"/>
        <v>25.437055058203732</v>
      </c>
      <c r="BR332" s="71"/>
      <c r="BS332" s="71"/>
      <c r="BT332" s="71">
        <v>165958.69099999999</v>
      </c>
      <c r="BU332" s="71">
        <v>11.0235</v>
      </c>
      <c r="BV332" s="71">
        <v>-138.31200000000001</v>
      </c>
      <c r="BY332" s="71"/>
      <c r="BZ332" s="71"/>
      <c r="CA332" s="71"/>
      <c r="CC332" s="71"/>
    </row>
    <row r="333" spans="1:81" x14ac:dyDescent="0.15">
      <c r="A333">
        <f t="shared" si="263"/>
        <v>595000</v>
      </c>
      <c r="B333">
        <f t="shared" si="295"/>
        <v>595</v>
      </c>
      <c r="C333">
        <f t="shared" si="264"/>
        <v>2.6623479578838958</v>
      </c>
      <c r="D333">
        <f t="shared" si="265"/>
        <v>1.1857432760353095</v>
      </c>
      <c r="F333">
        <f t="shared" si="266"/>
        <v>6.5392227147469304E-5</v>
      </c>
      <c r="G333">
        <f t="shared" si="267"/>
        <v>2.6487976236926089E-3</v>
      </c>
      <c r="H333">
        <f t="shared" si="268"/>
        <v>-3.1389438523763076</v>
      </c>
      <c r="J333">
        <f t="shared" si="269"/>
        <v>15</v>
      </c>
      <c r="M333">
        <f t="shared" si="270"/>
        <v>1.6017203570045425E-3</v>
      </c>
      <c r="N333">
        <f t="shared" si="271"/>
        <v>-1.5707963250000001</v>
      </c>
      <c r="O333">
        <f t="shared" si="272"/>
        <v>252.91118088563238</v>
      </c>
      <c r="P333">
        <f t="shared" si="273"/>
        <v>1.5668423592314769</v>
      </c>
      <c r="Q333">
        <f t="shared" si="274"/>
        <v>114.46961572633656</v>
      </c>
      <c r="R333">
        <f t="shared" si="275"/>
        <v>1.562060273008566</v>
      </c>
      <c r="S333">
        <f t="shared" si="276"/>
        <v>0.39721645508956105</v>
      </c>
      <c r="T333">
        <f t="shared" si="277"/>
        <v>-1.1623145717027865</v>
      </c>
      <c r="U333">
        <f t="shared" si="278"/>
        <v>0.21495991094740138</v>
      </c>
      <c r="V333">
        <f t="shared" si="279"/>
        <v>-1.3541455457905767</v>
      </c>
      <c r="X333">
        <f t="shared" si="296"/>
        <v>-39.709762846565468</v>
      </c>
      <c r="Y333">
        <f t="shared" si="280"/>
        <v>-166.81977836527511</v>
      </c>
      <c r="Z333">
        <f t="shared" si="297"/>
        <v>13.180221634724887</v>
      </c>
      <c r="AC333">
        <v>1</v>
      </c>
      <c r="AD333">
        <f t="shared" si="281"/>
        <v>252.90920389927501</v>
      </c>
      <c r="AE333">
        <f t="shared" si="282"/>
        <v>-0.14182497875158551</v>
      </c>
      <c r="AF333">
        <f t="shared" si="283"/>
        <v>3.1216435366725005E-2</v>
      </c>
      <c r="AG333">
        <f t="shared" si="298"/>
        <v>367.64075504264417</v>
      </c>
      <c r="AH333">
        <f t="shared" si="299"/>
        <v>-1702.3289702316508</v>
      </c>
      <c r="AJ333">
        <f t="shared" si="284"/>
        <v>20000</v>
      </c>
      <c r="AK333">
        <f t="shared" si="285"/>
        <v>46207.801333260002</v>
      </c>
      <c r="AL333">
        <v>1</v>
      </c>
      <c r="AM333">
        <f t="shared" si="286"/>
        <v>114.46524767166299</v>
      </c>
      <c r="AN333">
        <f t="shared" si="300"/>
        <v>405.17963343652821</v>
      </c>
      <c r="AO333">
        <f t="shared" si="301"/>
        <v>-171.18575956582117</v>
      </c>
      <c r="AQ333">
        <f t="shared" si="287"/>
        <v>7.0616432020032469E-3</v>
      </c>
      <c r="AR333">
        <f t="shared" si="288"/>
        <v>-8.4033554103838632</v>
      </c>
      <c r="AT333">
        <f t="shared" si="261"/>
        <v>-14302.679214410706</v>
      </c>
      <c r="AU333">
        <f t="shared" si="262"/>
        <v>-3101.4371677654221</v>
      </c>
      <c r="AV333">
        <f t="shared" si="302"/>
        <v>-2.9280555042122445</v>
      </c>
      <c r="AW333">
        <f t="shared" si="303"/>
        <v>-700.24731334671367</v>
      </c>
      <c r="AX333">
        <f t="shared" si="304"/>
        <v>-5477.171568506109</v>
      </c>
      <c r="AY333">
        <f t="shared" si="312"/>
        <v>-1.6979548542275196</v>
      </c>
      <c r="BA333">
        <f t="shared" si="289"/>
        <v>2.6504408345971826</v>
      </c>
      <c r="BB333">
        <f t="shared" si="305"/>
        <v>8.4663622795699318</v>
      </c>
      <c r="BC333">
        <f t="shared" si="306"/>
        <v>-1.2301006499847249</v>
      </c>
      <c r="BD333">
        <f t="shared" si="290"/>
        <v>-250.47957570095872</v>
      </c>
      <c r="BF333">
        <f t="shared" si="291"/>
        <v>-43.195993653600326</v>
      </c>
      <c r="BG333">
        <f t="shared" si="292"/>
        <v>-182.3897253956938</v>
      </c>
      <c r="BH333">
        <f t="shared" si="307"/>
        <v>-2.3897253956938016</v>
      </c>
      <c r="BI333">
        <f t="shared" si="308"/>
        <v>-2.3897253956938016</v>
      </c>
      <c r="BJ333">
        <f t="shared" si="293"/>
        <v>0</v>
      </c>
      <c r="BK333">
        <f t="shared" si="309"/>
        <v>0</v>
      </c>
      <c r="BM333">
        <f t="shared" si="310"/>
        <v>-51.662355933170254</v>
      </c>
      <c r="BN333">
        <f t="shared" si="294"/>
        <v>-111.91014969473513</v>
      </c>
      <c r="BQ333" s="66">
        <f t="shared" si="311"/>
        <v>25.368323079855067</v>
      </c>
      <c r="BR333" s="71"/>
      <c r="BS333" s="71"/>
      <c r="BT333" s="71">
        <v>169824.36499999999</v>
      </c>
      <c r="BU333" s="71">
        <v>11.234299999999999</v>
      </c>
      <c r="BV333" s="71">
        <v>-140.114</v>
      </c>
      <c r="BY333" s="71"/>
      <c r="BZ333" s="71"/>
      <c r="CA333" s="71"/>
      <c r="CC333" s="71"/>
    </row>
    <row r="334" spans="1:81" x14ac:dyDescent="0.15">
      <c r="A334">
        <f t="shared" si="263"/>
        <v>600000</v>
      </c>
      <c r="B334">
        <f t="shared" si="295"/>
        <v>600</v>
      </c>
      <c r="C334">
        <f t="shared" si="264"/>
        <v>2.6815755668816732</v>
      </c>
      <c r="D334">
        <f t="shared" si="265"/>
        <v>1.1886475632502842</v>
      </c>
      <c r="F334">
        <f t="shared" si="266"/>
        <v>6.4306830633193118E-5</v>
      </c>
      <c r="G334">
        <f t="shared" si="267"/>
        <v>2.6267215147393092E-3</v>
      </c>
      <c r="H334">
        <f t="shared" si="268"/>
        <v>-3.1389659284852609</v>
      </c>
      <c r="J334">
        <f t="shared" si="269"/>
        <v>15</v>
      </c>
      <c r="M334">
        <f t="shared" si="270"/>
        <v>1.5883726873628379E-3</v>
      </c>
      <c r="N334">
        <f t="shared" si="271"/>
        <v>-1.5707963250000001</v>
      </c>
      <c r="O334">
        <f t="shared" si="272"/>
        <v>255.03645183859825</v>
      </c>
      <c r="P334">
        <f t="shared" si="273"/>
        <v>1.5668753086220328</v>
      </c>
      <c r="Q334">
        <f t="shared" si="274"/>
        <v>115.43147216482963</v>
      </c>
      <c r="R334">
        <f t="shared" si="275"/>
        <v>1.5621330697989895</v>
      </c>
      <c r="S334">
        <f t="shared" si="276"/>
        <v>0.39442309930079961</v>
      </c>
      <c r="T334">
        <f t="shared" si="277"/>
        <v>-1.1653563572332344</v>
      </c>
      <c r="U334">
        <f t="shared" si="278"/>
        <v>0.21325036708133627</v>
      </c>
      <c r="V334">
        <f t="shared" si="279"/>
        <v>-1.3558956742994213</v>
      </c>
      <c r="X334">
        <f t="shared" si="296"/>
        <v>-39.85061127138701</v>
      </c>
      <c r="Y334">
        <f t="shared" si="280"/>
        <v>-166.92313747372364</v>
      </c>
      <c r="Z334">
        <f t="shared" si="297"/>
        <v>13.076862526276358</v>
      </c>
      <c r="AC334">
        <v>1</v>
      </c>
      <c r="AD334">
        <f t="shared" si="281"/>
        <v>255.03449132700004</v>
      </c>
      <c r="AE334">
        <f t="shared" si="282"/>
        <v>-0.14421860702089057</v>
      </c>
      <c r="AF334">
        <f t="shared" si="283"/>
        <v>3.1478758353000007E-2</v>
      </c>
      <c r="AG334">
        <f t="shared" si="298"/>
        <v>361.81642417202363</v>
      </c>
      <c r="AH334">
        <f t="shared" si="299"/>
        <v>-1689.4141787616179</v>
      </c>
      <c r="AJ334">
        <f t="shared" si="284"/>
        <v>20000</v>
      </c>
      <c r="AK334">
        <f t="shared" si="285"/>
        <v>46596.102184800002</v>
      </c>
      <c r="AL334">
        <v>1</v>
      </c>
      <c r="AM334">
        <f t="shared" si="286"/>
        <v>115.42714050924</v>
      </c>
      <c r="AN334">
        <f t="shared" si="300"/>
        <v>405.1548137212215</v>
      </c>
      <c r="AO334">
        <f t="shared" si="301"/>
        <v>-169.75942659439093</v>
      </c>
      <c r="AQ334">
        <f t="shared" si="287"/>
        <v>6.9444396219169296E-3</v>
      </c>
      <c r="AR334">
        <f t="shared" si="288"/>
        <v>-8.3333275463003158</v>
      </c>
      <c r="AT334">
        <f t="shared" si="261"/>
        <v>-14075.929100672636</v>
      </c>
      <c r="AU334">
        <f t="shared" si="262"/>
        <v>-3026.8668090174247</v>
      </c>
      <c r="AV334">
        <f t="shared" si="302"/>
        <v>-2.9297796861267491</v>
      </c>
      <c r="AW334">
        <f t="shared" si="303"/>
        <v>-681.67920288522998</v>
      </c>
      <c r="AX334">
        <f t="shared" si="304"/>
        <v>-5432.4379684869054</v>
      </c>
      <c r="AY334">
        <f t="shared" si="312"/>
        <v>-1.6956269690612713</v>
      </c>
      <c r="BA334">
        <f t="shared" si="289"/>
        <v>2.6296970306525127</v>
      </c>
      <c r="BB334">
        <f t="shared" si="305"/>
        <v>8.3981143196422821</v>
      </c>
      <c r="BC334">
        <f t="shared" si="306"/>
        <v>-1.2341527170654778</v>
      </c>
      <c r="BD334">
        <f t="shared" si="290"/>
        <v>-250.71174204325501</v>
      </c>
      <c r="BF334">
        <f t="shared" si="291"/>
        <v>-43.347117583673267</v>
      </c>
      <c r="BG334">
        <f t="shared" si="292"/>
        <v>-182.45675320576072</v>
      </c>
      <c r="BH334">
        <f t="shared" si="307"/>
        <v>-2.4567532057607195</v>
      </c>
      <c r="BI334">
        <f t="shared" si="308"/>
        <v>-2.4567532057607195</v>
      </c>
      <c r="BJ334">
        <f t="shared" si="293"/>
        <v>0</v>
      </c>
      <c r="BK334">
        <f t="shared" si="309"/>
        <v>0</v>
      </c>
      <c r="BM334">
        <f t="shared" si="310"/>
        <v>-51.745231903315549</v>
      </c>
      <c r="BN334">
        <f t="shared" si="294"/>
        <v>-111.74501116250568</v>
      </c>
      <c r="BQ334" s="66">
        <f t="shared" si="311"/>
        <v>25.300075119927421</v>
      </c>
      <c r="BR334" s="71"/>
      <c r="BS334" s="71"/>
      <c r="BT334" s="71">
        <v>173780.08300000001</v>
      </c>
      <c r="BU334" s="71">
        <v>11.3918</v>
      </c>
      <c r="BV334" s="71">
        <v>-141.173</v>
      </c>
      <c r="BY334" s="71"/>
      <c r="BZ334" s="71"/>
      <c r="CA334" s="71"/>
      <c r="CC334" s="71"/>
    </row>
    <row r="335" spans="1:81" x14ac:dyDescent="0.15">
      <c r="A335">
        <f t="shared" si="263"/>
        <v>605000</v>
      </c>
      <c r="B335">
        <f t="shared" si="295"/>
        <v>605</v>
      </c>
      <c r="C335">
        <f t="shared" si="264"/>
        <v>2.7008254724951111</v>
      </c>
      <c r="D335">
        <f t="shared" si="265"/>
        <v>1.191510474203666</v>
      </c>
      <c r="F335">
        <f t="shared" si="266"/>
        <v>6.3248235604894198E-5</v>
      </c>
      <c r="G335">
        <f t="shared" si="267"/>
        <v>2.6050103686051252E-3</v>
      </c>
      <c r="H335">
        <f t="shared" si="268"/>
        <v>-3.1389876396313952</v>
      </c>
      <c r="J335">
        <f t="shared" si="269"/>
        <v>15</v>
      </c>
      <c r="M335">
        <f t="shared" si="270"/>
        <v>1.5752456403598392E-3</v>
      </c>
      <c r="N335">
        <f t="shared" si="271"/>
        <v>-1.5707963250000001</v>
      </c>
      <c r="O335">
        <f t="shared" si="272"/>
        <v>257.16172306387108</v>
      </c>
      <c r="P335">
        <f t="shared" si="273"/>
        <v>1.5669077134028675</v>
      </c>
      <c r="Q335">
        <f t="shared" si="274"/>
        <v>116.39332920492687</v>
      </c>
      <c r="R335">
        <f t="shared" si="275"/>
        <v>1.562204663426241</v>
      </c>
      <c r="S335">
        <f t="shared" si="276"/>
        <v>0.39166520845571895</v>
      </c>
      <c r="T335">
        <f t="shared" si="277"/>
        <v>-1.1683556325593285</v>
      </c>
      <c r="U335">
        <f t="shared" si="278"/>
        <v>0.21156716740218506</v>
      </c>
      <c r="V335">
        <f t="shared" si="279"/>
        <v>-1.3576181802478773</v>
      </c>
      <c r="X335">
        <f t="shared" si="296"/>
        <v>-39.9903566978453</v>
      </c>
      <c r="Y335">
        <f t="shared" si="280"/>
        <v>-167.0249281850875</v>
      </c>
      <c r="Z335">
        <f t="shared" si="297"/>
        <v>12.975071814912496</v>
      </c>
      <c r="AC335">
        <v>1</v>
      </c>
      <c r="AD335">
        <f t="shared" si="281"/>
        <v>257.15977875472504</v>
      </c>
      <c r="AE335">
        <f t="shared" si="282"/>
        <v>-0.14663226565228185</v>
      </c>
      <c r="AF335">
        <f t="shared" si="283"/>
        <v>3.1741081339275001E-2</v>
      </c>
      <c r="AG335">
        <f t="shared" si="298"/>
        <v>356.12728214173535</v>
      </c>
      <c r="AH335">
        <f t="shared" si="299"/>
        <v>-1676.6835909645056</v>
      </c>
      <c r="AJ335">
        <f t="shared" si="284"/>
        <v>20000</v>
      </c>
      <c r="AK335">
        <f t="shared" si="285"/>
        <v>46984.403036340002</v>
      </c>
      <c r="AL335">
        <v>1</v>
      </c>
      <c r="AM335">
        <f t="shared" si="286"/>
        <v>116.389033346817</v>
      </c>
      <c r="AN335">
        <f t="shared" si="300"/>
        <v>405.13060676381451</v>
      </c>
      <c r="AO335">
        <f t="shared" si="301"/>
        <v>-168.35666410981548</v>
      </c>
      <c r="AQ335">
        <f t="shared" si="287"/>
        <v>6.8301298885800913E-3</v>
      </c>
      <c r="AR335">
        <f t="shared" si="288"/>
        <v>-8.264457165181911</v>
      </c>
      <c r="AT335">
        <f t="shared" si="261"/>
        <v>-13854.447321495651</v>
      </c>
      <c r="AU335">
        <f t="shared" si="262"/>
        <v>-2954.6506353213636</v>
      </c>
      <c r="AV335">
        <f t="shared" si="302"/>
        <v>-2.9314766743419689</v>
      </c>
      <c r="AW335">
        <f t="shared" si="303"/>
        <v>-663.57718892574849</v>
      </c>
      <c r="AX335">
        <f t="shared" si="304"/>
        <v>-5388.4231623282949</v>
      </c>
      <c r="AY335">
        <f t="shared" si="312"/>
        <v>-1.693328067797403</v>
      </c>
      <c r="BA335">
        <f t="shared" si="289"/>
        <v>2.6092591904316786</v>
      </c>
      <c r="BB335">
        <f t="shared" si="305"/>
        <v>8.3303444366095611</v>
      </c>
      <c r="BC335">
        <f t="shared" si="306"/>
        <v>-1.2381486065445659</v>
      </c>
      <c r="BD335">
        <f t="shared" si="290"/>
        <v>-250.94068964606913</v>
      </c>
      <c r="BF335">
        <f t="shared" si="291"/>
        <v>-43.496931667412213</v>
      </c>
      <c r="BG335">
        <f t="shared" si="292"/>
        <v>-182.52291205068011</v>
      </c>
      <c r="BH335">
        <f t="shared" si="307"/>
        <v>-2.5229120506801053</v>
      </c>
      <c r="BI335">
        <f t="shared" si="308"/>
        <v>-2.5229120506801053</v>
      </c>
      <c r="BJ335">
        <f t="shared" si="293"/>
        <v>0</v>
      </c>
      <c r="BK335">
        <f t="shared" si="309"/>
        <v>0</v>
      </c>
      <c r="BM335">
        <f t="shared" si="310"/>
        <v>-51.827276104021777</v>
      </c>
      <c r="BN335">
        <f t="shared" si="294"/>
        <v>-111.582222404611</v>
      </c>
      <c r="BQ335" s="66">
        <f t="shared" si="311"/>
        <v>25.2323052368947</v>
      </c>
      <c r="BR335" s="71"/>
      <c r="BS335" s="71"/>
      <c r="BT335" s="71">
        <v>177827.94099999999</v>
      </c>
      <c r="BU335" s="71">
        <v>11.612500000000001</v>
      </c>
      <c r="BV335" s="71">
        <v>-141.86199999999999</v>
      </c>
      <c r="BY335" s="71"/>
      <c r="BZ335" s="71"/>
      <c r="CA335" s="71"/>
      <c r="CC335" s="71"/>
    </row>
    <row r="336" spans="1:81" x14ac:dyDescent="0.15">
      <c r="A336">
        <f t="shared" si="263"/>
        <v>610000</v>
      </c>
      <c r="B336">
        <f t="shared" si="295"/>
        <v>610</v>
      </c>
      <c r="C336">
        <f t="shared" si="264"/>
        <v>2.7200972013502707</v>
      </c>
      <c r="D336">
        <f t="shared" si="265"/>
        <v>1.1943328409058558</v>
      </c>
      <c r="F336">
        <f t="shared" si="266"/>
        <v>6.2215566848628325E-5</v>
      </c>
      <c r="G336">
        <f t="shared" si="267"/>
        <v>2.5836552085773666E-3</v>
      </c>
      <c r="H336">
        <f t="shared" si="268"/>
        <v>-3.139008994791423</v>
      </c>
      <c r="J336">
        <f t="shared" si="269"/>
        <v>15</v>
      </c>
      <c r="M336">
        <f t="shared" si="270"/>
        <v>1.5623337908486931E-3</v>
      </c>
      <c r="N336">
        <f t="shared" si="271"/>
        <v>-1.5707963250000001</v>
      </c>
      <c r="O336">
        <f t="shared" si="272"/>
        <v>259.28699455475487</v>
      </c>
      <c r="P336">
        <f t="shared" si="273"/>
        <v>1.5669395869657541</v>
      </c>
      <c r="Q336">
        <f t="shared" si="274"/>
        <v>117.35518683183582</v>
      </c>
      <c r="R336">
        <f t="shared" si="275"/>
        <v>1.5622750834733996</v>
      </c>
      <c r="S336">
        <f t="shared" si="276"/>
        <v>0.38894219111319694</v>
      </c>
      <c r="T336">
        <f t="shared" si="277"/>
        <v>-1.171313229796612</v>
      </c>
      <c r="U336">
        <f t="shared" si="278"/>
        <v>0.20990972260553964</v>
      </c>
      <c r="V336">
        <f t="shared" si="279"/>
        <v>-1.359313702488788</v>
      </c>
      <c r="X336">
        <f t="shared" si="296"/>
        <v>-40.129015897252494</v>
      </c>
      <c r="Y336">
        <f t="shared" si="280"/>
        <v>-167.12518516101267</v>
      </c>
      <c r="Z336">
        <f t="shared" si="297"/>
        <v>12.874814838987334</v>
      </c>
      <c r="AC336">
        <v>1</v>
      </c>
      <c r="AD336">
        <f t="shared" si="281"/>
        <v>259.28506618245001</v>
      </c>
      <c r="AE336">
        <f t="shared" si="282"/>
        <v>-0.14906595464575939</v>
      </c>
      <c r="AF336">
        <f t="shared" si="283"/>
        <v>3.2003404325550003E-2</v>
      </c>
      <c r="AG336">
        <f t="shared" si="298"/>
        <v>350.56924375720507</v>
      </c>
      <c r="AH336">
        <f t="shared" si="299"/>
        <v>-1664.1335543041303</v>
      </c>
      <c r="AJ336">
        <f t="shared" si="284"/>
        <v>20000</v>
      </c>
      <c r="AK336">
        <f t="shared" si="285"/>
        <v>47372.703887880001</v>
      </c>
      <c r="AL336">
        <v>1</v>
      </c>
      <c r="AM336">
        <f t="shared" si="286"/>
        <v>117.35092618439398</v>
      </c>
      <c r="AN336">
        <f t="shared" si="300"/>
        <v>405.1069925588925</v>
      </c>
      <c r="AO336">
        <f t="shared" si="301"/>
        <v>-166.97689268043416</v>
      </c>
      <c r="AQ336">
        <f t="shared" si="287"/>
        <v>6.7186195118116689E-3</v>
      </c>
      <c r="AR336">
        <f t="shared" si="288"/>
        <v>-8.1967158044102355</v>
      </c>
      <c r="AT336">
        <f t="shared" si="261"/>
        <v>-13638.074463852696</v>
      </c>
      <c r="AU336">
        <f t="shared" si="262"/>
        <v>-2884.6971410130354</v>
      </c>
      <c r="AV336">
        <f t="shared" si="302"/>
        <v>-2.9331470971652482</v>
      </c>
      <c r="AW336">
        <f t="shared" si="303"/>
        <v>-645.92576108806759</v>
      </c>
      <c r="AX336">
        <f t="shared" si="304"/>
        <v>-5345.1100789563261</v>
      </c>
      <c r="AY336">
        <f t="shared" si="312"/>
        <v>-1.6910574242723759</v>
      </c>
      <c r="BA336">
        <f t="shared" si="289"/>
        <v>2.5891209461076783</v>
      </c>
      <c r="BB336">
        <f t="shared" si="305"/>
        <v>8.2630467638177141</v>
      </c>
      <c r="BC336">
        <f t="shared" si="306"/>
        <v>-1.2420896728928723</v>
      </c>
      <c r="BD336">
        <f t="shared" si="290"/>
        <v>-251.16649611486613</v>
      </c>
      <c r="BF336">
        <f t="shared" si="291"/>
        <v>-43.645458335730495</v>
      </c>
      <c r="BG336">
        <f t="shared" si="292"/>
        <v>-182.58823237956045</v>
      </c>
      <c r="BH336">
        <f t="shared" si="307"/>
        <v>-2.588232379560452</v>
      </c>
      <c r="BI336">
        <f t="shared" si="308"/>
        <v>-2.588232379560452</v>
      </c>
      <c r="BJ336">
        <f t="shared" si="293"/>
        <v>0</v>
      </c>
      <c r="BK336">
        <f t="shared" si="309"/>
        <v>0</v>
      </c>
      <c r="BM336">
        <f t="shared" si="310"/>
        <v>-51.908505099548208</v>
      </c>
      <c r="BN336">
        <f t="shared" si="294"/>
        <v>-111.4217362646943</v>
      </c>
      <c r="BQ336" s="66">
        <f t="shared" si="311"/>
        <v>25.165007564102851</v>
      </c>
      <c r="BR336" s="71"/>
      <c r="BS336" s="71"/>
      <c r="BT336" s="71">
        <v>181970.08600000001</v>
      </c>
      <c r="BU336" s="71">
        <v>11.8933</v>
      </c>
      <c r="BV336" s="71">
        <v>-143.41399999999999</v>
      </c>
      <c r="BY336" s="71"/>
      <c r="BZ336" s="71"/>
      <c r="CA336" s="71"/>
      <c r="CC336" s="71"/>
    </row>
    <row r="337" spans="1:81" x14ac:dyDescent="0.15">
      <c r="A337">
        <f t="shared" si="263"/>
        <v>615000</v>
      </c>
      <c r="B337">
        <f t="shared" si="295"/>
        <v>615</v>
      </c>
      <c r="C337">
        <f t="shared" si="264"/>
        <v>2.7393902928648495</v>
      </c>
      <c r="D337">
        <f t="shared" si="265"/>
        <v>1.1971154745520782</v>
      </c>
      <c r="F337">
        <f t="shared" si="266"/>
        <v>6.120798458725622E-5</v>
      </c>
      <c r="G337">
        <f t="shared" si="267"/>
        <v>2.562647349957997E-3</v>
      </c>
      <c r="H337">
        <f t="shared" si="268"/>
        <v>-3.1390300026500424</v>
      </c>
      <c r="J337">
        <f t="shared" si="269"/>
        <v>15</v>
      </c>
      <c r="M337">
        <f t="shared" si="270"/>
        <v>1.5496318901100858E-3</v>
      </c>
      <c r="N337">
        <f t="shared" si="271"/>
        <v>-1.5707963250000001</v>
      </c>
      <c r="O337">
        <f t="shared" si="272"/>
        <v>261.41226630477149</v>
      </c>
      <c r="P337">
        <f t="shared" si="273"/>
        <v>1.566970942266972</v>
      </c>
      <c r="Q337">
        <f t="shared" si="274"/>
        <v>118.31704503124504</v>
      </c>
      <c r="R337">
        <f t="shared" si="275"/>
        <v>1.5623443585616101</v>
      </c>
      <c r="S337">
        <f t="shared" si="276"/>
        <v>0.38625346638976216</v>
      </c>
      <c r="T337">
        <f t="shared" si="277"/>
        <v>-1.1742299610117308</v>
      </c>
      <c r="U337">
        <f t="shared" si="278"/>
        <v>0.20827746035750855</v>
      </c>
      <c r="V337">
        <f t="shared" si="279"/>
        <v>-1.3609828606357339</v>
      </c>
      <c r="X337">
        <f t="shared" si="296"/>
        <v>-40.266605267754713</v>
      </c>
      <c r="Y337">
        <f t="shared" si="280"/>
        <v>-167.22394206805657</v>
      </c>
      <c r="Z337">
        <f t="shared" si="297"/>
        <v>12.776057931943427</v>
      </c>
      <c r="AC337">
        <v>1</v>
      </c>
      <c r="AD337">
        <f t="shared" si="281"/>
        <v>261.41035361017504</v>
      </c>
      <c r="AE337">
        <f t="shared" si="282"/>
        <v>-0.15151967400132316</v>
      </c>
      <c r="AF337">
        <f t="shared" si="283"/>
        <v>3.2265727311825004E-2</v>
      </c>
      <c r="AG337">
        <f t="shared" si="298"/>
        <v>345.138374390867</v>
      </c>
      <c r="AH337">
        <f t="shared" si="299"/>
        <v>-1651.7605029631152</v>
      </c>
      <c r="AJ337">
        <f t="shared" si="284"/>
        <v>20000</v>
      </c>
      <c r="AK337">
        <f t="shared" si="285"/>
        <v>47761.004739420001</v>
      </c>
      <c r="AL337">
        <v>1</v>
      </c>
      <c r="AM337">
        <f t="shared" si="286"/>
        <v>118.31281902197101</v>
      </c>
      <c r="AN337">
        <f t="shared" si="300"/>
        <v>405.08395191083179</v>
      </c>
      <c r="AO337">
        <f t="shared" si="301"/>
        <v>-165.61955171104782</v>
      </c>
      <c r="AQ337">
        <f t="shared" si="287"/>
        <v>6.6098178268108754E-3</v>
      </c>
      <c r="AR337">
        <f t="shared" si="288"/>
        <v>-8.1300759269773764</v>
      </c>
      <c r="AT337">
        <f t="shared" si="261"/>
        <v>-13426.657000492702</v>
      </c>
      <c r="AU337">
        <f t="shared" si="262"/>
        <v>-2816.9190251294003</v>
      </c>
      <c r="AV337">
        <f t="shared" si="302"/>
        <v>-2.9347915640076017</v>
      </c>
      <c r="AW337">
        <f t="shared" si="303"/>
        <v>-628.71005003674429</v>
      </c>
      <c r="AX337">
        <f t="shared" si="304"/>
        <v>-5302.4821810109424</v>
      </c>
      <c r="AY337">
        <f t="shared" si="312"/>
        <v>-1.6888143362828434</v>
      </c>
      <c r="BA337">
        <f t="shared" si="289"/>
        <v>2.5692760911028576</v>
      </c>
      <c r="BB337">
        <f t="shared" si="305"/>
        <v>8.1962155100044853</v>
      </c>
      <c r="BC337">
        <f t="shared" si="306"/>
        <v>-1.2459772277247583</v>
      </c>
      <c r="BD337">
        <f t="shared" si="290"/>
        <v>-251.38923659961341</v>
      </c>
      <c r="BF337">
        <f t="shared" si="291"/>
        <v>-43.792719467184035</v>
      </c>
      <c r="BG337">
        <f t="shared" si="292"/>
        <v>-182.65274336190274</v>
      </c>
      <c r="BH337">
        <f t="shared" si="307"/>
        <v>-2.6527433619027363</v>
      </c>
      <c r="BI337">
        <f t="shared" si="308"/>
        <v>-2.6527433619027363</v>
      </c>
      <c r="BJ337">
        <f t="shared" si="293"/>
        <v>0</v>
      </c>
      <c r="BK337">
        <f t="shared" si="309"/>
        <v>0</v>
      </c>
      <c r="BM337">
        <f t="shared" si="310"/>
        <v>-51.988934977188521</v>
      </c>
      <c r="BN337">
        <f t="shared" si="294"/>
        <v>-111.26350676228935</v>
      </c>
      <c r="BQ337" s="66">
        <f t="shared" si="311"/>
        <v>25.098176310289624</v>
      </c>
      <c r="BR337" s="71"/>
      <c r="BS337" s="71"/>
      <c r="BT337" s="71">
        <v>186208.71400000001</v>
      </c>
      <c r="BU337" s="71">
        <v>12.027799999999999</v>
      </c>
      <c r="BV337" s="71">
        <v>-144.279</v>
      </c>
      <c r="BY337" s="71"/>
      <c r="BZ337" s="71"/>
      <c r="CA337" s="71"/>
      <c r="CC337" s="71"/>
    </row>
    <row r="338" spans="1:81" x14ac:dyDescent="0.15">
      <c r="A338">
        <f t="shared" si="263"/>
        <v>620000</v>
      </c>
      <c r="B338">
        <f t="shared" si="295"/>
        <v>620</v>
      </c>
      <c r="C338">
        <f t="shared" si="264"/>
        <v>2.7587042988374475</v>
      </c>
      <c r="D338">
        <f t="shared" si="265"/>
        <v>1.1998591661195934</v>
      </c>
      <c r="F338">
        <f t="shared" si="266"/>
        <v>6.0224682772476677E-5</v>
      </c>
      <c r="G338">
        <f t="shared" si="267"/>
        <v>2.5419783882845936E-3</v>
      </c>
      <c r="H338">
        <f t="shared" si="268"/>
        <v>-3.1390506716117157</v>
      </c>
      <c r="J338">
        <f t="shared" si="269"/>
        <v>15</v>
      </c>
      <c r="M338">
        <f t="shared" si="270"/>
        <v>1.5371348587382304E-3</v>
      </c>
      <c r="N338">
        <f t="shared" si="271"/>
        <v>-1.5707963250000001</v>
      </c>
      <c r="O338">
        <f t="shared" si="272"/>
        <v>263.53753830765152</v>
      </c>
      <c r="P338">
        <f t="shared" si="273"/>
        <v>1.5670017918448664</v>
      </c>
      <c r="Q338">
        <f t="shared" si="274"/>
        <v>119.27890378930469</v>
      </c>
      <c r="R338">
        <f t="shared" si="275"/>
        <v>1.5624125163888645</v>
      </c>
      <c r="S338">
        <f t="shared" si="276"/>
        <v>0.38359846383433321</v>
      </c>
      <c r="T338">
        <f t="shared" si="277"/>
        <v>-1.1771066187665569</v>
      </c>
      <c r="U338">
        <f t="shared" si="278"/>
        <v>0.20666982470722731</v>
      </c>
      <c r="V338">
        <f t="shared" si="279"/>
        <v>-1.362626255769839</v>
      </c>
      <c r="X338">
        <f t="shared" si="296"/>
        <v>-40.403140845179344</v>
      </c>
      <c r="Y338">
        <f t="shared" si="280"/>
        <v>-167.3212316125904</v>
      </c>
      <c r="Z338">
        <f t="shared" si="297"/>
        <v>12.678768387409605</v>
      </c>
      <c r="AC338">
        <v>1</v>
      </c>
      <c r="AD338">
        <f t="shared" si="281"/>
        <v>263.53564103790006</v>
      </c>
      <c r="AE338">
        <f t="shared" si="282"/>
        <v>-0.15399342371897318</v>
      </c>
      <c r="AF338">
        <f t="shared" si="283"/>
        <v>3.2528050298100006E-2</v>
      </c>
      <c r="AG338">
        <f t="shared" si="298"/>
        <v>339.83088349193446</v>
      </c>
      <c r="AH338">
        <f t="shared" si="299"/>
        <v>-1639.5609557170912</v>
      </c>
      <c r="AJ338">
        <f t="shared" si="284"/>
        <v>20000</v>
      </c>
      <c r="AK338">
        <f t="shared" si="285"/>
        <v>48149.305590960001</v>
      </c>
      <c r="AL338">
        <v>1</v>
      </c>
      <c r="AM338">
        <f t="shared" si="286"/>
        <v>119.27471185954799</v>
      </c>
      <c r="AN338">
        <f t="shared" si="300"/>
        <v>405.06146639478288</v>
      </c>
      <c r="AO338">
        <f t="shared" si="301"/>
        <v>-164.28409868371133</v>
      </c>
      <c r="AQ338">
        <f t="shared" si="287"/>
        <v>6.5036378098089166E-3</v>
      </c>
      <c r="AR338">
        <f t="shared" si="288"/>
        <v>-8.0645108841630559</v>
      </c>
      <c r="AT338">
        <f t="shared" si="261"/>
        <v>-13220.047035646445</v>
      </c>
      <c r="AU338">
        <f t="shared" si="262"/>
        <v>-2751.2329693185407</v>
      </c>
      <c r="AV338">
        <f t="shared" si="302"/>
        <v>-2.9364106660766911</v>
      </c>
      <c r="AW338">
        <f t="shared" si="303"/>
        <v>-611.91579591139464</v>
      </c>
      <c r="AX338">
        <f t="shared" si="304"/>
        <v>-5260.5234442058381</v>
      </c>
      <c r="AY338">
        <f t="shared" si="312"/>
        <v>-1.6865981246181532</v>
      </c>
      <c r="BA338">
        <f t="shared" si="289"/>
        <v>2.549718575733781</v>
      </c>
      <c r="BB338">
        <f t="shared" si="305"/>
        <v>8.1298449596540507</v>
      </c>
      <c r="BC338">
        <f t="shared" si="306"/>
        <v>-1.2498125414585379</v>
      </c>
      <c r="BD338">
        <f t="shared" si="290"/>
        <v>-251.60898388991865</v>
      </c>
      <c r="BF338">
        <f t="shared" si="291"/>
        <v>-43.938736405095973</v>
      </c>
      <c r="BG338">
        <f t="shared" si="292"/>
        <v>-182.71647294919623</v>
      </c>
      <c r="BH338">
        <f t="shared" si="307"/>
        <v>-2.7164729491962305</v>
      </c>
      <c r="BI338">
        <f t="shared" si="308"/>
        <v>-2.7164729491962305</v>
      </c>
      <c r="BJ338">
        <f t="shared" si="293"/>
        <v>0</v>
      </c>
      <c r="BK338">
        <f t="shared" si="309"/>
        <v>0</v>
      </c>
      <c r="BM338">
        <f t="shared" si="310"/>
        <v>-52.068581364750024</v>
      </c>
      <c r="BN338">
        <f t="shared" si="294"/>
        <v>-111.10748905927763</v>
      </c>
      <c r="BQ338" s="66">
        <f t="shared" si="311"/>
        <v>25.031805759939189</v>
      </c>
      <c r="BR338" s="71"/>
      <c r="BS338" s="71"/>
      <c r="BT338" s="71">
        <v>190546.07199999999</v>
      </c>
      <c r="BU338" s="71">
        <v>12.182600000000001</v>
      </c>
      <c r="BV338" s="71">
        <v>-145.40799999999999</v>
      </c>
      <c r="BY338" s="71"/>
      <c r="BZ338" s="71"/>
      <c r="CA338" s="71"/>
      <c r="CC338" s="71"/>
    </row>
    <row r="339" spans="1:81" x14ac:dyDescent="0.15">
      <c r="A339">
        <f t="shared" si="263"/>
        <v>625000</v>
      </c>
      <c r="B339">
        <f t="shared" si="295"/>
        <v>625</v>
      </c>
      <c r="C339">
        <f t="shared" si="264"/>
        <v>2.778038783051763</v>
      </c>
      <c r="D339">
        <f t="shared" si="265"/>
        <v>1.2025646869467193</v>
      </c>
      <c r="F339">
        <f t="shared" si="266"/>
        <v>5.9264887472135508E-5</v>
      </c>
      <c r="G339">
        <f t="shared" si="267"/>
        <v>2.5216401881169408E-3</v>
      </c>
      <c r="H339">
        <f t="shared" si="268"/>
        <v>-3.1390710098118833</v>
      </c>
      <c r="J339">
        <f t="shared" si="269"/>
        <v>15</v>
      </c>
      <c r="M339">
        <f t="shared" si="270"/>
        <v>1.5248377798683245E-3</v>
      </c>
      <c r="N339">
        <f t="shared" si="271"/>
        <v>-1.5707963250000001</v>
      </c>
      <c r="O339">
        <f t="shared" si="272"/>
        <v>265.66281055732651</v>
      </c>
      <c r="P339">
        <f t="shared" si="273"/>
        <v>1.567032147836565</v>
      </c>
      <c r="Q339">
        <f t="shared" si="274"/>
        <v>120.24076309260809</v>
      </c>
      <c r="R339">
        <f t="shared" si="275"/>
        <v>1.5624795837669221</v>
      </c>
      <c r="S339">
        <f t="shared" si="276"/>
        <v>0.38097662329786902</v>
      </c>
      <c r="T339">
        <f t="shared" si="277"/>
        <v>-1.1799439766472339</v>
      </c>
      <c r="U339">
        <f t="shared" si="278"/>
        <v>0.20508627552268324</v>
      </c>
      <c r="V339">
        <f t="shared" si="279"/>
        <v>-1.3642444711162038</v>
      </c>
      <c r="X339">
        <f t="shared" si="296"/>
        <v>-40.538638313494808</v>
      </c>
      <c r="Y339">
        <f t="shared" si="280"/>
        <v>-167.41708557426142</v>
      </c>
      <c r="Z339">
        <f t="shared" si="297"/>
        <v>12.582914425738579</v>
      </c>
      <c r="AC339">
        <v>1</v>
      </c>
      <c r="AD339">
        <f t="shared" si="281"/>
        <v>265.66092846562503</v>
      </c>
      <c r="AE339">
        <f t="shared" si="282"/>
        <v>-0.1564872037987094</v>
      </c>
      <c r="AF339">
        <f t="shared" si="283"/>
        <v>3.2790373284375007E-2</v>
      </c>
      <c r="AG339">
        <f t="shared" si="298"/>
        <v>334.64311841371165</v>
      </c>
      <c r="AH339">
        <f t="shared" si="299"/>
        <v>-1627.5315138444096</v>
      </c>
      <c r="AJ339">
        <f t="shared" si="284"/>
        <v>20000</v>
      </c>
      <c r="AK339">
        <f t="shared" si="285"/>
        <v>48537.6064425</v>
      </c>
      <c r="AL339">
        <v>1</v>
      </c>
      <c r="AM339">
        <f t="shared" si="286"/>
        <v>120.23660469712499</v>
      </c>
      <c r="AN339">
        <f t="shared" si="300"/>
        <v>405.03951831982704</v>
      </c>
      <c r="AO339">
        <f t="shared" si="301"/>
        <v>-162.97000843494973</v>
      </c>
      <c r="AQ339">
        <f t="shared" si="287"/>
        <v>6.3999959040026214E-3</v>
      </c>
      <c r="AR339">
        <f t="shared" si="288"/>
        <v>-7.9999948800032765</v>
      </c>
      <c r="AT339">
        <f t="shared" si="261"/>
        <v>-13018.102063212107</v>
      </c>
      <c r="AU339">
        <f t="shared" si="262"/>
        <v>-2687.5594289602627</v>
      </c>
      <c r="AV339">
        <f t="shared" si="302"/>
        <v>-2.9380049770400984</v>
      </c>
      <c r="AW339">
        <f t="shared" si="303"/>
        <v>-595.5293185570531</v>
      </c>
      <c r="AX339">
        <f t="shared" si="304"/>
        <v>-5219.2183376386483</v>
      </c>
      <c r="AY339">
        <f t="shared" si="312"/>
        <v>-1.6844081321385511</v>
      </c>
      <c r="BA339">
        <f t="shared" si="289"/>
        <v>2.5304425029500042</v>
      </c>
      <c r="BB339">
        <f t="shared" si="305"/>
        <v>8.0639294732025508</v>
      </c>
      <c r="BC339">
        <f t="shared" si="306"/>
        <v>-1.2535968449015473</v>
      </c>
      <c r="BD339">
        <f t="shared" si="290"/>
        <v>-251.82580850584765</v>
      </c>
      <c r="BF339">
        <f t="shared" si="291"/>
        <v>-44.08352997406687</v>
      </c>
      <c r="BG339">
        <f t="shared" si="292"/>
        <v>-182.7794479332029</v>
      </c>
      <c r="BH339">
        <f t="shared" si="307"/>
        <v>-2.7794479332029027</v>
      </c>
      <c r="BI339">
        <f t="shared" si="308"/>
        <v>-2.7794479332029027</v>
      </c>
      <c r="BJ339">
        <f t="shared" si="293"/>
        <v>0</v>
      </c>
      <c r="BK339">
        <f t="shared" si="309"/>
        <v>0</v>
      </c>
      <c r="BM339">
        <f t="shared" si="310"/>
        <v>-52.147459447269419</v>
      </c>
      <c r="BN339">
        <f t="shared" si="294"/>
        <v>-110.95363942735526</v>
      </c>
      <c r="BQ339" s="66">
        <f t="shared" si="311"/>
        <v>24.965890273487688</v>
      </c>
      <c r="BR339" s="71"/>
      <c r="BS339" s="71"/>
      <c r="BT339" s="71">
        <v>194984.46</v>
      </c>
      <c r="BU339" s="71">
        <v>12.458399999999999</v>
      </c>
      <c r="BV339" s="71">
        <v>-146.886</v>
      </c>
      <c r="BY339" s="71"/>
      <c r="BZ339" s="71"/>
      <c r="CA339" s="71"/>
      <c r="CC339" s="71"/>
    </row>
    <row r="340" spans="1:81" x14ac:dyDescent="0.15">
      <c r="A340">
        <f t="shared" si="263"/>
        <v>630000</v>
      </c>
      <c r="B340">
        <f t="shared" si="295"/>
        <v>630</v>
      </c>
      <c r="C340">
        <f t="shared" si="264"/>
        <v>2.7973933208951305</v>
      </c>
      <c r="D340">
        <f t="shared" si="265"/>
        <v>1.2052327892941834</v>
      </c>
      <c r="F340">
        <f t="shared" si="266"/>
        <v>5.8327855346784116E-5</v>
      </c>
      <c r="G340">
        <f t="shared" si="267"/>
        <v>2.501624872357801E-3</v>
      </c>
      <c r="H340">
        <f t="shared" si="268"/>
        <v>-3.1390910251276423</v>
      </c>
      <c r="J340">
        <f t="shared" si="269"/>
        <v>15</v>
      </c>
      <c r="M340">
        <f t="shared" si="270"/>
        <v>1.5127358927265124E-3</v>
      </c>
      <c r="N340">
        <f t="shared" si="271"/>
        <v>-1.5707963250000001</v>
      </c>
      <c r="O340">
        <f t="shared" si="272"/>
        <v>267.78808304792028</v>
      </c>
      <c r="P340">
        <f t="shared" si="273"/>
        <v>1.5670620219938989</v>
      </c>
      <c r="Q340">
        <f t="shared" si="274"/>
        <v>121.20262292817416</v>
      </c>
      <c r="R340">
        <f t="shared" si="275"/>
        <v>1.5625455866564741</v>
      </c>
      <c r="S340">
        <f t="shared" si="276"/>
        <v>0.37838739479862182</v>
      </c>
      <c r="T340">
        <f t="shared" si="277"/>
        <v>-1.1827427897784861</v>
      </c>
      <c r="U340">
        <f t="shared" si="278"/>
        <v>0.20352628794883634</v>
      </c>
      <c r="V340">
        <f t="shared" si="279"/>
        <v>-1.3658380726914439</v>
      </c>
      <c r="X340">
        <f t="shared" si="296"/>
        <v>-40.67311301489913</v>
      </c>
      <c r="Y340">
        <f t="shared" si="280"/>
        <v>-167.51153483808375</v>
      </c>
      <c r="Z340">
        <f t="shared" si="297"/>
        <v>12.488465161916253</v>
      </c>
      <c r="AC340">
        <v>1</v>
      </c>
      <c r="AD340">
        <f t="shared" si="281"/>
        <v>267.78621589335</v>
      </c>
      <c r="AE340">
        <f t="shared" si="282"/>
        <v>-0.15900101424053184</v>
      </c>
      <c r="AF340">
        <f t="shared" si="283"/>
        <v>3.3052696270650002E-2</v>
      </c>
      <c r="AG340">
        <f t="shared" si="298"/>
        <v>329.57155854121464</v>
      </c>
      <c r="AH340">
        <f t="shared" si="299"/>
        <v>-1615.6688590729534</v>
      </c>
      <c r="AJ340">
        <f t="shared" si="284"/>
        <v>20000</v>
      </c>
      <c r="AK340">
        <f t="shared" si="285"/>
        <v>48925.90729404</v>
      </c>
      <c r="AL340">
        <v>1</v>
      </c>
      <c r="AM340">
        <f t="shared" si="286"/>
        <v>121.198497534702</v>
      </c>
      <c r="AN340">
        <f t="shared" si="300"/>
        <v>405.01809069417249</v>
      </c>
      <c r="AO340">
        <f t="shared" si="301"/>
        <v>-161.67677246737583</v>
      </c>
      <c r="AQ340">
        <f t="shared" si="287"/>
        <v>6.2988118551197689E-3</v>
      </c>
      <c r="AR340">
        <f t="shared" si="288"/>
        <v>-7.9365029374509088</v>
      </c>
      <c r="AT340">
        <f t="shared" si="261"/>
        <v>-12820.684736740404</v>
      </c>
      <c r="AU340">
        <f t="shared" si="262"/>
        <v>-2625.8224366261006</v>
      </c>
      <c r="AV340">
        <f t="shared" si="302"/>
        <v>-2.9395750536603229</v>
      </c>
      <c r="AW340">
        <f t="shared" si="303"/>
        <v>-579.53748943823894</v>
      </c>
      <c r="AX340">
        <f t="shared" si="304"/>
        <v>-5178.5518050006613</v>
      </c>
      <c r="AY340">
        <f t="shared" si="312"/>
        <v>-1.6822437228966325</v>
      </c>
      <c r="BA340">
        <f t="shared" si="289"/>
        <v>2.51144212416841</v>
      </c>
      <c r="BB340">
        <f t="shared" si="305"/>
        <v>7.9984634871089657</v>
      </c>
      <c r="BC340">
        <f t="shared" si="306"/>
        <v>-1.2573313307636904</v>
      </c>
      <c r="BD340">
        <f t="shared" si="290"/>
        <v>-252.03977878464423</v>
      </c>
      <c r="BF340">
        <f t="shared" si="291"/>
        <v>-44.227120495894468</v>
      </c>
      <c r="BG340">
        <f t="shared" si="292"/>
        <v>-182.84169400112609</v>
      </c>
      <c r="BH340">
        <f t="shared" si="307"/>
        <v>-2.8416940011260863</v>
      </c>
      <c r="BI340">
        <f t="shared" si="308"/>
        <v>-2.8416940011260863</v>
      </c>
      <c r="BJ340">
        <f t="shared" si="293"/>
        <v>0</v>
      </c>
      <c r="BK340">
        <f t="shared" si="309"/>
        <v>0</v>
      </c>
      <c r="BM340">
        <f t="shared" si="310"/>
        <v>-52.225583983003439</v>
      </c>
      <c r="BN340">
        <f t="shared" si="294"/>
        <v>-110.80191521648186</v>
      </c>
      <c r="BQ340" s="66">
        <f t="shared" si="311"/>
        <v>24.900424287394102</v>
      </c>
      <c r="BR340" s="71"/>
      <c r="BS340" s="71"/>
      <c r="BT340" s="71">
        <v>199526.231</v>
      </c>
      <c r="BU340" s="71">
        <v>12.6511</v>
      </c>
      <c r="BV340" s="71">
        <v>-147.23699999999999</v>
      </c>
      <c r="BY340" s="71"/>
      <c r="BZ340" s="71"/>
      <c r="CA340" s="71"/>
      <c r="CC340" s="71"/>
    </row>
    <row r="341" spans="1:81" x14ac:dyDescent="0.15">
      <c r="A341">
        <f t="shared" si="263"/>
        <v>635000</v>
      </c>
      <c r="B341">
        <f t="shared" si="295"/>
        <v>635</v>
      </c>
      <c r="C341">
        <f t="shared" si="264"/>
        <v>2.8167674989908393</v>
      </c>
      <c r="D341">
        <f t="shared" si="265"/>
        <v>1.2078642068893153</v>
      </c>
      <c r="F341">
        <f t="shared" si="266"/>
        <v>5.7412872209886887E-5</v>
      </c>
      <c r="G341">
        <f t="shared" si="267"/>
        <v>2.4819248120784357E-3</v>
      </c>
      <c r="H341">
        <f t="shared" si="268"/>
        <v>-3.1391107251879218</v>
      </c>
      <c r="J341">
        <f t="shared" si="269"/>
        <v>15</v>
      </c>
      <c r="M341">
        <f t="shared" si="270"/>
        <v>1.5008245864845712E-3</v>
      </c>
      <c r="N341">
        <f t="shared" si="271"/>
        <v>-1.5707963250000001</v>
      </c>
      <c r="O341">
        <f t="shared" si="272"/>
        <v>269.91335577374213</v>
      </c>
      <c r="P341">
        <f t="shared" si="273"/>
        <v>1.5670914256985711</v>
      </c>
      <c r="Q341">
        <f t="shared" si="274"/>
        <v>122.16448328343063</v>
      </c>
      <c r="R341">
        <f t="shared" si="275"/>
        <v>1.5626105502006447</v>
      </c>
      <c r="S341">
        <f t="shared" si="276"/>
        <v>0.37583023838362983</v>
      </c>
      <c r="T341">
        <f t="shared" si="277"/>
        <v>-1.1855037953235319</v>
      </c>
      <c r="U341">
        <f t="shared" si="278"/>
        <v>0.20198935188706277</v>
      </c>
      <c r="V341">
        <f t="shared" si="279"/>
        <v>-1.3674076099237376</v>
      </c>
      <c r="X341">
        <f t="shared" si="296"/>
        <v>-40.806579959553034</v>
      </c>
      <c r="Y341">
        <f t="shared" si="280"/>
        <v>-167.60460942522221</v>
      </c>
      <c r="Z341">
        <f t="shared" si="297"/>
        <v>12.395390574777792</v>
      </c>
      <c r="AC341">
        <v>1</v>
      </c>
      <c r="AD341">
        <f t="shared" si="281"/>
        <v>269.91150332107503</v>
      </c>
      <c r="AE341">
        <f t="shared" si="282"/>
        <v>-0.16153485504444054</v>
      </c>
      <c r="AF341">
        <f t="shared" si="283"/>
        <v>3.3315019256925003E-2</v>
      </c>
      <c r="AG341">
        <f t="shared" si="298"/>
        <v>324.61280970289283</v>
      </c>
      <c r="AH341">
        <f t="shared" si="299"/>
        <v>-1603.9697515653654</v>
      </c>
      <c r="AJ341">
        <f t="shared" si="284"/>
        <v>20000</v>
      </c>
      <c r="AK341">
        <f t="shared" si="285"/>
        <v>49314.20814558</v>
      </c>
      <c r="AL341">
        <v>1</v>
      </c>
      <c r="AM341">
        <f t="shared" si="286"/>
        <v>122.160390372279</v>
      </c>
      <c r="AN341">
        <f t="shared" si="300"/>
        <v>404.9971671922616</v>
      </c>
      <c r="AO341">
        <f t="shared" si="301"/>
        <v>-160.40389829381471</v>
      </c>
      <c r="AQ341">
        <f t="shared" si="287"/>
        <v>6.2000085560118077E-3</v>
      </c>
      <c r="AR341">
        <f t="shared" si="288"/>
        <v>-7.874010866134995</v>
      </c>
      <c r="AT341">
        <f t="shared" si="261"/>
        <v>-12627.662650579987</v>
      </c>
      <c r="AU341">
        <f t="shared" si="262"/>
        <v>-2565.9494170704788</v>
      </c>
      <c r="AV341">
        <f t="shared" si="302"/>
        <v>-2.9411214364028861</v>
      </c>
      <c r="AW341">
        <f t="shared" si="303"/>
        <v>-563.92770512877166</v>
      </c>
      <c r="AX341">
        <f t="shared" si="304"/>
        <v>-5138.5092466383849</v>
      </c>
      <c r="AY341">
        <f t="shared" si="312"/>
        <v>-1.6801042812997564</v>
      </c>
      <c r="BA341">
        <f t="shared" si="289"/>
        <v>2.4927118352042568</v>
      </c>
      <c r="BB341">
        <f t="shared" si="305"/>
        <v>7.9334415138047012</v>
      </c>
      <c r="BC341">
        <f t="shared" si="306"/>
        <v>-1.2610171551031297</v>
      </c>
      <c r="BD341">
        <f t="shared" si="290"/>
        <v>-252.25096096356202</v>
      </c>
      <c r="BF341">
        <f t="shared" si="291"/>
        <v>-44.369527804925681</v>
      </c>
      <c r="BG341">
        <f t="shared" si="292"/>
        <v>-182.90323578784552</v>
      </c>
      <c r="BH341">
        <f t="shared" si="307"/>
        <v>-2.9032357878455173</v>
      </c>
      <c r="BI341">
        <f t="shared" si="308"/>
        <v>-2.9032357878455173</v>
      </c>
      <c r="BJ341">
        <f t="shared" si="293"/>
        <v>0</v>
      </c>
      <c r="BK341">
        <f t="shared" si="309"/>
        <v>0</v>
      </c>
      <c r="BM341">
        <f t="shared" si="310"/>
        <v>-52.302969318730383</v>
      </c>
      <c r="BN341">
        <f t="shared" si="294"/>
        <v>-110.65227482428351</v>
      </c>
      <c r="BQ341" s="66">
        <f t="shared" si="311"/>
        <v>24.835402314089837</v>
      </c>
      <c r="BR341" s="71"/>
      <c r="BS341" s="71"/>
      <c r="BT341" s="71">
        <v>204173.79399999999</v>
      </c>
      <c r="BU341" s="71">
        <v>12.903600000000001</v>
      </c>
      <c r="BV341" s="71">
        <v>-148.923</v>
      </c>
      <c r="BY341" s="71"/>
      <c r="BZ341" s="71"/>
      <c r="CA341" s="71"/>
      <c r="CC341" s="71"/>
    </row>
    <row r="342" spans="1:81" x14ac:dyDescent="0.15">
      <c r="A342">
        <f t="shared" si="263"/>
        <v>640000</v>
      </c>
      <c r="B342">
        <f t="shared" si="295"/>
        <v>640</v>
      </c>
      <c r="C342">
        <f t="shared" si="264"/>
        <v>2.8361609148436884</v>
      </c>
      <c r="D342">
        <f t="shared" si="265"/>
        <v>1.2104596554535796</v>
      </c>
      <c r="F342">
        <f t="shared" si="266"/>
        <v>5.6519251666469543E-5</v>
      </c>
      <c r="G342">
        <f t="shared" si="267"/>
        <v>2.4625326168212268E-3</v>
      </c>
      <c r="H342">
        <f t="shared" si="268"/>
        <v>-3.1391301173831789</v>
      </c>
      <c r="J342">
        <f t="shared" si="269"/>
        <v>15</v>
      </c>
      <c r="M342">
        <f t="shared" si="270"/>
        <v>1.4890993944026605E-3</v>
      </c>
      <c r="N342">
        <f t="shared" si="271"/>
        <v>-1.5707963250000001</v>
      </c>
      <c r="O342">
        <f t="shared" si="272"/>
        <v>272.0386287292788</v>
      </c>
      <c r="P342">
        <f t="shared" si="273"/>
        <v>1.5671203699766152</v>
      </c>
      <c r="Q342">
        <f t="shared" si="274"/>
        <v>123.12634414619804</v>
      </c>
      <c r="R342">
        <f t="shared" si="275"/>
        <v>1.5626744987569234</v>
      </c>
      <c r="S342">
        <f t="shared" si="276"/>
        <v>0.37330462398703301</v>
      </c>
      <c r="T342">
        <f t="shared" si="277"/>
        <v>-1.1882277129699514</v>
      </c>
      <c r="U342">
        <f t="shared" si="278"/>
        <v>0.20047497149499457</v>
      </c>
      <c r="V342">
        <f t="shared" si="279"/>
        <v>-1.3689536162467091</v>
      </c>
      <c r="X342">
        <f t="shared" si="296"/>
        <v>-40.939053834972086</v>
      </c>
      <c r="Y342">
        <f t="shared" si="280"/>
        <v>-167.69633852252929</v>
      </c>
      <c r="Z342">
        <f t="shared" si="297"/>
        <v>12.303661477470712</v>
      </c>
      <c r="AC342">
        <v>1</v>
      </c>
      <c r="AD342">
        <f t="shared" si="281"/>
        <v>272.0367907488</v>
      </c>
      <c r="AE342">
        <f t="shared" si="282"/>
        <v>-0.16408872621043549</v>
      </c>
      <c r="AF342">
        <f t="shared" si="283"/>
        <v>3.3577342243199998E-2</v>
      </c>
      <c r="AG342">
        <f t="shared" si="298"/>
        <v>319.76359885118984</v>
      </c>
      <c r="AH342">
        <f t="shared" si="299"/>
        <v>-1592.4310279437007</v>
      </c>
      <c r="AJ342">
        <f t="shared" si="284"/>
        <v>20000</v>
      </c>
      <c r="AK342">
        <f t="shared" si="285"/>
        <v>49702.50899712</v>
      </c>
      <c r="AL342">
        <v>1</v>
      </c>
      <c r="AM342">
        <f t="shared" si="286"/>
        <v>123.12228320985599</v>
      </c>
      <c r="AN342">
        <f t="shared" si="300"/>
        <v>404.97673212366732</v>
      </c>
      <c r="AO342">
        <f t="shared" si="301"/>
        <v>-159.15090881215676</v>
      </c>
      <c r="AQ342">
        <f t="shared" si="287"/>
        <v>6.1035118997119749E-3</v>
      </c>
      <c r="AR342">
        <f t="shared" si="288"/>
        <v>-7.8124952316313285</v>
      </c>
      <c r="AT342">
        <f t="shared" ref="AT342:AT405" si="313">-AR342*AH342+AG342*AQ342</f>
        <v>-12438.908131581255</v>
      </c>
      <c r="AU342">
        <f t="shared" ref="AU342:AU405" si="314">AQ342*AH342+AG342*AR342</f>
        <v>-2507.8710130027184</v>
      </c>
      <c r="AV342">
        <f t="shared" si="302"/>
        <v>-2.9426446500188326</v>
      </c>
      <c r="AW342">
        <f t="shared" si="303"/>
        <v>-548.68786227708961</v>
      </c>
      <c r="AX342">
        <f t="shared" si="304"/>
        <v>-5099.0765024221173</v>
      </c>
      <c r="AY342">
        <f t="shared" si="312"/>
        <v>-1.6779892113112482</v>
      </c>
      <c r="BA342">
        <f t="shared" si="289"/>
        <v>2.4742461722996065</v>
      </c>
      <c r="BB342">
        <f t="shared" si="305"/>
        <v>7.868858141534087</v>
      </c>
      <c r="BC342">
        <f t="shared" si="306"/>
        <v>-1.2646554387075843</v>
      </c>
      <c r="BD342">
        <f t="shared" si="290"/>
        <v>-252.45941925900712</v>
      </c>
      <c r="BF342">
        <f t="shared" si="291"/>
        <v>-44.510771262862505</v>
      </c>
      <c r="BG342">
        <f t="shared" si="292"/>
        <v>-182.96409692539007</v>
      </c>
      <c r="BH342">
        <f t="shared" si="307"/>
        <v>-2.9640969253900664</v>
      </c>
      <c r="BI342">
        <f t="shared" si="308"/>
        <v>-2.9640969253900664</v>
      </c>
      <c r="BJ342">
        <f t="shared" si="293"/>
        <v>0</v>
      </c>
      <c r="BK342">
        <f t="shared" si="309"/>
        <v>0</v>
      </c>
      <c r="BM342">
        <f t="shared" si="310"/>
        <v>-52.379629404396596</v>
      </c>
      <c r="BN342">
        <f t="shared" si="294"/>
        <v>-110.50467766638295</v>
      </c>
      <c r="BQ342" s="66">
        <f t="shared" si="311"/>
        <v>24.770818941819222</v>
      </c>
      <c r="BR342" s="71"/>
      <c r="BS342" s="71"/>
      <c r="BT342" s="71">
        <v>208929.61300000001</v>
      </c>
      <c r="BU342" s="71">
        <v>13.1541</v>
      </c>
      <c r="BV342" s="71">
        <v>-149.92099999999999</v>
      </c>
      <c r="BY342" s="71"/>
      <c r="BZ342" s="71"/>
      <c r="CA342" s="71"/>
      <c r="CC342" s="71"/>
    </row>
    <row r="343" spans="1:81" x14ac:dyDescent="0.15">
      <c r="A343">
        <f t="shared" si="263"/>
        <v>645000</v>
      </c>
      <c r="B343">
        <f t="shared" si="295"/>
        <v>645</v>
      </c>
      <c r="C343">
        <f t="shared" si="264"/>
        <v>2.8555731764982535</v>
      </c>
      <c r="D343">
        <f t="shared" si="265"/>
        <v>1.2130198332139399</v>
      </c>
      <c r="F343">
        <f t="shared" si="266"/>
        <v>5.5646333825361446E-5</v>
      </c>
      <c r="G343">
        <f t="shared" si="267"/>
        <v>2.4434411253535363E-3</v>
      </c>
      <c r="H343">
        <f t="shared" si="268"/>
        <v>-3.1391492088746467</v>
      </c>
      <c r="J343">
        <f t="shared" si="269"/>
        <v>15</v>
      </c>
      <c r="M343">
        <f t="shared" si="270"/>
        <v>1.4775559882445005E-3</v>
      </c>
      <c r="N343">
        <f t="shared" si="271"/>
        <v>-1.5707963250000001</v>
      </c>
      <c r="O343">
        <f t="shared" si="272"/>
        <v>274.16390190918833</v>
      </c>
      <c r="P343">
        <f t="shared" si="273"/>
        <v>1.5671488655121795</v>
      </c>
      <c r="Q343">
        <f t="shared" si="274"/>
        <v>124.08820550467458</v>
      </c>
      <c r="R343">
        <f t="shared" si="275"/>
        <v>1.5627374559276117</v>
      </c>
      <c r="S343">
        <f t="shared" si="276"/>
        <v>0.37081003128574647</v>
      </c>
      <c r="T343">
        <f t="shared" si="277"/>
        <v>-1.1909152454018455</v>
      </c>
      <c r="U343">
        <f t="shared" si="278"/>
        <v>0.19898266470587056</v>
      </c>
      <c r="V343">
        <f t="shared" si="279"/>
        <v>-1.3704766096684011</v>
      </c>
      <c r="X343">
        <f t="shared" si="296"/>
        <v>-41.07054901509234</v>
      </c>
      <c r="Y343">
        <f t="shared" si="280"/>
        <v>-167.78675051089425</v>
      </c>
      <c r="Z343">
        <f t="shared" si="297"/>
        <v>12.213249489105749</v>
      </c>
      <c r="AC343">
        <v>1</v>
      </c>
      <c r="AD343">
        <f t="shared" si="281"/>
        <v>274.16207817652503</v>
      </c>
      <c r="AE343">
        <f t="shared" si="282"/>
        <v>-0.16666262773851667</v>
      </c>
      <c r="AF343">
        <f t="shared" si="283"/>
        <v>3.3839665229474999E-2</v>
      </c>
      <c r="AG343">
        <f t="shared" si="298"/>
        <v>315.02076899757924</v>
      </c>
      <c r="AH343">
        <f t="shared" si="299"/>
        <v>-1581.0495993542913</v>
      </c>
      <c r="AJ343">
        <f t="shared" si="284"/>
        <v>20000</v>
      </c>
      <c r="AK343">
        <f t="shared" si="285"/>
        <v>50090.809848659999</v>
      </c>
      <c r="AL343">
        <v>1</v>
      </c>
      <c r="AM343">
        <f t="shared" si="286"/>
        <v>124.084176047433</v>
      </c>
      <c r="AN343">
        <f t="shared" si="300"/>
        <v>404.95677040367303</v>
      </c>
      <c r="AO343">
        <f t="shared" si="301"/>
        <v>-157.91734170927512</v>
      </c>
      <c r="AQ343">
        <f t="shared" si="287"/>
        <v>6.0092506404358873E-3</v>
      </c>
      <c r="AR343">
        <f t="shared" si="288"/>
        <v>-7.7519333261622938</v>
      </c>
      <c r="AT343">
        <f t="shared" si="313"/>
        <v>-12254.298040792224</v>
      </c>
      <c r="AU343">
        <f t="shared" si="314"/>
        <v>-2451.5209209430886</v>
      </c>
      <c r="AV343">
        <f t="shared" si="302"/>
        <v>-2.9441452041028429</v>
      </c>
      <c r="AW343">
        <f t="shared" si="303"/>
        <v>-533.80633395395489</v>
      </c>
      <c r="AX343">
        <f t="shared" si="304"/>
        <v>-5060.2398353794388</v>
      </c>
      <c r="AY343">
        <f t="shared" si="312"/>
        <v>-1.6758979356883632</v>
      </c>
      <c r="BA343">
        <f t="shared" si="289"/>
        <v>2.456039808249308</v>
      </c>
      <c r="BB343">
        <f t="shared" si="305"/>
        <v>7.8047080340967643</v>
      </c>
      <c r="BC343">
        <f t="shared" si="306"/>
        <v>-1.2682472684144797</v>
      </c>
      <c r="BD343">
        <f t="shared" si="290"/>
        <v>-252.66521594217707</v>
      </c>
      <c r="BF343">
        <f t="shared" si="291"/>
        <v>-44.65086977304346</v>
      </c>
      <c r="BG343">
        <f t="shared" si="292"/>
        <v>-183.02430008980747</v>
      </c>
      <c r="BH343">
        <f t="shared" si="307"/>
        <v>-3.0243000898074683</v>
      </c>
      <c r="BI343">
        <f t="shared" si="308"/>
        <v>-3.0243000898074683</v>
      </c>
      <c r="BJ343">
        <f t="shared" si="293"/>
        <v>0</v>
      </c>
      <c r="BK343">
        <f t="shared" si="309"/>
        <v>0</v>
      </c>
      <c r="BM343">
        <f t="shared" si="310"/>
        <v>-52.455577807140223</v>
      </c>
      <c r="BN343">
        <f t="shared" si="294"/>
        <v>-110.35908414763041</v>
      </c>
      <c r="BQ343" s="66">
        <f t="shared" si="311"/>
        <v>24.706668834381901</v>
      </c>
      <c r="BR343" s="71"/>
      <c r="BS343" s="71"/>
      <c r="BT343" s="71">
        <v>213796.209</v>
      </c>
      <c r="BU343" s="71">
        <v>13.368399999999999</v>
      </c>
      <c r="BV343" s="71">
        <v>-151.101</v>
      </c>
      <c r="BY343" s="71"/>
      <c r="BZ343" s="71"/>
      <c r="CA343" s="71"/>
      <c r="CC343" s="71"/>
    </row>
    <row r="344" spans="1:81" x14ac:dyDescent="0.15">
      <c r="A344">
        <f t="shared" si="263"/>
        <v>650000</v>
      </c>
      <c r="B344">
        <f t="shared" si="295"/>
        <v>650</v>
      </c>
      <c r="C344">
        <f t="shared" si="264"/>
        <v>2.875003902209373</v>
      </c>
      <c r="D344">
        <f t="shared" si="265"/>
        <v>1.2155454213985397</v>
      </c>
      <c r="F344">
        <f t="shared" si="266"/>
        <v>5.4793484080520347E-5</v>
      </c>
      <c r="G344">
        <f t="shared" si="267"/>
        <v>2.4246433968484532E-3</v>
      </c>
      <c r="H344">
        <f t="shared" si="268"/>
        <v>-3.1391680066031515</v>
      </c>
      <c r="J344">
        <f t="shared" si="269"/>
        <v>15</v>
      </c>
      <c r="M344">
        <f t="shared" si="270"/>
        <v>1.4661901729503121E-3</v>
      </c>
      <c r="N344">
        <f t="shared" si="271"/>
        <v>-1.5707963250000001</v>
      </c>
      <c r="O344">
        <f t="shared" si="272"/>
        <v>276.28917530829273</v>
      </c>
      <c r="P344">
        <f t="shared" si="273"/>
        <v>1.5671769226606767</v>
      </c>
      <c r="Q344">
        <f t="shared" si="274"/>
        <v>125.05006734742156</v>
      </c>
      <c r="R344">
        <f t="shared" si="275"/>
        <v>1.5627994445888647</v>
      </c>
      <c r="S344">
        <f t="shared" si="276"/>
        <v>0.36834594955298117</v>
      </c>
      <c r="T344">
        <f t="shared" si="277"/>
        <v>-1.1935670787586323</v>
      </c>
      <c r="U344">
        <f t="shared" si="278"/>
        <v>0.19751196276655439</v>
      </c>
      <c r="V344">
        <f t="shared" si="279"/>
        <v>-1.3719770933165276</v>
      </c>
      <c r="X344">
        <f t="shared" si="296"/>
        <v>-41.201079569022738</v>
      </c>
      <c r="Y344">
        <f t="shared" si="280"/>
        <v>-167.87587299245857</v>
      </c>
      <c r="Z344">
        <f t="shared" si="297"/>
        <v>12.124127007541432</v>
      </c>
      <c r="AC344">
        <v>1</v>
      </c>
      <c r="AD344">
        <f t="shared" si="281"/>
        <v>276.28736560425006</v>
      </c>
      <c r="AE344">
        <f t="shared" si="282"/>
        <v>-0.16925655962868408</v>
      </c>
      <c r="AF344">
        <f t="shared" si="283"/>
        <v>3.4101988215750001E-2</v>
      </c>
      <c r="AG344">
        <f t="shared" si="298"/>
        <v>310.38127438854059</v>
      </c>
      <c r="AH344">
        <f t="shared" si="299"/>
        <v>-1569.8224495733734</v>
      </c>
      <c r="AJ344">
        <f t="shared" si="284"/>
        <v>20000</v>
      </c>
      <c r="AK344">
        <f t="shared" si="285"/>
        <v>50479.110700200006</v>
      </c>
      <c r="AL344">
        <v>1</v>
      </c>
      <c r="AM344">
        <f t="shared" si="286"/>
        <v>125.04606888501</v>
      </c>
      <c r="AN344">
        <f t="shared" si="300"/>
        <v>404.93726752542841</v>
      </c>
      <c r="AO344">
        <f t="shared" si="301"/>
        <v>-156.70274889244072</v>
      </c>
      <c r="AQ344">
        <f t="shared" si="287"/>
        <v>5.9171562620377151E-3</v>
      </c>
      <c r="AR344">
        <f t="shared" si="288"/>
        <v>-7.6923031406490292</v>
      </c>
      <c r="AT344">
        <f t="shared" si="313"/>
        <v>-12073.713584613246</v>
      </c>
      <c r="AU344">
        <f t="shared" si="314"/>
        <v>-2396.8357365153993</v>
      </c>
      <c r="AV344">
        <f t="shared" si="302"/>
        <v>-2.9456235936281354</v>
      </c>
      <c r="AW344">
        <f t="shared" si="303"/>
        <v>-519.27194729597329</v>
      </c>
      <c r="AX344">
        <f t="shared" si="304"/>
        <v>-5021.9859160539727</v>
      </c>
      <c r="AY344">
        <f t="shared" si="312"/>
        <v>-1.6738298952550852</v>
      </c>
      <c r="BA344">
        <f t="shared" si="289"/>
        <v>2.4380875486244178</v>
      </c>
      <c r="BB344">
        <f t="shared" si="305"/>
        <v>7.740985930502192</v>
      </c>
      <c r="BC344">
        <f t="shared" si="306"/>
        <v>-1.2717936983730502</v>
      </c>
      <c r="BD344">
        <f t="shared" si="290"/>
        <v>-252.8684114113741</v>
      </c>
      <c r="BF344">
        <f t="shared" si="291"/>
        <v>-44.789841794220351</v>
      </c>
      <c r="BG344">
        <f t="shared" si="292"/>
        <v>-183.08386704558248</v>
      </c>
      <c r="BH344">
        <f t="shared" si="307"/>
        <v>-3.0838670455824797</v>
      </c>
      <c r="BI344">
        <f t="shared" si="308"/>
        <v>-3.0838670455824797</v>
      </c>
      <c r="BJ344">
        <f t="shared" si="293"/>
        <v>0</v>
      </c>
      <c r="BK344">
        <f t="shared" si="309"/>
        <v>0</v>
      </c>
      <c r="BM344">
        <f t="shared" si="310"/>
        <v>-52.530827724722542</v>
      </c>
      <c r="BN344">
        <f t="shared" si="294"/>
        <v>-110.21545563420837</v>
      </c>
      <c r="BQ344" s="66">
        <f t="shared" si="311"/>
        <v>24.64294673078733</v>
      </c>
      <c r="BR344" s="71"/>
      <c r="BS344" s="71"/>
      <c r="BT344" s="71">
        <v>218776.16200000001</v>
      </c>
      <c r="BU344" s="71">
        <v>13.6015</v>
      </c>
      <c r="BV344" s="71">
        <v>-153.08699999999999</v>
      </c>
      <c r="BY344" s="71"/>
      <c r="BZ344" s="71"/>
      <c r="CA344" s="71"/>
      <c r="CC344" s="71"/>
    </row>
    <row r="345" spans="1:81" x14ac:dyDescent="0.15">
      <c r="A345">
        <f t="shared" si="263"/>
        <v>655000</v>
      </c>
      <c r="B345">
        <f t="shared" si="295"/>
        <v>655</v>
      </c>
      <c r="C345">
        <f t="shared" si="264"/>
        <v>2.8944527201243719</v>
      </c>
      <c r="D345">
        <f t="shared" si="265"/>
        <v>1.218037084717166</v>
      </c>
      <c r="F345">
        <f t="shared" si="266"/>
        <v>5.3960091957236122E-5</v>
      </c>
      <c r="G345">
        <f t="shared" si="267"/>
        <v>2.4061327024696454E-3</v>
      </c>
      <c r="H345">
        <f t="shared" si="268"/>
        <v>-3.1391865172975306</v>
      </c>
      <c r="J345">
        <f t="shared" si="269"/>
        <v>15</v>
      </c>
      <c r="M345">
        <f t="shared" si="270"/>
        <v>1.4549978815537447E-3</v>
      </c>
      <c r="N345">
        <f t="shared" si="271"/>
        <v>-1.5707963250000001</v>
      </c>
      <c r="O345">
        <f t="shared" si="272"/>
        <v>278.4144489215725</v>
      </c>
      <c r="P345">
        <f t="shared" si="273"/>
        <v>1.5672045514613304</v>
      </c>
      <c r="Q345">
        <f t="shared" si="274"/>
        <v>126.01192966334956</v>
      </c>
      <c r="R345">
        <f t="shared" si="275"/>
        <v>1.562860486918404</v>
      </c>
      <c r="S345">
        <f t="shared" si="276"/>
        <v>0.36591187751006032</v>
      </c>
      <c r="T345">
        <f t="shared" si="277"/>
        <v>-1.1961838830808194</v>
      </c>
      <c r="U345">
        <f t="shared" si="278"/>
        <v>0.19606240979341596</v>
      </c>
      <c r="V345">
        <f t="shared" si="279"/>
        <v>-1.373455555961129</v>
      </c>
      <c r="X345">
        <f t="shared" si="296"/>
        <v>-41.33065926949704</v>
      </c>
      <c r="Y345">
        <f t="shared" si="280"/>
        <v>-167.96373281674954</v>
      </c>
      <c r="Z345">
        <f t="shared" si="297"/>
        <v>12.036267183250459</v>
      </c>
      <c r="AC345">
        <v>1</v>
      </c>
      <c r="AD345">
        <f t="shared" si="281"/>
        <v>278.41265303197508</v>
      </c>
      <c r="AE345">
        <f t="shared" si="282"/>
        <v>-0.17187052188093771</v>
      </c>
      <c r="AF345">
        <f t="shared" si="283"/>
        <v>3.4364311202025002E-2</v>
      </c>
      <c r="AG345">
        <f t="shared" si="298"/>
        <v>305.84217590973634</v>
      </c>
      <c r="AH345">
        <f t="shared" si="299"/>
        <v>-1558.7466331538596</v>
      </c>
      <c r="AJ345">
        <f t="shared" si="284"/>
        <v>20000</v>
      </c>
      <c r="AK345">
        <f t="shared" si="285"/>
        <v>50867.411551739999</v>
      </c>
      <c r="AL345">
        <v>1</v>
      </c>
      <c r="AM345">
        <f t="shared" si="286"/>
        <v>126.00796172258698</v>
      </c>
      <c r="AN345">
        <f t="shared" si="300"/>
        <v>404.91820953358763</v>
      </c>
      <c r="AO345">
        <f t="shared" si="301"/>
        <v>-155.50669594676876</v>
      </c>
      <c r="AQ345">
        <f t="shared" si="287"/>
        <v>5.8271628534684143E-3</v>
      </c>
      <c r="AR345">
        <f t="shared" si="288"/>
        <v>-7.6335833380436231</v>
      </c>
      <c r="AT345">
        <f t="shared" si="313"/>
        <v>-11897.040134908413</v>
      </c>
      <c r="AU345">
        <f t="shared" si="314"/>
        <v>-2343.7548085742533</v>
      </c>
      <c r="AV345">
        <f t="shared" si="302"/>
        <v>-2.9470802994592393</v>
      </c>
      <c r="AW345">
        <f t="shared" si="303"/>
        <v>-505.07396236441218</v>
      </c>
      <c r="AX345">
        <f t="shared" si="304"/>
        <v>-4984.3018075521577</v>
      </c>
      <c r="AY345">
        <f t="shared" si="312"/>
        <v>-1.671784548207957</v>
      </c>
      <c r="BA345">
        <f t="shared" si="289"/>
        <v>2.4203843280925725</v>
      </c>
      <c r="BB345">
        <f t="shared" si="305"/>
        <v>7.6776866445455045</v>
      </c>
      <c r="BC345">
        <f t="shared" si="306"/>
        <v>-1.2752957512512824</v>
      </c>
      <c r="BD345">
        <f t="shared" si="290"/>
        <v>-253.06906426115773</v>
      </c>
      <c r="BF345">
        <f t="shared" si="291"/>
        <v>-44.927705353850193</v>
      </c>
      <c r="BG345">
        <f t="shared" si="292"/>
        <v>-183.1428186877431</v>
      </c>
      <c r="BH345">
        <f t="shared" si="307"/>
        <v>-3.1428186877431017</v>
      </c>
      <c r="BI345">
        <f t="shared" si="308"/>
        <v>-3.1428186877431017</v>
      </c>
      <c r="BJ345">
        <f t="shared" si="293"/>
        <v>0</v>
      </c>
      <c r="BK345">
        <f t="shared" si="309"/>
        <v>0</v>
      </c>
      <c r="BM345">
        <f t="shared" si="310"/>
        <v>-52.605391998395696</v>
      </c>
      <c r="BN345">
        <f t="shared" si="294"/>
        <v>-110.07375442658538</v>
      </c>
      <c r="BQ345" s="66">
        <f t="shared" si="311"/>
        <v>24.579647444830641</v>
      </c>
      <c r="BR345" s="71"/>
      <c r="BS345" s="71"/>
      <c r="BT345" s="71">
        <v>223872.114</v>
      </c>
      <c r="BU345" s="71">
        <v>13.8704</v>
      </c>
      <c r="BV345" s="71">
        <v>-154.70699999999999</v>
      </c>
      <c r="BY345" s="71"/>
      <c r="BZ345" s="71"/>
      <c r="CA345" s="71"/>
      <c r="CC345" s="71"/>
    </row>
    <row r="346" spans="1:81" x14ac:dyDescent="0.15">
      <c r="A346">
        <f t="shared" si="263"/>
        <v>660000</v>
      </c>
      <c r="B346">
        <f t="shared" si="295"/>
        <v>660</v>
      </c>
      <c r="C346">
        <f t="shared" si="264"/>
        <v>2.9139192679765662</v>
      </c>
      <c r="D346">
        <f t="shared" si="265"/>
        <v>1.2204954718269625</v>
      </c>
      <c r="F346">
        <f t="shared" si="266"/>
        <v>5.3145570019295925E-5</v>
      </c>
      <c r="G346">
        <f t="shared" si="267"/>
        <v>2.3879025173388527E-3</v>
      </c>
      <c r="H346">
        <f t="shared" si="268"/>
        <v>-3.1392047474826614</v>
      </c>
      <c r="J346">
        <f t="shared" si="269"/>
        <v>15</v>
      </c>
      <c r="M346">
        <f t="shared" si="270"/>
        <v>1.4439751703298528E-3</v>
      </c>
      <c r="N346">
        <f t="shared" si="271"/>
        <v>-1.5707963250000001</v>
      </c>
      <c r="O346">
        <f t="shared" si="272"/>
        <v>280.53972274416003</v>
      </c>
      <c r="P346">
        <f t="shared" si="273"/>
        <v>1.5672317616491525</v>
      </c>
      <c r="Q346">
        <f t="shared" si="274"/>
        <v>126.97379244170509</v>
      </c>
      <c r="R346">
        <f t="shared" si="275"/>
        <v>1.5629206044219688</v>
      </c>
      <c r="S346">
        <f t="shared" si="276"/>
        <v>0.36350732317693946</v>
      </c>
      <c r="T346">
        <f t="shared" si="277"/>
        <v>-1.1987663127430872</v>
      </c>
      <c r="U346">
        <f t="shared" si="278"/>
        <v>0.19463356234530732</v>
      </c>
      <c r="V346">
        <f t="shared" si="279"/>
        <v>-1.3749124725156978</v>
      </c>
      <c r="X346">
        <f t="shared" si="296"/>
        <v>-41.45930160103763</v>
      </c>
      <c r="Y346">
        <f t="shared" si="280"/>
        <v>-168.0503561057813</v>
      </c>
      <c r="Z346">
        <f t="shared" si="297"/>
        <v>11.949643894218696</v>
      </c>
      <c r="AC346">
        <v>1</v>
      </c>
      <c r="AD346">
        <f t="shared" si="281"/>
        <v>280.5379404597</v>
      </c>
      <c r="AE346">
        <f t="shared" si="282"/>
        <v>-0.1745045144952776</v>
      </c>
      <c r="AF346">
        <f t="shared" si="283"/>
        <v>3.4626634188300004E-2</v>
      </c>
      <c r="AG346">
        <f t="shared" si="298"/>
        <v>301.40063670637227</v>
      </c>
      <c r="AH346">
        <f t="shared" si="299"/>
        <v>-1547.8192736134465</v>
      </c>
      <c r="AJ346">
        <f t="shared" si="284"/>
        <v>20000</v>
      </c>
      <c r="AK346">
        <f t="shared" si="285"/>
        <v>51255.712403279998</v>
      </c>
      <c r="AL346">
        <v>1</v>
      </c>
      <c r="AM346">
        <f t="shared" si="286"/>
        <v>126.96985456016401</v>
      </c>
      <c r="AN346">
        <f t="shared" si="300"/>
        <v>404.89958299934045</v>
      </c>
      <c r="AO346">
        <f t="shared" si="301"/>
        <v>-154.32876161731465</v>
      </c>
      <c r="AQ346">
        <f t="shared" si="287"/>
        <v>5.7392069908132511E-3</v>
      </c>
      <c r="AR346">
        <f t="shared" si="288"/>
        <v>-7.5757532278734914</v>
      </c>
      <c r="AT346">
        <f t="shared" si="313"/>
        <v>-11724.167057600649</v>
      </c>
      <c r="AU346">
        <f t="shared" si="314"/>
        <v>-2292.220101607063</v>
      </c>
      <c r="AV346">
        <f t="shared" si="302"/>
        <v>-2.9485157888436921</v>
      </c>
      <c r="AW346">
        <f t="shared" si="303"/>
        <v>-491.20205214438272</v>
      </c>
      <c r="AX346">
        <f t="shared" si="304"/>
        <v>-4947.174951242926</v>
      </c>
      <c r="AY346">
        <f t="shared" si="312"/>
        <v>-1.6697613694532327</v>
      </c>
      <c r="BA346">
        <f t="shared" si="289"/>
        <v>2.4029252068345643</v>
      </c>
      <c r="BB346">
        <f t="shared" si="305"/>
        <v>7.6148050643131491</v>
      </c>
      <c r="BC346">
        <f t="shared" si="306"/>
        <v>-1.2787544193904594</v>
      </c>
      <c r="BD346">
        <f t="shared" si="290"/>
        <v>-253.26723134849539</v>
      </c>
      <c r="BF346">
        <f t="shared" si="291"/>
        <v>-45.064478060920806</v>
      </c>
      <c r="BG346">
        <f t="shared" si="292"/>
        <v>-183.20117508178802</v>
      </c>
      <c r="BH346">
        <f t="shared" si="307"/>
        <v>-3.2011750817880227</v>
      </c>
      <c r="BI346">
        <f t="shared" si="308"/>
        <v>-3.2011750817880227</v>
      </c>
      <c r="BJ346">
        <f t="shared" si="293"/>
        <v>0</v>
      </c>
      <c r="BK346">
        <f t="shared" si="309"/>
        <v>0</v>
      </c>
      <c r="BM346">
        <f t="shared" si="310"/>
        <v>-52.679283125233958</v>
      </c>
      <c r="BN346">
        <f t="shared" si="294"/>
        <v>-109.93394373329265</v>
      </c>
      <c r="BQ346" s="66">
        <f t="shared" si="311"/>
        <v>24.516765864598288</v>
      </c>
      <c r="BR346" s="71"/>
      <c r="BS346" s="71"/>
      <c r="BT346" s="71">
        <v>229086.76500000001</v>
      </c>
      <c r="BU346" s="71">
        <v>14.1297</v>
      </c>
      <c r="BV346" s="71">
        <v>-156.46</v>
      </c>
      <c r="BY346" s="71"/>
      <c r="BZ346" s="71"/>
      <c r="CA346" s="71"/>
      <c r="CC346" s="71"/>
    </row>
    <row r="347" spans="1:81" x14ac:dyDescent="0.15">
      <c r="A347">
        <f t="shared" si="263"/>
        <v>665000</v>
      </c>
      <c r="B347">
        <f t="shared" si="295"/>
        <v>665</v>
      </c>
      <c r="C347">
        <f t="shared" si="264"/>
        <v>2.9334031927896063</v>
      </c>
      <c r="D347">
        <f t="shared" si="265"/>
        <v>1.2229212157838381</v>
      </c>
      <c r="F347">
        <f t="shared" si="266"/>
        <v>5.2349352833457082E-5</v>
      </c>
      <c r="G347">
        <f t="shared" si="267"/>
        <v>2.3699465128658843E-3</v>
      </c>
      <c r="H347">
        <f t="shared" si="268"/>
        <v>-3.1392227034871345</v>
      </c>
      <c r="J347">
        <f t="shared" si="269"/>
        <v>15</v>
      </c>
      <c r="M347">
        <f t="shared" si="270"/>
        <v>1.4331182141619589E-3</v>
      </c>
      <c r="N347">
        <f t="shared" si="271"/>
        <v>-1.5707963250000001</v>
      </c>
      <c r="O347">
        <f t="shared" si="272"/>
        <v>282.66499677133419</v>
      </c>
      <c r="P347">
        <f t="shared" si="273"/>
        <v>1.5672585626663778</v>
      </c>
      <c r="Q347">
        <f t="shared" si="274"/>
        <v>127.93565567205812</v>
      </c>
      <c r="R347">
        <f t="shared" si="275"/>
        <v>1.562979817958577</v>
      </c>
      <c r="S347">
        <f t="shared" si="276"/>
        <v>0.36113180372180353</v>
      </c>
      <c r="T347">
        <f t="shared" si="277"/>
        <v>-1.2013150068750185</v>
      </c>
      <c r="U347">
        <f t="shared" si="278"/>
        <v>0.193224989012902</v>
      </c>
      <c r="V347">
        <f t="shared" si="279"/>
        <v>-1.3763483045177844</v>
      </c>
      <c r="X347">
        <f t="shared" si="296"/>
        <v>-41.587019767842712</v>
      </c>
      <c r="Y347">
        <f t="shared" si="280"/>
        <v>-168.13576827817124</v>
      </c>
      <c r="Z347">
        <f t="shared" si="297"/>
        <v>11.864231721828759</v>
      </c>
      <c r="AC347">
        <v>1</v>
      </c>
      <c r="AD347">
        <f t="shared" si="281"/>
        <v>282.66322788742502</v>
      </c>
      <c r="AE347">
        <f t="shared" si="282"/>
        <v>-0.17715853747170371</v>
      </c>
      <c r="AF347">
        <f t="shared" si="283"/>
        <v>3.4888957174575005E-2</v>
      </c>
      <c r="AG347">
        <f t="shared" si="298"/>
        <v>297.05391800842904</v>
      </c>
      <c r="AH347">
        <f t="shared" si="299"/>
        <v>-1537.0375616641204</v>
      </c>
      <c r="AJ347">
        <f t="shared" si="284"/>
        <v>20000</v>
      </c>
      <c r="AK347">
        <f t="shared" si="285"/>
        <v>51644.013254819998</v>
      </c>
      <c r="AL347">
        <v>1</v>
      </c>
      <c r="AM347">
        <f t="shared" si="286"/>
        <v>127.93174739774099</v>
      </c>
      <c r="AN347">
        <f t="shared" si="300"/>
        <v>404.88137499675202</v>
      </c>
      <c r="AO347">
        <f t="shared" si="301"/>
        <v>-153.16853731452477</v>
      </c>
      <c r="AQ347">
        <f t="shared" si="287"/>
        <v>5.6532276255143732E-3</v>
      </c>
      <c r="AR347">
        <f t="shared" si="288"/>
        <v>-7.5187927419341163</v>
      </c>
      <c r="AT347">
        <f t="shared" si="313"/>
        <v>-11554.987549304748</v>
      </c>
      <c r="AU347">
        <f t="shared" si="314"/>
        <v>-2242.1760658899211</v>
      </c>
      <c r="AV347">
        <f t="shared" si="302"/>
        <v>-2.9499305158836369</v>
      </c>
      <c r="AW347">
        <f t="shared" si="303"/>
        <v>-477.64628361460979</v>
      </c>
      <c r="AX347">
        <f t="shared" si="304"/>
        <v>-4910.5931530772305</v>
      </c>
      <c r="AY347">
        <f t="shared" si="312"/>
        <v>-1.667759849973752</v>
      </c>
      <c r="BA347">
        <f t="shared" si="289"/>
        <v>2.385705367056151</v>
      </c>
      <c r="BB347">
        <f t="shared" si="305"/>
        <v>7.5523361516260774</v>
      </c>
      <c r="BC347">
        <f t="shared" si="306"/>
        <v>-1.2821706659098848</v>
      </c>
      <c r="BD347">
        <f t="shared" si="290"/>
        <v>-253.46296785605836</v>
      </c>
      <c r="BF347">
        <f t="shared" si="291"/>
        <v>-45.200177118328291</v>
      </c>
      <c r="BG347">
        <f t="shared" si="292"/>
        <v>-183.25895550155829</v>
      </c>
      <c r="BH347">
        <f t="shared" si="307"/>
        <v>-3.2589555015582903</v>
      </c>
      <c r="BI347">
        <f t="shared" si="308"/>
        <v>-3.2589555015582903</v>
      </c>
      <c r="BJ347">
        <f t="shared" si="293"/>
        <v>0</v>
      </c>
      <c r="BK347">
        <f t="shared" si="309"/>
        <v>0</v>
      </c>
      <c r="BM347">
        <f t="shared" si="310"/>
        <v>-52.75251326995437</v>
      </c>
      <c r="BN347">
        <f t="shared" si="294"/>
        <v>-109.79598764549991</v>
      </c>
      <c r="BQ347" s="66">
        <f t="shared" si="311"/>
        <v>24.454296951911214</v>
      </c>
      <c r="BR347" s="71"/>
      <c r="BS347" s="71"/>
      <c r="BT347" s="71">
        <v>234422.88200000001</v>
      </c>
      <c r="BU347" s="71">
        <v>14.451599999999999</v>
      </c>
      <c r="BV347" s="71">
        <v>-158.77500000000001</v>
      </c>
      <c r="BY347" s="71"/>
      <c r="BZ347" s="71"/>
      <c r="CA347" s="71"/>
      <c r="CC347" s="71"/>
    </row>
    <row r="348" spans="1:81" x14ac:dyDescent="0.15">
      <c r="A348">
        <f t="shared" si="263"/>
        <v>670000</v>
      </c>
      <c r="B348">
        <f t="shared" si="295"/>
        <v>670</v>
      </c>
      <c r="C348">
        <f t="shared" si="264"/>
        <v>2.9529041505922411</v>
      </c>
      <c r="D348">
        <f t="shared" si="265"/>
        <v>1.2253149344800141</v>
      </c>
      <c r="F348">
        <f t="shared" si="266"/>
        <v>5.1570895987818921E-5</v>
      </c>
      <c r="G348">
        <f t="shared" si="267"/>
        <v>2.3522585494221726E-3</v>
      </c>
      <c r="H348">
        <f t="shared" si="268"/>
        <v>-3.1392403914505782</v>
      </c>
      <c r="J348">
        <f t="shared" si="269"/>
        <v>15</v>
      </c>
      <c r="M348">
        <f t="shared" si="270"/>
        <v>1.4224233021159743E-3</v>
      </c>
      <c r="N348">
        <f t="shared" si="271"/>
        <v>-1.5707963250000001</v>
      </c>
      <c r="O348">
        <f t="shared" si="272"/>
        <v>284.79027099851464</v>
      </c>
      <c r="P348">
        <f t="shared" si="273"/>
        <v>1.5672849636733899</v>
      </c>
      <c r="Q348">
        <f t="shared" si="274"/>
        <v>128.89751934428992</v>
      </c>
      <c r="R348">
        <f t="shared" si="275"/>
        <v>1.563038147764652</v>
      </c>
      <c r="S348">
        <f t="shared" si="276"/>
        <v>0.35878484531008076</v>
      </c>
      <c r="T348">
        <f t="shared" si="277"/>
        <v>-1.2038305897697998</v>
      </c>
      <c r="U348">
        <f t="shared" si="278"/>
        <v>0.19183627002369819</v>
      </c>
      <c r="V348">
        <f t="shared" si="279"/>
        <v>-1.3777635005900393</v>
      </c>
      <c r="X348">
        <f t="shared" si="296"/>
        <v>-41.713826701408003</v>
      </c>
      <c r="Y348">
        <f t="shared" si="280"/>
        <v>-168.21999407231391</v>
      </c>
      <c r="Z348">
        <f t="shared" si="297"/>
        <v>11.780005927686091</v>
      </c>
      <c r="AC348">
        <v>1</v>
      </c>
      <c r="AD348">
        <f t="shared" si="281"/>
        <v>284.78851531515005</v>
      </c>
      <c r="AE348">
        <f t="shared" si="282"/>
        <v>-0.17983259081021608</v>
      </c>
      <c r="AF348">
        <f t="shared" si="283"/>
        <v>3.5151280160850007E-2</v>
      </c>
      <c r="AG348">
        <f t="shared" si="298"/>
        <v>292.79937515008533</v>
      </c>
      <c r="AH348">
        <f t="shared" si="299"/>
        <v>-1526.3987534829744</v>
      </c>
      <c r="AJ348">
        <f t="shared" si="284"/>
        <v>20000</v>
      </c>
      <c r="AK348">
        <f t="shared" si="285"/>
        <v>52032.314106359998</v>
      </c>
      <c r="AL348">
        <v>1</v>
      </c>
      <c r="AM348">
        <f t="shared" si="286"/>
        <v>128.893640235318</v>
      </c>
      <c r="AN348">
        <f t="shared" si="300"/>
        <v>404.86357308033303</v>
      </c>
      <c r="AO348">
        <f t="shared" si="301"/>
        <v>-152.02562664182113</v>
      </c>
      <c r="AQ348">
        <f t="shared" si="287"/>
        <v>5.5691659784105714E-3</v>
      </c>
      <c r="AR348">
        <f t="shared" si="288"/>
        <v>-7.4626824110701655</v>
      </c>
      <c r="AT348">
        <f t="shared" si="313"/>
        <v>-11389.398481578233</v>
      </c>
      <c r="AU348">
        <f t="shared" si="314"/>
        <v>-2193.5695149122625</v>
      </c>
      <c r="AV348">
        <f t="shared" si="302"/>
        <v>-2.9513249219882627</v>
      </c>
      <c r="AW348">
        <f t="shared" si="303"/>
        <v>-464.39709982277861</v>
      </c>
      <c r="AX348">
        <f t="shared" si="304"/>
        <v>-4874.5445704962603</v>
      </c>
      <c r="AY348">
        <f t="shared" si="312"/>
        <v>-1.665779496224014</v>
      </c>
      <c r="BA348">
        <f t="shared" si="289"/>
        <v>2.3687201095938959</v>
      </c>
      <c r="BB348">
        <f t="shared" si="305"/>
        <v>7.4902749414274457</v>
      </c>
      <c r="BC348">
        <f t="shared" si="306"/>
        <v>-1.2855454257642487</v>
      </c>
      <c r="BD348">
        <f t="shared" si="290"/>
        <v>-253.65632735280457</v>
      </c>
      <c r="BF348">
        <f t="shared" si="291"/>
        <v>-45.334819334823528</v>
      </c>
      <c r="BG348">
        <f t="shared" si="292"/>
        <v>-183.31617846516997</v>
      </c>
      <c r="BH348">
        <f t="shared" si="307"/>
        <v>-3.3161784651699691</v>
      </c>
      <c r="BI348">
        <f t="shared" si="308"/>
        <v>-3.3161784651699691</v>
      </c>
      <c r="BJ348">
        <f t="shared" si="293"/>
        <v>0</v>
      </c>
      <c r="BK348">
        <f t="shared" si="309"/>
        <v>0</v>
      </c>
      <c r="BM348">
        <f t="shared" si="310"/>
        <v>-52.825094276250979</v>
      </c>
      <c r="BN348">
        <f t="shared" si="294"/>
        <v>-109.65985111236542</v>
      </c>
      <c r="BQ348" s="66">
        <f t="shared" si="311"/>
        <v>24.392235741712582</v>
      </c>
      <c r="BR348" s="71"/>
      <c r="BS348" s="71"/>
      <c r="BT348" s="71">
        <v>239883.29199999999</v>
      </c>
      <c r="BU348" s="71">
        <v>14.4628</v>
      </c>
      <c r="BV348" s="71">
        <v>-161.529</v>
      </c>
      <c r="BY348" s="71"/>
      <c r="BZ348" s="71"/>
      <c r="CA348" s="71"/>
      <c r="CC348" s="71"/>
    </row>
    <row r="349" spans="1:81" x14ac:dyDescent="0.15">
      <c r="A349">
        <f t="shared" si="263"/>
        <v>675000</v>
      </c>
      <c r="B349">
        <f t="shared" si="295"/>
        <v>675</v>
      </c>
      <c r="C349">
        <f t="shared" si="264"/>
        <v>2.9724218061430934</v>
      </c>
      <c r="D349">
        <f t="shared" si="265"/>
        <v>1.2276772310681356</v>
      </c>
      <c r="F349">
        <f t="shared" si="266"/>
        <v>5.0809675160910897E-5</v>
      </c>
      <c r="G349">
        <f t="shared" si="267"/>
        <v>2.3348326693400645E-3</v>
      </c>
      <c r="H349">
        <f t="shared" si="268"/>
        <v>-3.1392578173306602</v>
      </c>
      <c r="J349">
        <f t="shared" si="269"/>
        <v>15</v>
      </c>
      <c r="M349">
        <f t="shared" si="270"/>
        <v>1.4118868332114113E-3</v>
      </c>
      <c r="N349">
        <f t="shared" si="271"/>
        <v>-1.5707963250000001</v>
      </c>
      <c r="O349">
        <f t="shared" si="272"/>
        <v>286.91554542125704</v>
      </c>
      <c r="P349">
        <f t="shared" si="273"/>
        <v>1.567310973559159</v>
      </c>
      <c r="Q349">
        <f t="shared" si="274"/>
        <v>129.85938344858153</v>
      </c>
      <c r="R349">
        <f t="shared" si="275"/>
        <v>1.5630956134770797</v>
      </c>
      <c r="S349">
        <f t="shared" si="276"/>
        <v>0.35646598295318316</v>
      </c>
      <c r="T349">
        <f t="shared" si="277"/>
        <v>-1.2063136712812206</v>
      </c>
      <c r="U349">
        <f t="shared" si="278"/>
        <v>0.19046699686201998</v>
      </c>
      <c r="V349">
        <f t="shared" si="279"/>
        <v>-1.3791584968826003</v>
      </c>
      <c r="X349">
        <f t="shared" si="296"/>
        <v>-41.839735067893542</v>
      </c>
      <c r="Y349">
        <f t="shared" si="280"/>
        <v>-168.30305756865681</v>
      </c>
      <c r="Z349">
        <f t="shared" si="297"/>
        <v>11.696942431343189</v>
      </c>
      <c r="AC349">
        <v>1</v>
      </c>
      <c r="AD349">
        <f t="shared" si="281"/>
        <v>286.91380274287502</v>
      </c>
      <c r="AE349">
        <f t="shared" si="282"/>
        <v>-0.18252667451081467</v>
      </c>
      <c r="AF349">
        <f t="shared" si="283"/>
        <v>3.5413603147125008E-2</v>
      </c>
      <c r="AG349">
        <f t="shared" si="298"/>
        <v>288.63445377327417</v>
      </c>
      <c r="AH349">
        <f t="shared" si="299"/>
        <v>-1515.9001690241562</v>
      </c>
      <c r="AJ349">
        <f t="shared" si="284"/>
        <v>20000</v>
      </c>
      <c r="AK349">
        <f t="shared" si="285"/>
        <v>52420.614957900005</v>
      </c>
      <c r="AL349">
        <v>1</v>
      </c>
      <c r="AM349">
        <f t="shared" si="286"/>
        <v>129.85553307289501</v>
      </c>
      <c r="AN349">
        <f t="shared" si="300"/>
        <v>404.84616526376976</v>
      </c>
      <c r="AO349">
        <f t="shared" si="301"/>
        <v>-150.89964494417345</v>
      </c>
      <c r="AQ349">
        <f t="shared" si="287"/>
        <v>5.4869654392507876E-3</v>
      </c>
      <c r="AR349">
        <f t="shared" si="288"/>
        <v>-7.4074033429885633</v>
      </c>
      <c r="AT349">
        <f t="shared" si="313"/>
        <v>-11227.300252394032</v>
      </c>
      <c r="AU349">
        <f t="shared" si="314"/>
        <v>-2146.3495096186189</v>
      </c>
      <c r="AV349">
        <f t="shared" si="302"/>
        <v>-2.9526994363079742</v>
      </c>
      <c r="AW349">
        <f t="shared" si="303"/>
        <v>-451.44530290585249</v>
      </c>
      <c r="AX349">
        <f t="shared" si="304"/>
        <v>-4839.01769989899</v>
      </c>
      <c r="AY349">
        <f t="shared" si="312"/>
        <v>-1.6638198295520252</v>
      </c>
      <c r="BA349">
        <f t="shared" si="289"/>
        <v>2.3519648506137152</v>
      </c>
      <c r="BB349">
        <f t="shared" si="305"/>
        <v>7.4286165411213725</v>
      </c>
      <c r="BC349">
        <f t="shared" si="306"/>
        <v>-1.2888796067559489</v>
      </c>
      <c r="BD349">
        <f t="shared" si="290"/>
        <v>-253.84736185198</v>
      </c>
      <c r="BF349">
        <f t="shared" si="291"/>
        <v>-45.468421136544336</v>
      </c>
      <c r="BG349">
        <f t="shared" si="292"/>
        <v>-183.37286176911741</v>
      </c>
      <c r="BH349">
        <f t="shared" si="307"/>
        <v>-3.3728617691174065</v>
      </c>
      <c r="BI349">
        <f t="shared" si="308"/>
        <v>-3.3728617691174065</v>
      </c>
      <c r="BJ349">
        <f t="shared" si="293"/>
        <v>0</v>
      </c>
      <c r="BK349">
        <f t="shared" si="309"/>
        <v>0</v>
      </c>
      <c r="BM349">
        <f t="shared" si="310"/>
        <v>-52.897037677665708</v>
      </c>
      <c r="BN349">
        <f t="shared" si="294"/>
        <v>-109.52549991713738</v>
      </c>
      <c r="BQ349" s="66">
        <f t="shared" si="311"/>
        <v>24.330577341406507</v>
      </c>
      <c r="BR349" s="71"/>
      <c r="BS349" s="71"/>
      <c r="BT349" s="71">
        <v>245470.89199999999</v>
      </c>
      <c r="BU349" s="71">
        <v>14.575900000000001</v>
      </c>
      <c r="BV349" s="71">
        <v>-163.59700000000001</v>
      </c>
      <c r="BY349" s="71"/>
      <c r="BZ349" s="71"/>
      <c r="CA349" s="71"/>
      <c r="CC349" s="71"/>
    </row>
    <row r="350" spans="1:81" x14ac:dyDescent="0.15">
      <c r="A350">
        <f t="shared" si="263"/>
        <v>680000</v>
      </c>
      <c r="B350">
        <f t="shared" si="295"/>
        <v>680</v>
      </c>
      <c r="C350">
        <f t="shared" si="264"/>
        <v>2.9919558326650666</v>
      </c>
      <c r="D350">
        <f t="shared" si="265"/>
        <v>1.2300086943723663</v>
      </c>
      <c r="F350">
        <f t="shared" si="266"/>
        <v>5.0065185238524121E-5</v>
      </c>
      <c r="G350">
        <f t="shared" si="267"/>
        <v>2.317663090221073E-3</v>
      </c>
      <c r="H350">
        <f t="shared" si="268"/>
        <v>-3.1392749869097791</v>
      </c>
      <c r="J350">
        <f t="shared" si="269"/>
        <v>15</v>
      </c>
      <c r="M350">
        <f t="shared" si="270"/>
        <v>1.4015053123789748E-3</v>
      </c>
      <c r="N350">
        <f t="shared" si="271"/>
        <v>-1.5707963250000001</v>
      </c>
      <c r="O350">
        <f t="shared" si="272"/>
        <v>289.04082003524735</v>
      </c>
      <c r="P350">
        <f t="shared" si="273"/>
        <v>1.5673366009512206</v>
      </c>
      <c r="Q350">
        <f t="shared" si="274"/>
        <v>130.82124797540283</v>
      </c>
      <c r="R350">
        <f t="shared" si="275"/>
        <v>1.563152234155248</v>
      </c>
      <c r="S350">
        <f t="shared" si="276"/>
        <v>0.35417476035725298</v>
      </c>
      <c r="T350">
        <f t="shared" si="277"/>
        <v>-1.2087648472092891</v>
      </c>
      <c r="U350">
        <f t="shared" si="278"/>
        <v>0.18911677190338083</v>
      </c>
      <c r="V350">
        <f t="shared" si="279"/>
        <v>-1.3805337174976851</v>
      </c>
      <c r="X350">
        <f t="shared" si="296"/>
        <v>-41.964757275245688</v>
      </c>
      <c r="Y350">
        <f t="shared" si="280"/>
        <v>-168.38498221111678</v>
      </c>
      <c r="Z350">
        <f t="shared" si="297"/>
        <v>11.615017788883222</v>
      </c>
      <c r="AC350">
        <v>1</v>
      </c>
      <c r="AD350">
        <f t="shared" si="281"/>
        <v>289.03909017060005</v>
      </c>
      <c r="AE350">
        <f t="shared" si="282"/>
        <v>-0.18524078857349949</v>
      </c>
      <c r="AF350">
        <f t="shared" si="283"/>
        <v>3.5675926133400003E-2</v>
      </c>
      <c r="AG350">
        <f t="shared" si="298"/>
        <v>284.55668620587522</v>
      </c>
      <c r="AH350">
        <f t="shared" si="299"/>
        <v>-1505.5391903716593</v>
      </c>
      <c r="AJ350">
        <f t="shared" si="284"/>
        <v>20000</v>
      </c>
      <c r="AK350">
        <f t="shared" si="285"/>
        <v>52808.915809439997</v>
      </c>
      <c r="AL350">
        <v>1</v>
      </c>
      <c r="AM350">
        <f t="shared" si="286"/>
        <v>130.817425910472</v>
      </c>
      <c r="AN350">
        <f t="shared" si="300"/>
        <v>404.82913999974375</v>
      </c>
      <c r="AO350">
        <f t="shared" si="301"/>
        <v>-149.79021887657896</v>
      </c>
      <c r="AQ350">
        <f t="shared" si="287"/>
        <v>5.4065714713605797E-3</v>
      </c>
      <c r="AR350">
        <f t="shared" si="288"/>
        <v>-7.3529372010503886</v>
      </c>
      <c r="AT350">
        <f t="shared" si="313"/>
        <v>-11068.596644461431</v>
      </c>
      <c r="AU350">
        <f t="shared" si="314"/>
        <v>-2100.4672490464804</v>
      </c>
      <c r="AV350">
        <f t="shared" si="302"/>
        <v>-2.9540544761511245</v>
      </c>
      <c r="AW350">
        <f t="shared" si="303"/>
        <v>-438.78203799883386</v>
      </c>
      <c r="AX350">
        <f t="shared" si="304"/>
        <v>-4804.0013646413627</v>
      </c>
      <c r="AY350">
        <f t="shared" si="312"/>
        <v>-1.6618803856465691</v>
      </c>
      <c r="BA350">
        <f t="shared" si="289"/>
        <v>2.3354351184006208</v>
      </c>
      <c r="BB350">
        <f t="shared" si="305"/>
        <v>7.3673561298685231</v>
      </c>
      <c r="BC350">
        <f t="shared" si="306"/>
        <v>-1.2921740905045553</v>
      </c>
      <c r="BD350">
        <f t="shared" si="290"/>
        <v>-254.03612186666527</v>
      </c>
      <c r="BF350">
        <f t="shared" si="291"/>
        <v>-45.600998578149273</v>
      </c>
      <c r="BG350">
        <f t="shared" si="292"/>
        <v>-183.42902252064863</v>
      </c>
      <c r="BH350">
        <f t="shared" si="307"/>
        <v>-3.4290225206486298</v>
      </c>
      <c r="BI350">
        <f t="shared" si="308"/>
        <v>-3.4290225206486298</v>
      </c>
      <c r="BJ350">
        <f t="shared" si="293"/>
        <v>0</v>
      </c>
      <c r="BK350">
        <f t="shared" si="309"/>
        <v>0</v>
      </c>
      <c r="BM350">
        <f t="shared" si="310"/>
        <v>-52.968354708017806</v>
      </c>
      <c r="BN350">
        <f t="shared" si="294"/>
        <v>-109.39290065398335</v>
      </c>
      <c r="BQ350" s="66">
        <f t="shared" si="311"/>
        <v>24.269316930153657</v>
      </c>
      <c r="BR350" s="71"/>
      <c r="BS350" s="71"/>
      <c r="BT350" s="71">
        <v>251188.64300000001</v>
      </c>
      <c r="BU350" s="71">
        <v>14.7446</v>
      </c>
      <c r="BV350" s="71">
        <v>-165.89599999999999</v>
      </c>
      <c r="BY350" s="71"/>
      <c r="BZ350" s="71"/>
      <c r="CA350" s="71"/>
      <c r="CC350" s="71"/>
    </row>
    <row r="351" spans="1:81" x14ac:dyDescent="0.15">
      <c r="A351">
        <f t="shared" si="263"/>
        <v>685000</v>
      </c>
      <c r="B351">
        <f t="shared" si="295"/>
        <v>685</v>
      </c>
      <c r="C351">
        <f t="shared" si="264"/>
        <v>3.0115059115890039</v>
      </c>
      <c r="D351">
        <f t="shared" si="265"/>
        <v>1.2323098992868717</v>
      </c>
      <c r="F351">
        <f t="shared" si="266"/>
        <v>4.9336939475508581E-5</v>
      </c>
      <c r="G351">
        <f t="shared" si="267"/>
        <v>2.3007441985373038E-3</v>
      </c>
      <c r="H351">
        <f t="shared" si="268"/>
        <v>-3.1392919058014628</v>
      </c>
      <c r="J351">
        <f t="shared" si="269"/>
        <v>15</v>
      </c>
      <c r="M351">
        <f t="shared" si="270"/>
        <v>1.3912753465951866E-3</v>
      </c>
      <c r="N351">
        <f t="shared" si="271"/>
        <v>-1.5707963250000001</v>
      </c>
      <c r="O351">
        <f t="shared" si="272"/>
        <v>291.16609483629782</v>
      </c>
      <c r="P351">
        <f t="shared" si="273"/>
        <v>1.5673618542252159</v>
      </c>
      <c r="Q351">
        <f t="shared" si="274"/>
        <v>131.78311291550182</v>
      </c>
      <c r="R351">
        <f t="shared" si="275"/>
        <v>1.5632080283021197</v>
      </c>
      <c r="S351">
        <f t="shared" si="276"/>
        <v>0.35191072977217036</v>
      </c>
      <c r="T351">
        <f t="shared" si="277"/>
        <v>-1.2111846996747748</v>
      </c>
      <c r="U351">
        <f t="shared" si="278"/>
        <v>0.18778520806260166</v>
      </c>
      <c r="V351">
        <f t="shared" si="279"/>
        <v>-1.381889574897204</v>
      </c>
      <c r="X351">
        <f t="shared" si="296"/>
        <v>-42.088905480083938</v>
      </c>
      <c r="Y351">
        <f t="shared" si="280"/>
        <v>-168.46579082767531</v>
      </c>
      <c r="Z351">
        <f t="shared" si="297"/>
        <v>11.534209172324694</v>
      </c>
      <c r="AC351">
        <v>1</v>
      </c>
      <c r="AD351">
        <f t="shared" si="281"/>
        <v>291.16437759832507</v>
      </c>
      <c r="AE351">
        <f t="shared" si="282"/>
        <v>-0.18797493299827053</v>
      </c>
      <c r="AF351">
        <f t="shared" si="283"/>
        <v>3.5938249119675005E-2</v>
      </c>
      <c r="AG351">
        <f t="shared" si="298"/>
        <v>280.56368800558619</v>
      </c>
      <c r="AH351">
        <f t="shared" si="299"/>
        <v>-1495.313260132571</v>
      </c>
      <c r="AJ351">
        <f t="shared" si="284"/>
        <v>20000</v>
      </c>
      <c r="AK351">
        <f t="shared" si="285"/>
        <v>53197.216660980004</v>
      </c>
      <c r="AL351">
        <v>1</v>
      </c>
      <c r="AM351">
        <f t="shared" si="286"/>
        <v>131.77931874804898</v>
      </c>
      <c r="AN351">
        <f t="shared" si="300"/>
        <v>404.8124861607788</v>
      </c>
      <c r="AO351">
        <f t="shared" si="301"/>
        <v>-148.69698599143297</v>
      </c>
      <c r="AQ351">
        <f t="shared" si="287"/>
        <v>5.327931521161745E-3</v>
      </c>
      <c r="AR351">
        <f t="shared" si="288"/>
        <v>-7.2992661839915902</v>
      </c>
      <c r="AT351">
        <f t="shared" si="313"/>
        <v>-10913.194690042877</v>
      </c>
      <c r="AU351">
        <f t="shared" si="314"/>
        <v>-2055.8759669678138</v>
      </c>
      <c r="AV351">
        <f t="shared" si="302"/>
        <v>-2.9553904473841155</v>
      </c>
      <c r="AW351">
        <f t="shared" si="303"/>
        <v>-426.39877797922105</v>
      </c>
      <c r="AX351">
        <f t="shared" si="304"/>
        <v>-4769.4847035409421</v>
      </c>
      <c r="AY351">
        <f t="shared" si="312"/>
        <v>-1.6599607140086263</v>
      </c>
      <c r="BA351">
        <f t="shared" si="289"/>
        <v>2.3191265502380527</v>
      </c>
      <c r="BB351">
        <f t="shared" si="305"/>
        <v>7.306488957843924</v>
      </c>
      <c r="BC351">
        <f t="shared" si="306"/>
        <v>-1.2954297333754892</v>
      </c>
      <c r="BD351">
        <f t="shared" si="290"/>
        <v>-254.22265646298479</v>
      </c>
      <c r="BF351">
        <f t="shared" si="291"/>
        <v>-45.732567353568463</v>
      </c>
      <c r="BG351">
        <f t="shared" si="292"/>
        <v>-183.48467716851019</v>
      </c>
      <c r="BH351">
        <f t="shared" si="307"/>
        <v>-3.4846771685101885</v>
      </c>
      <c r="BI351">
        <f t="shared" si="308"/>
        <v>-3.4846771685101885</v>
      </c>
      <c r="BJ351">
        <f t="shared" si="293"/>
        <v>0</v>
      </c>
      <c r="BK351">
        <f t="shared" si="309"/>
        <v>0</v>
      </c>
      <c r="BM351">
        <f t="shared" si="310"/>
        <v>-53.039056311412381</v>
      </c>
      <c r="BN351">
        <f t="shared" si="294"/>
        <v>-109.26202070552539</v>
      </c>
      <c r="BQ351" s="66">
        <f t="shared" si="311"/>
        <v>24.208449758129063</v>
      </c>
      <c r="BR351" s="71"/>
      <c r="BS351" s="71"/>
      <c r="BT351" s="71">
        <v>257039.57800000001</v>
      </c>
      <c r="BU351" s="71">
        <v>14.891</v>
      </c>
      <c r="BV351" s="71">
        <v>-168.07</v>
      </c>
      <c r="BY351" s="71"/>
      <c r="BZ351" s="71"/>
      <c r="CA351" s="71"/>
      <c r="CC351" s="71"/>
    </row>
    <row r="352" spans="1:81" x14ac:dyDescent="0.15">
      <c r="A352">
        <f t="shared" si="263"/>
        <v>690000</v>
      </c>
      <c r="B352">
        <f t="shared" si="295"/>
        <v>690</v>
      </c>
      <c r="C352">
        <f t="shared" si="264"/>
        <v>3.0310717323062439</v>
      </c>
      <c r="D352">
        <f t="shared" si="265"/>
        <v>1.2345814071620893</v>
      </c>
      <c r="F352">
        <f t="shared" si="266"/>
        <v>4.8624468699938108E-5</v>
      </c>
      <c r="G352">
        <f t="shared" si="267"/>
        <v>2.2840705435111706E-3</v>
      </c>
      <c r="H352">
        <f t="shared" si="268"/>
        <v>-3.1393085794564892</v>
      </c>
      <c r="J352">
        <f t="shared" si="269"/>
        <v>15</v>
      </c>
      <c r="M352">
        <f t="shared" si="270"/>
        <v>1.3811936411850766E-3</v>
      </c>
      <c r="N352">
        <f t="shared" si="271"/>
        <v>-1.5707963250000001</v>
      </c>
      <c r="O352">
        <f t="shared" si="272"/>
        <v>293.29136982034203</v>
      </c>
      <c r="P352">
        <f t="shared" si="273"/>
        <v>1.5673867415140188</v>
      </c>
      <c r="Q352">
        <f t="shared" si="274"/>
        <v>132.74497825989476</v>
      </c>
      <c r="R352">
        <f t="shared" si="275"/>
        <v>1.5632630138843924</v>
      </c>
      <c r="S352">
        <f t="shared" si="276"/>
        <v>0.34967345184105286</v>
      </c>
      <c r="T352">
        <f t="shared" si="277"/>
        <v>-1.213573797482991</v>
      </c>
      <c r="U352">
        <f t="shared" si="278"/>
        <v>0.18647192845510607</v>
      </c>
      <c r="V352">
        <f t="shared" si="279"/>
        <v>-1.383226470294171</v>
      </c>
      <c r="X352">
        <f t="shared" si="296"/>
        <v>-42.212191594361684</v>
      </c>
      <c r="Y352">
        <f t="shared" si="280"/>
        <v>-168.54550565018897</v>
      </c>
      <c r="Z352">
        <f t="shared" si="297"/>
        <v>11.454494349811029</v>
      </c>
      <c r="AC352">
        <v>1</v>
      </c>
      <c r="AD352">
        <f t="shared" si="281"/>
        <v>293.28966502605005</v>
      </c>
      <c r="AE352">
        <f t="shared" si="282"/>
        <v>-0.19072910778512775</v>
      </c>
      <c r="AF352">
        <f t="shared" si="283"/>
        <v>3.6200572105950006E-2</v>
      </c>
      <c r="AG352">
        <f t="shared" si="298"/>
        <v>276.65315466101737</v>
      </c>
      <c r="AH352">
        <f t="shared" si="299"/>
        <v>-1485.2198798703441</v>
      </c>
      <c r="AJ352">
        <f t="shared" si="284"/>
        <v>20000</v>
      </c>
      <c r="AK352">
        <f t="shared" si="285"/>
        <v>53585.517512520004</v>
      </c>
      <c r="AL352">
        <v>1</v>
      </c>
      <c r="AM352">
        <f t="shared" si="286"/>
        <v>132.74121158562602</v>
      </c>
      <c r="AN352">
        <f t="shared" si="300"/>
        <v>404.7961930210555</v>
      </c>
      <c r="AO352">
        <f t="shared" si="301"/>
        <v>-147.61959434383246</v>
      </c>
      <c r="AQ352">
        <f t="shared" si="287"/>
        <v>5.2509949322647907E-3</v>
      </c>
      <c r="AR352">
        <f t="shared" si="288"/>
        <v>-7.2463730065254115</v>
      </c>
      <c r="AT352">
        <f t="shared" si="313"/>
        <v>-10761.004541934255</v>
      </c>
      <c r="AU352">
        <f t="shared" si="314"/>
        <v>-2012.5308341681941</v>
      </c>
      <c r="AV352">
        <f t="shared" si="302"/>
        <v>-2.9567077448156214</v>
      </c>
      <c r="AW352">
        <f t="shared" si="303"/>
        <v>-414.28730899790264</v>
      </c>
      <c r="AX352">
        <f t="shared" si="304"/>
        <v>-4735.4571598623788</v>
      </c>
      <c r="AY352">
        <f t="shared" si="312"/>
        <v>-1.6580603774457381</v>
      </c>
      <c r="BA352">
        <f t="shared" si="289"/>
        <v>2.3030348893751129</v>
      </c>
      <c r="BB352">
        <f t="shared" si="305"/>
        <v>7.2460103454619116</v>
      </c>
      <c r="BC352">
        <f t="shared" si="306"/>
        <v>-1.2986473673698833</v>
      </c>
      <c r="BD352">
        <f t="shared" si="290"/>
        <v>-254.40701331109204</v>
      </c>
      <c r="BF352">
        <f t="shared" si="291"/>
        <v>-45.863142806385795</v>
      </c>
      <c r="BG352">
        <f t="shared" si="292"/>
        <v>-183.5398415321512</v>
      </c>
      <c r="BH352">
        <f t="shared" si="307"/>
        <v>-3.5398415321512005</v>
      </c>
      <c r="BI352">
        <f t="shared" si="308"/>
        <v>-3.5398415321512005</v>
      </c>
      <c r="BJ352">
        <f t="shared" si="293"/>
        <v>0</v>
      </c>
      <c r="BK352">
        <f t="shared" si="309"/>
        <v>0</v>
      </c>
      <c r="BM352">
        <f t="shared" si="310"/>
        <v>-53.109153151847714</v>
      </c>
      <c r="BN352">
        <f t="shared" si="294"/>
        <v>-109.13282822105914</v>
      </c>
      <c r="BQ352" s="66">
        <f t="shared" si="311"/>
        <v>24.14797114574705</v>
      </c>
      <c r="BR352" s="71"/>
      <c r="BS352" s="71"/>
      <c r="BT352" s="71">
        <v>263026.799</v>
      </c>
      <c r="BU352" s="71">
        <v>14.9779</v>
      </c>
      <c r="BV352" s="71">
        <v>-170.82400000000001</v>
      </c>
      <c r="BY352" s="71"/>
      <c r="BZ352" s="71"/>
      <c r="CA352" s="71"/>
      <c r="CC352" s="71"/>
    </row>
    <row r="353" spans="1:81" x14ac:dyDescent="0.15">
      <c r="A353">
        <f t="shared" si="263"/>
        <v>695000</v>
      </c>
      <c r="B353">
        <f t="shared" si="295"/>
        <v>695</v>
      </c>
      <c r="C353">
        <f t="shared" si="264"/>
        <v>3.0506529919297427</v>
      </c>
      <c r="D353">
        <f t="shared" si="265"/>
        <v>1.2368237661791677</v>
      </c>
      <c r="F353">
        <f t="shared" si="266"/>
        <v>4.792732055721342E-5</v>
      </c>
      <c r="G353">
        <f t="shared" si="267"/>
        <v>2.2676368312593898E-3</v>
      </c>
      <c r="H353">
        <f t="shared" si="268"/>
        <v>-3.1393250131687407</v>
      </c>
      <c r="J353">
        <f t="shared" si="269"/>
        <v>15</v>
      </c>
      <c r="M353">
        <f t="shared" si="270"/>
        <v>1.3712569962844644E-3</v>
      </c>
      <c r="N353">
        <f t="shared" si="271"/>
        <v>-1.5707963250000001</v>
      </c>
      <c r="O353">
        <f t="shared" si="272"/>
        <v>295.41664498343039</v>
      </c>
      <c r="P353">
        <f t="shared" si="273"/>
        <v>1.5674112707164685</v>
      </c>
      <c r="Q353">
        <f t="shared" si="274"/>
        <v>133.7068439998564</v>
      </c>
      <c r="R353">
        <f t="shared" si="275"/>
        <v>1.5633172083517846</v>
      </c>
      <c r="S353">
        <f t="shared" si="276"/>
        <v>0.34746249545045371</v>
      </c>
      <c r="T353">
        <f t="shared" si="277"/>
        <v>-1.2159326964771131</v>
      </c>
      <c r="U353">
        <f t="shared" si="278"/>
        <v>0.18517656607083877</v>
      </c>
      <c r="V353">
        <f t="shared" si="279"/>
        <v>-1.3845447940286426</v>
      </c>
      <c r="X353">
        <f t="shared" si="296"/>
        <v>-42.33462729180988</v>
      </c>
      <c r="Y353">
        <f t="shared" si="280"/>
        <v>-168.62414833344914</v>
      </c>
      <c r="Z353">
        <f t="shared" si="297"/>
        <v>11.375851666550858</v>
      </c>
      <c r="AC353">
        <v>1</v>
      </c>
      <c r="AD353">
        <f t="shared" si="281"/>
        <v>295.41495245377502</v>
      </c>
      <c r="AE353">
        <f t="shared" si="282"/>
        <v>-0.19350331293407128</v>
      </c>
      <c r="AF353">
        <f t="shared" si="283"/>
        <v>3.6462895092225001E-2</v>
      </c>
      <c r="AG353">
        <f t="shared" si="298"/>
        <v>272.82285844202823</v>
      </c>
      <c r="AH353">
        <f t="shared" si="299"/>
        <v>-1475.2566085775711</v>
      </c>
      <c r="AJ353">
        <f t="shared" si="284"/>
        <v>20000</v>
      </c>
      <c r="AK353">
        <f t="shared" si="285"/>
        <v>53973.818364059996</v>
      </c>
      <c r="AL353">
        <v>1</v>
      </c>
      <c r="AM353">
        <f t="shared" si="286"/>
        <v>133.703104423203</v>
      </c>
      <c r="AN353">
        <f t="shared" si="300"/>
        <v>404.78025023913955</v>
      </c>
      <c r="AO353">
        <f t="shared" si="301"/>
        <v>-146.55770211391052</v>
      </c>
      <c r="AQ353">
        <f t="shared" si="287"/>
        <v>5.1757128638720232E-3</v>
      </c>
      <c r="AR353">
        <f t="shared" si="288"/>
        <v>-7.1942408807821119</v>
      </c>
      <c r="AT353">
        <f t="shared" si="313"/>
        <v>-10611.939350294741</v>
      </c>
      <c r="AU353">
        <f t="shared" si="314"/>
        <v>-1970.3888660219977</v>
      </c>
      <c r="AV353">
        <f t="shared" si="302"/>
        <v>-2.9580067525656535</v>
      </c>
      <c r="AW353">
        <f t="shared" si="303"/>
        <v>-402.43971675048186</v>
      </c>
      <c r="AX353">
        <f t="shared" si="304"/>
        <v>-4701.9084707603943</v>
      </c>
      <c r="AY353">
        <f t="shared" si="312"/>
        <v>-1.6561789515881826</v>
      </c>
      <c r="BA353">
        <f t="shared" si="289"/>
        <v>2.2871559820798884</v>
      </c>
      <c r="BB353">
        <f t="shared" si="305"/>
        <v>7.1859156825725758</v>
      </c>
      <c r="BC353">
        <f t="shared" si="306"/>
        <v>-1.3018278009774709</v>
      </c>
      <c r="BD353">
        <f t="shared" si="290"/>
        <v>-254.5892387340366</v>
      </c>
      <c r="BF353">
        <f t="shared" si="291"/>
        <v>-45.992739939867192</v>
      </c>
      <c r="BG353">
        <f t="shared" si="292"/>
        <v>-183.59453082947206</v>
      </c>
      <c r="BH353">
        <f t="shared" si="307"/>
        <v>-3.5945308294720633</v>
      </c>
      <c r="BI353">
        <f t="shared" si="308"/>
        <v>-3.5945308294720633</v>
      </c>
      <c r="BJ353">
        <f t="shared" si="293"/>
        <v>0</v>
      </c>
      <c r="BK353">
        <f t="shared" si="309"/>
        <v>0</v>
      </c>
      <c r="BM353">
        <f t="shared" si="310"/>
        <v>-53.178655622439763</v>
      </c>
      <c r="BN353">
        <f t="shared" si="294"/>
        <v>-109.00529209543546</v>
      </c>
      <c r="BQ353" s="66">
        <f t="shared" si="311"/>
        <v>24.087876482857709</v>
      </c>
      <c r="BR353" s="71"/>
      <c r="BS353" s="71"/>
      <c r="BT353" s="71">
        <v>269153.48</v>
      </c>
      <c r="BU353" s="71">
        <v>15.0854</v>
      </c>
      <c r="BV353" s="71">
        <v>-173.35300000000001</v>
      </c>
      <c r="BY353" s="71"/>
      <c r="BZ353" s="71"/>
      <c r="CA353" s="71"/>
      <c r="CC353" s="71"/>
    </row>
    <row r="354" spans="1:81" x14ac:dyDescent="0.15">
      <c r="A354">
        <f t="shared" si="263"/>
        <v>700000</v>
      </c>
      <c r="B354">
        <f t="shared" si="295"/>
        <v>700</v>
      </c>
      <c r="C354">
        <f t="shared" si="264"/>
        <v>3.0702493950634149</v>
      </c>
      <c r="D354">
        <f t="shared" si="265"/>
        <v>1.2390375117129473</v>
      </c>
      <c r="F354">
        <f t="shared" si="266"/>
        <v>4.7245058791828772E-5</v>
      </c>
      <c r="G354">
        <f t="shared" si="267"/>
        <v>2.2514379191880245E-3</v>
      </c>
      <c r="H354">
        <f t="shared" si="268"/>
        <v>-3.1393412120808124</v>
      </c>
      <c r="J354">
        <f t="shared" si="269"/>
        <v>15</v>
      </c>
      <c r="M354">
        <f t="shared" si="270"/>
        <v>1.3614623034538611E-3</v>
      </c>
      <c r="N354">
        <f t="shared" si="271"/>
        <v>-1.5707963250000001</v>
      </c>
      <c r="O354">
        <f t="shared" si="272"/>
        <v>297.54192032172642</v>
      </c>
      <c r="P354">
        <f t="shared" si="273"/>
        <v>1.5674354495057272</v>
      </c>
      <c r="Q354">
        <f t="shared" si="274"/>
        <v>134.66871012691067</v>
      </c>
      <c r="R354">
        <f t="shared" si="275"/>
        <v>1.563370628655498</v>
      </c>
      <c r="S354">
        <f t="shared" si="276"/>
        <v>0.34527743758144663</v>
      </c>
      <c r="T354">
        <f t="shared" si="277"/>
        <v>-1.2182619398813321</v>
      </c>
      <c r="U354">
        <f t="shared" si="278"/>
        <v>0.18389876346028036</v>
      </c>
      <c r="V354">
        <f t="shared" si="279"/>
        <v>-1.385844925928889</v>
      </c>
      <c r="X354">
        <f t="shared" si="296"/>
        <v>-42.456224014171781</v>
      </c>
      <c r="Y354">
        <f t="shared" si="280"/>
        <v>-168.70173997352421</v>
      </c>
      <c r="Z354">
        <f t="shared" si="297"/>
        <v>11.298260026475788</v>
      </c>
      <c r="AC354">
        <v>1</v>
      </c>
      <c r="AD354">
        <f t="shared" si="281"/>
        <v>297.54023988150004</v>
      </c>
      <c r="AE354">
        <f t="shared" si="282"/>
        <v>-0.19629754844510103</v>
      </c>
      <c r="AF354">
        <f t="shared" si="283"/>
        <v>3.6725218078500002E-2</v>
      </c>
      <c r="AG354">
        <f t="shared" si="298"/>
        <v>269.07064539176861</v>
      </c>
      <c r="AH354">
        <f t="shared" si="299"/>
        <v>-1465.4210611877033</v>
      </c>
      <c r="AJ354">
        <f t="shared" si="284"/>
        <v>20000</v>
      </c>
      <c r="AK354">
        <f t="shared" si="285"/>
        <v>54362.119215600003</v>
      </c>
      <c r="AL354">
        <v>1</v>
      </c>
      <c r="AM354">
        <f t="shared" si="286"/>
        <v>134.66499726077998</v>
      </c>
      <c r="AN354">
        <f t="shared" si="300"/>
        <v>404.76464784156815</v>
      </c>
      <c r="AO354">
        <f t="shared" si="301"/>
        <v>-145.51097724534966</v>
      </c>
      <c r="AQ354">
        <f t="shared" si="287"/>
        <v>5.1020382132458096E-3</v>
      </c>
      <c r="AR354">
        <f t="shared" si="288"/>
        <v>-7.1428534985441337</v>
      </c>
      <c r="AT354">
        <f t="shared" si="313"/>
        <v>-10465.915145029992</v>
      </c>
      <c r="AU354">
        <f t="shared" si="314"/>
        <v>-1929.4088350447971</v>
      </c>
      <c r="AV354">
        <f t="shared" si="302"/>
        <v>-2.9592878444201465</v>
      </c>
      <c r="AW354">
        <f t="shared" si="303"/>
        <v>-390.84837344602101</v>
      </c>
      <c r="AX354">
        <f t="shared" si="304"/>
        <v>-4668.8286571582257</v>
      </c>
      <c r="AY354">
        <f t="shared" si="312"/>
        <v>-1.6543160244258852</v>
      </c>
      <c r="BA354">
        <f t="shared" si="289"/>
        <v>2.2714857747770578</v>
      </c>
      <c r="BB354">
        <f t="shared" si="305"/>
        <v>7.1262004276338766</v>
      </c>
      <c r="BC354">
        <f t="shared" si="306"/>
        <v>-1.3049718199942613</v>
      </c>
      <c r="BD354">
        <f t="shared" si="290"/>
        <v>-254.7693777546134</v>
      </c>
      <c r="BF354">
        <f t="shared" si="291"/>
        <v>-46.121373426647793</v>
      </c>
      <c r="BG354">
        <f t="shared" si="292"/>
        <v>-183.64875970319787</v>
      </c>
      <c r="BH354">
        <f t="shared" si="307"/>
        <v>-3.648759703197868</v>
      </c>
      <c r="BI354">
        <f t="shared" si="308"/>
        <v>-3.648759703197868</v>
      </c>
      <c r="BJ354">
        <f t="shared" si="293"/>
        <v>0</v>
      </c>
      <c r="BK354">
        <f t="shared" si="309"/>
        <v>0</v>
      </c>
      <c r="BM354">
        <f t="shared" si="310"/>
        <v>-53.247573854281669</v>
      </c>
      <c r="BN354">
        <f t="shared" si="294"/>
        <v>-108.87938194858448</v>
      </c>
      <c r="BQ354" s="66">
        <f t="shared" si="311"/>
        <v>24.028161227919011</v>
      </c>
      <c r="BR354" s="71"/>
      <c r="BS354" s="71"/>
      <c r="BT354" s="71">
        <v>275422.87</v>
      </c>
      <c r="BU354" s="71">
        <v>15.1145</v>
      </c>
      <c r="BV354" s="71">
        <v>-175.80699999999999</v>
      </c>
      <c r="BY354" s="71"/>
      <c r="BZ354" s="71"/>
      <c r="CA354" s="71"/>
      <c r="CC354" s="71"/>
    </row>
    <row r="355" spans="1:81" x14ac:dyDescent="0.15">
      <c r="A355">
        <f t="shared" si="263"/>
        <v>705000</v>
      </c>
      <c r="B355">
        <f t="shared" si="295"/>
        <v>705</v>
      </c>
      <c r="C355">
        <f t="shared" si="264"/>
        <v>3.0898606535793967</v>
      </c>
      <c r="D355">
        <f t="shared" si="265"/>
        <v>1.2412231666838516</v>
      </c>
      <c r="F355">
        <f t="shared" si="266"/>
        <v>4.6577262564672822E-5</v>
      </c>
      <c r="G355">
        <f t="shared" si="267"/>
        <v>2.2354688106261188E-3</v>
      </c>
      <c r="H355">
        <f t="shared" si="268"/>
        <v>-3.1393571811893741</v>
      </c>
      <c r="J355">
        <f t="shared" si="269"/>
        <v>15</v>
      </c>
      <c r="M355">
        <f t="shared" si="270"/>
        <v>1.3518065424364578E-3</v>
      </c>
      <c r="N355">
        <f t="shared" si="271"/>
        <v>-1.5707963250000001</v>
      </c>
      <c r="O355">
        <f t="shared" si="272"/>
        <v>299.66719583150217</v>
      </c>
      <c r="P355">
        <f t="shared" si="273"/>
        <v>1.5674592853372824</v>
      </c>
      <c r="Q355">
        <f t="shared" si="274"/>
        <v>135.63057663282206</v>
      </c>
      <c r="R355">
        <f t="shared" si="275"/>
        <v>1.5634232912658936</v>
      </c>
      <c r="S355">
        <f t="shared" si="276"/>
        <v>0.34311786316176529</v>
      </c>
      <c r="T355">
        <f t="shared" si="277"/>
        <v>-1.220562058634131</v>
      </c>
      <c r="U355">
        <f t="shared" si="278"/>
        <v>0.18263817243205535</v>
      </c>
      <c r="V355">
        <f t="shared" si="279"/>
        <v>-1.3871272356584543</v>
      </c>
      <c r="X355">
        <f t="shared" si="296"/>
        <v>-42.576992977236934</v>
      </c>
      <c r="Y355">
        <f t="shared" si="280"/>
        <v>-168.77830112541409</v>
      </c>
      <c r="Z355">
        <f t="shared" si="297"/>
        <v>11.221698874585911</v>
      </c>
      <c r="AC355">
        <v>1</v>
      </c>
      <c r="AD355">
        <f t="shared" si="281"/>
        <v>299.66552730922507</v>
      </c>
      <c r="AE355">
        <f t="shared" si="282"/>
        <v>-0.19911181431821703</v>
      </c>
      <c r="AF355">
        <f t="shared" si="283"/>
        <v>3.6987541064775004E-2</v>
      </c>
      <c r="AG355">
        <f t="shared" si="298"/>
        <v>265.39443245330193</v>
      </c>
      <c r="AH355">
        <f t="shared" si="299"/>
        <v>-1455.7109071250986</v>
      </c>
      <c r="AJ355">
        <f t="shared" si="284"/>
        <v>20000</v>
      </c>
      <c r="AK355">
        <f t="shared" si="285"/>
        <v>54750.420067139996</v>
      </c>
      <c r="AL355">
        <v>1</v>
      </c>
      <c r="AM355">
        <f t="shared" si="286"/>
        <v>135.62689009835699</v>
      </c>
      <c r="AN355">
        <f t="shared" si="300"/>
        <v>404.74937620725018</v>
      </c>
      <c r="AO355">
        <f t="shared" si="301"/>
        <v>-144.47909709927151</v>
      </c>
      <c r="AQ355">
        <f t="shared" si="287"/>
        <v>5.0299255420122018E-3</v>
      </c>
      <c r="AR355">
        <f t="shared" si="288"/>
        <v>-7.0921950142372046</v>
      </c>
      <c r="AT355">
        <f t="shared" si="313"/>
        <v>-10322.850723448837</v>
      </c>
      <c r="AU355">
        <f t="shared" si="314"/>
        <v>-1889.5511881251548</v>
      </c>
      <c r="AV355">
        <f t="shared" si="302"/>
        <v>-2.9605513841717195</v>
      </c>
      <c r="AW355">
        <f t="shared" si="303"/>
        <v>-379.50592543299024</v>
      </c>
      <c r="AX355">
        <f t="shared" si="304"/>
        <v>-4636.2080140407479</v>
      </c>
      <c r="AY355">
        <f t="shared" si="312"/>
        <v>-1.6524711958650493</v>
      </c>
      <c r="BA355">
        <f t="shared" si="289"/>
        <v>2.2560203112678727</v>
      </c>
      <c r="BB355">
        <f t="shared" si="305"/>
        <v>7.066860106863051</v>
      </c>
      <c r="BC355">
        <f t="shared" si="306"/>
        <v>-1.3080801883066702</v>
      </c>
      <c r="BD355">
        <f t="shared" si="290"/>
        <v>-254.94747414029015</v>
      </c>
      <c r="BF355">
        <f t="shared" si="291"/>
        <v>-46.249057618091626</v>
      </c>
      <c r="BG355">
        <f t="shared" si="292"/>
        <v>-183.70254224595115</v>
      </c>
      <c r="BH355">
        <f t="shared" si="307"/>
        <v>-3.7025422459511503</v>
      </c>
      <c r="BI355">
        <f t="shared" si="308"/>
        <v>-3.7025422459511503</v>
      </c>
      <c r="BJ355">
        <f t="shared" si="293"/>
        <v>0</v>
      </c>
      <c r="BK355">
        <f t="shared" si="309"/>
        <v>0</v>
      </c>
      <c r="BM355">
        <f t="shared" si="310"/>
        <v>-53.31591772495468</v>
      </c>
      <c r="BN355">
        <f t="shared" si="294"/>
        <v>-108.75506810566101</v>
      </c>
      <c r="BQ355" s="66">
        <f t="shared" si="311"/>
        <v>23.968820907148189</v>
      </c>
      <c r="BR355" s="71"/>
      <c r="BS355" s="71"/>
      <c r="BT355" s="71">
        <v>281838.29300000001</v>
      </c>
      <c r="BU355" s="71">
        <v>15.1486</v>
      </c>
      <c r="BV355" s="71">
        <v>-177.72399999999999</v>
      </c>
      <c r="BY355" s="71"/>
      <c r="BZ355" s="71"/>
      <c r="CA355" s="71"/>
      <c r="CC355" s="71"/>
    </row>
    <row r="356" spans="1:81" x14ac:dyDescent="0.15">
      <c r="A356">
        <f t="shared" si="263"/>
        <v>710000</v>
      </c>
      <c r="B356">
        <f t="shared" si="295"/>
        <v>710</v>
      </c>
      <c r="C356">
        <f t="shared" si="264"/>
        <v>3.1094864864029224</v>
      </c>
      <c r="D356">
        <f t="shared" si="265"/>
        <v>1.243381241899034</v>
      </c>
      <c r="F356">
        <f t="shared" si="266"/>
        <v>4.5923525803868328E-5</v>
      </c>
      <c r="G356">
        <f t="shared" si="267"/>
        <v>2.2197246496861523E-3</v>
      </c>
      <c r="H356">
        <f t="shared" si="268"/>
        <v>-3.139372925350314</v>
      </c>
      <c r="J356">
        <f t="shared" si="269"/>
        <v>15</v>
      </c>
      <c r="M356">
        <f t="shared" si="270"/>
        <v>1.3422867780531025E-3</v>
      </c>
      <c r="N356">
        <f t="shared" si="271"/>
        <v>-1.5707963250000001</v>
      </c>
      <c r="O356">
        <f t="shared" si="272"/>
        <v>301.79247150913505</v>
      </c>
      <c r="P356">
        <f t="shared" si="273"/>
        <v>1.5674827854566127</v>
      </c>
      <c r="Q356">
        <f t="shared" si="274"/>
        <v>136.59244350958696</v>
      </c>
      <c r="R356">
        <f t="shared" si="275"/>
        <v>1.5634752121894204</v>
      </c>
      <c r="S356">
        <f t="shared" si="276"/>
        <v>0.34098336491914744</v>
      </c>
      <c r="T356">
        <f t="shared" si="277"/>
        <v>-1.2228335717119689</v>
      </c>
      <c r="U356">
        <f t="shared" si="278"/>
        <v>0.18139445376165228</v>
      </c>
      <c r="V356">
        <f t="shared" si="279"/>
        <v>-1.38839208304974</v>
      </c>
      <c r="X356">
        <f t="shared" si="296"/>
        <v>-42.696945176682007</v>
      </c>
      <c r="Y356">
        <f t="shared" si="280"/>
        <v>-168.85385182004802</v>
      </c>
      <c r="Z356">
        <f t="shared" si="297"/>
        <v>11.146148179951979</v>
      </c>
      <c r="AC356">
        <v>1</v>
      </c>
      <c r="AD356">
        <f t="shared" si="281"/>
        <v>301.79081473695004</v>
      </c>
      <c r="AE356">
        <f t="shared" si="282"/>
        <v>-0.20194611055341924</v>
      </c>
      <c r="AF356">
        <f t="shared" si="283"/>
        <v>3.7249864051050005E-2</v>
      </c>
      <c r="AG356">
        <f t="shared" si="298"/>
        <v>261.79220472408446</v>
      </c>
      <c r="AH356">
        <f t="shared" si="299"/>
        <v>-1446.1238688927479</v>
      </c>
      <c r="AJ356">
        <f t="shared" si="284"/>
        <v>20000</v>
      </c>
      <c r="AK356">
        <f t="shared" si="285"/>
        <v>55138.720918680003</v>
      </c>
      <c r="AL356">
        <v>1</v>
      </c>
      <c r="AM356">
        <f t="shared" si="286"/>
        <v>136.58878293593401</v>
      </c>
      <c r="AN356">
        <f t="shared" si="300"/>
        <v>404.7344260526317</v>
      </c>
      <c r="AO356">
        <f t="shared" si="301"/>
        <v>-143.4617481227458</v>
      </c>
      <c r="AQ356">
        <f t="shared" si="287"/>
        <v>4.9593310060846033E-3</v>
      </c>
      <c r="AR356">
        <f t="shared" si="288"/>
        <v>-7.0422500286401366</v>
      </c>
      <c r="AT356">
        <f t="shared" si="313"/>
        <v>-10182.667542929101</v>
      </c>
      <c r="AU356">
        <f t="shared" si="314"/>
        <v>-1850.7779681575871</v>
      </c>
      <c r="AV356">
        <f t="shared" si="302"/>
        <v>-2.9617977259472239</v>
      </c>
      <c r="AW356">
        <f t="shared" si="303"/>
        <v>-368.40528144480004</v>
      </c>
      <c r="AX356">
        <f t="shared" si="304"/>
        <v>-4604.0371011425759</v>
      </c>
      <c r="AY356">
        <f t="shared" si="312"/>
        <v>-1.6506440773035511</v>
      </c>
      <c r="BA356">
        <f t="shared" si="289"/>
        <v>2.2407557300305987</v>
      </c>
      <c r="BB356">
        <f t="shared" si="305"/>
        <v>7.0078903133706874</v>
      </c>
      <c r="BC356">
        <f t="shared" si="306"/>
        <v>-1.3111536486436728</v>
      </c>
      <c r="BD356">
        <f t="shared" si="290"/>
        <v>-255.12357044630249</v>
      </c>
      <c r="BF356">
        <f t="shared" si="291"/>
        <v>-46.375806553335849</v>
      </c>
      <c r="BG356">
        <f t="shared" si="292"/>
        <v>-183.75589202409532</v>
      </c>
      <c r="BH356">
        <f t="shared" si="307"/>
        <v>-3.7558920240953171</v>
      </c>
      <c r="BI356">
        <f t="shared" si="308"/>
        <v>-3.7558920240953171</v>
      </c>
      <c r="BJ356">
        <f t="shared" si="293"/>
        <v>0</v>
      </c>
      <c r="BK356">
        <f t="shared" si="309"/>
        <v>0</v>
      </c>
      <c r="BM356">
        <f t="shared" si="310"/>
        <v>-53.383696866706536</v>
      </c>
      <c r="BN356">
        <f t="shared" si="294"/>
        <v>-108.63232157779284</v>
      </c>
      <c r="BQ356" s="66">
        <f t="shared" si="311"/>
        <v>23.909851113655822</v>
      </c>
      <c r="BR356" s="71"/>
      <c r="BS356" s="71"/>
      <c r="BT356" s="71">
        <v>288403.15000000002</v>
      </c>
      <c r="BU356" s="71">
        <v>14.961</v>
      </c>
      <c r="BV356" s="71">
        <v>-178.92099999999999</v>
      </c>
      <c r="BY356" s="71"/>
      <c r="BZ356" s="71"/>
      <c r="CA356" s="71"/>
      <c r="CC356" s="71"/>
    </row>
    <row r="357" spans="1:81" x14ac:dyDescent="0.15">
      <c r="A357">
        <f t="shared" si="263"/>
        <v>715000</v>
      </c>
      <c r="B357">
        <f t="shared" si="295"/>
        <v>715</v>
      </c>
      <c r="C357">
        <f t="shared" si="264"/>
        <v>3.1291266193045204</v>
      </c>
      <c r="D357">
        <f t="shared" si="265"/>
        <v>1.2455122363831286</v>
      </c>
      <c r="F357">
        <f t="shared" si="266"/>
        <v>4.5283456587281059E-5</v>
      </c>
      <c r="G357">
        <f t="shared" si="267"/>
        <v>2.2042007163402058E-3</v>
      </c>
      <c r="H357">
        <f t="shared" si="268"/>
        <v>-3.1393884492836599</v>
      </c>
      <c r="J357">
        <f t="shared" si="269"/>
        <v>15</v>
      </c>
      <c r="M357">
        <f t="shared" si="270"/>
        <v>1.3329001572275564E-3</v>
      </c>
      <c r="N357">
        <f t="shared" si="271"/>
        <v>-1.5707963250000001</v>
      </c>
      <c r="O357">
        <f t="shared" si="272"/>
        <v>303.91774735110351</v>
      </c>
      <c r="P357">
        <f t="shared" si="273"/>
        <v>1.5675059569065288</v>
      </c>
      <c r="Q357">
        <f t="shared" si="274"/>
        <v>137.55431074942564</v>
      </c>
      <c r="R357">
        <f t="shared" si="275"/>
        <v>1.5635264069848347</v>
      </c>
      <c r="S357">
        <f t="shared" si="276"/>
        <v>0.33887354323601865</v>
      </c>
      <c r="T357">
        <f t="shared" si="277"/>
        <v>-1.2250769864436453</v>
      </c>
      <c r="U357">
        <f t="shared" si="278"/>
        <v>0.18016727691079717</v>
      </c>
      <c r="V357">
        <f t="shared" si="279"/>
        <v>-1.3896398184247065</v>
      </c>
      <c r="X357">
        <f t="shared" si="296"/>
        <v>-42.816091393725777</v>
      </c>
      <c r="Y357">
        <f t="shared" si="280"/>
        <v>-168.92841158065275</v>
      </c>
      <c r="Z357">
        <f t="shared" si="297"/>
        <v>11.07158841934725</v>
      </c>
      <c r="AC357">
        <v>1</v>
      </c>
      <c r="AD357">
        <f t="shared" si="281"/>
        <v>303.91610216467507</v>
      </c>
      <c r="AE357">
        <f t="shared" si="282"/>
        <v>-0.2048004371507077</v>
      </c>
      <c r="AF357">
        <f t="shared" si="283"/>
        <v>3.7512187037325E-2</v>
      </c>
      <c r="AG357">
        <f t="shared" si="298"/>
        <v>258.26201283194155</v>
      </c>
      <c r="AH357">
        <f t="shared" si="299"/>
        <v>-1436.6577206970114</v>
      </c>
      <c r="AJ357">
        <f t="shared" si="284"/>
        <v>20000</v>
      </c>
      <c r="AK357">
        <f t="shared" si="285"/>
        <v>55527.021770220003</v>
      </c>
      <c r="AL357">
        <v>1</v>
      </c>
      <c r="AM357">
        <f t="shared" si="286"/>
        <v>137.55067577351099</v>
      </c>
      <c r="AN357">
        <f t="shared" si="300"/>
        <v>404.71978841758505</v>
      </c>
      <c r="AO357">
        <f t="shared" si="301"/>
        <v>-142.45862553120224</v>
      </c>
      <c r="AQ357">
        <f t="shared" si="287"/>
        <v>4.8902122890056784E-3</v>
      </c>
      <c r="AR357">
        <f t="shared" si="288"/>
        <v>-6.9930035732781199</v>
      </c>
      <c r="AT357">
        <f t="shared" si="313"/>
        <v>-10045.289618342866</v>
      </c>
      <c r="AU357">
        <f t="shared" si="314"/>
        <v>-1813.0527398166141</v>
      </c>
      <c r="AV357">
        <f t="shared" si="302"/>
        <v>-2.9630272145226608</v>
      </c>
      <c r="AW357">
        <f t="shared" si="303"/>
        <v>-357.53960142969316</v>
      </c>
      <c r="AX357">
        <f t="shared" si="304"/>
        <v>-4572.3067340125335</v>
      </c>
      <c r="AY357">
        <f t="shared" si="312"/>
        <v>-1.6488342912241851</v>
      </c>
      <c r="BA357">
        <f t="shared" si="289"/>
        <v>2.225688261599478</v>
      </c>
      <c r="BB357">
        <f t="shared" si="305"/>
        <v>6.9492867062805264</v>
      </c>
      <c r="BC357">
        <f t="shared" si="306"/>
        <v>-1.3141929232984757</v>
      </c>
      <c r="BD357">
        <f t="shared" si="290"/>
        <v>-255.29770805700275</v>
      </c>
      <c r="BF357">
        <f t="shared" si="291"/>
        <v>-46.50163396803169</v>
      </c>
      <c r="BG357">
        <f t="shared" si="292"/>
        <v>-183.80882210041494</v>
      </c>
      <c r="BH357">
        <f t="shared" si="307"/>
        <v>-3.8088221004149432</v>
      </c>
      <c r="BI357">
        <f t="shared" si="308"/>
        <v>-3.8088221004149432</v>
      </c>
      <c r="BJ357">
        <f t="shared" si="293"/>
        <v>0</v>
      </c>
      <c r="BK357">
        <f t="shared" si="309"/>
        <v>0</v>
      </c>
      <c r="BM357">
        <f t="shared" si="310"/>
        <v>-53.450920674312215</v>
      </c>
      <c r="BN357">
        <f t="shared" si="294"/>
        <v>-108.51111404341222</v>
      </c>
      <c r="BQ357" s="66">
        <f t="shared" si="311"/>
        <v>23.85124750656566</v>
      </c>
      <c r="BR357" s="71"/>
      <c r="BS357" s="71"/>
      <c r="BT357" s="71">
        <v>295120.92300000001</v>
      </c>
      <c r="BU357" s="71">
        <v>14.946199999999999</v>
      </c>
      <c r="BV357" s="71">
        <v>-181.99</v>
      </c>
      <c r="BW357" s="75"/>
      <c r="BY357" s="71"/>
      <c r="BZ357" s="71"/>
      <c r="CA357" s="71"/>
      <c r="CC357" s="71"/>
    </row>
    <row r="358" spans="1:81" x14ac:dyDescent="0.15">
      <c r="A358">
        <f t="shared" si="263"/>
        <v>720000</v>
      </c>
      <c r="B358">
        <f t="shared" si="295"/>
        <v>720</v>
      </c>
      <c r="C358">
        <f t="shared" si="264"/>
        <v>3.148780784699269</v>
      </c>
      <c r="D358">
        <f t="shared" si="265"/>
        <v>1.2476166376989333</v>
      </c>
      <c r="F358">
        <f t="shared" si="266"/>
        <v>4.4656676554944155E-5</v>
      </c>
      <c r="G358">
        <f t="shared" si="267"/>
        <v>2.1888924217013544E-3</v>
      </c>
      <c r="H358">
        <f t="shared" si="268"/>
        <v>-3.1394037575782989</v>
      </c>
      <c r="J358">
        <f t="shared" si="269"/>
        <v>15</v>
      </c>
      <c r="M358">
        <f t="shared" si="270"/>
        <v>1.3236439061356984E-3</v>
      </c>
      <c r="N358">
        <f t="shared" si="271"/>
        <v>-1.5707963250000001</v>
      </c>
      <c r="O358">
        <f t="shared" si="272"/>
        <v>306.04302335398398</v>
      </c>
      <c r="P358">
        <f t="shared" si="273"/>
        <v>1.5675288065342119</v>
      </c>
      <c r="Q358">
        <f t="shared" si="274"/>
        <v>138.51617834477446</v>
      </c>
      <c r="R358">
        <f t="shared" si="275"/>
        <v>1.5635768907787431</v>
      </c>
      <c r="S358">
        <f t="shared" si="276"/>
        <v>0.33678800600563535</v>
      </c>
      <c r="T358">
        <f t="shared" si="277"/>
        <v>-1.2272927988156197</v>
      </c>
      <c r="U358">
        <f t="shared" si="278"/>
        <v>0.1789563197570424</v>
      </c>
      <c r="V358">
        <f t="shared" si="279"/>
        <v>-1.3908707829032625</v>
      </c>
      <c r="X358">
        <f t="shared" si="296"/>
        <v>-42.934442200605304</v>
      </c>
      <c r="Y358">
        <f t="shared" si="280"/>
        <v>-169.00199943851814</v>
      </c>
      <c r="Z358">
        <f t="shared" si="297"/>
        <v>10.998000561481859</v>
      </c>
      <c r="AC358">
        <v>1</v>
      </c>
      <c r="AD358">
        <f t="shared" si="281"/>
        <v>306.04138959240004</v>
      </c>
      <c r="AE358">
        <f t="shared" si="282"/>
        <v>-0.20767479411008244</v>
      </c>
      <c r="AF358">
        <f t="shared" si="283"/>
        <v>3.7774510023600001E-2</v>
      </c>
      <c r="AG358">
        <f t="shared" si="298"/>
        <v>254.80197042652949</v>
      </c>
      <c r="AH358">
        <f t="shared" si="299"/>
        <v>-1427.310287108643</v>
      </c>
      <c r="AJ358">
        <f t="shared" si="284"/>
        <v>20000</v>
      </c>
      <c r="AK358">
        <f t="shared" si="285"/>
        <v>55915.322621759995</v>
      </c>
      <c r="AL358">
        <v>1</v>
      </c>
      <c r="AM358">
        <f t="shared" si="286"/>
        <v>138.512568611088</v>
      </c>
      <c r="AN358">
        <f t="shared" si="300"/>
        <v>404.70545465198086</v>
      </c>
      <c r="AO358">
        <f t="shared" si="301"/>
        <v>-141.4694330040704</v>
      </c>
      <c r="AQ358">
        <f t="shared" si="287"/>
        <v>4.822528538518259E-3</v>
      </c>
      <c r="AR358">
        <f t="shared" si="288"/>
        <v>-6.944441095466293</v>
      </c>
      <c r="AT358">
        <f t="shared" si="313"/>
        <v>-9910.6434240050003</v>
      </c>
      <c r="AU358">
        <f t="shared" si="314"/>
        <v>-1776.3405192286807</v>
      </c>
      <c r="AV358">
        <f t="shared" si="302"/>
        <v>-2.9642401856260316</v>
      </c>
      <c r="AW358">
        <f t="shared" si="303"/>
        <v>-346.90228593201078</v>
      </c>
      <c r="AX358">
        <f t="shared" si="304"/>
        <v>-4541.0079754368471</v>
      </c>
      <c r="AY358">
        <f t="shared" si="312"/>
        <v>-1.6470414708049077</v>
      </c>
      <c r="BA358">
        <f t="shared" si="289"/>
        <v>2.2108142260202626</v>
      </c>
      <c r="BB358">
        <f t="shared" si="305"/>
        <v>6.8910450098377911</v>
      </c>
      <c r="BC358">
        <f t="shared" si="306"/>
        <v>-1.3171987148211239</v>
      </c>
      <c r="BD358">
        <f t="shared" si="290"/>
        <v>-255.46992722554347</v>
      </c>
      <c r="BF358">
        <f t="shared" si="291"/>
        <v>-46.626553302793525</v>
      </c>
      <c r="BG358">
        <f t="shared" si="292"/>
        <v>-183.86134505569589</v>
      </c>
      <c r="BH358">
        <f t="shared" si="307"/>
        <v>-3.8613450556958924</v>
      </c>
      <c r="BI358">
        <f t="shared" si="308"/>
        <v>-3.8613450556958924</v>
      </c>
      <c r="BJ358">
        <f t="shared" si="293"/>
        <v>0</v>
      </c>
      <c r="BK358">
        <f t="shared" si="309"/>
        <v>0</v>
      </c>
      <c r="BM358">
        <f t="shared" si="310"/>
        <v>-53.517598312631314</v>
      </c>
      <c r="BN358">
        <f t="shared" si="294"/>
        <v>-108.39141783015242</v>
      </c>
      <c r="BQ358" s="66">
        <f t="shared" si="311"/>
        <v>23.793005810122928</v>
      </c>
      <c r="BR358" s="71"/>
      <c r="BS358" s="71"/>
      <c r="BT358" s="71">
        <v>301995.17200000002</v>
      </c>
      <c r="BU358" s="71">
        <v>15.1762</v>
      </c>
      <c r="BV358" s="71">
        <v>-183.36099999999999</v>
      </c>
      <c r="BW358" s="75"/>
      <c r="BY358" s="71"/>
      <c r="BZ358" s="71"/>
      <c r="CA358" s="71"/>
      <c r="CC358" s="71"/>
    </row>
    <row r="359" spans="1:81" x14ac:dyDescent="0.15">
      <c r="A359">
        <f t="shared" si="263"/>
        <v>725000</v>
      </c>
      <c r="B359">
        <f t="shared" si="295"/>
        <v>725</v>
      </c>
      <c r="C359">
        <f t="shared" si="264"/>
        <v>3.1684487214528199</v>
      </c>
      <c r="D359">
        <f t="shared" si="265"/>
        <v>1.2496949222583491</v>
      </c>
      <c r="F359">
        <f t="shared" si="266"/>
        <v>4.4042820349753151E-5</v>
      </c>
      <c r="G359">
        <f t="shared" si="267"/>
        <v>2.1737953035003738E-3</v>
      </c>
      <c r="H359">
        <f t="shared" si="268"/>
        <v>-3.1394188546964998</v>
      </c>
      <c r="J359">
        <f t="shared" si="269"/>
        <v>15</v>
      </c>
      <c r="M359">
        <f t="shared" si="270"/>
        <v>1.3145153274726935E-3</v>
      </c>
      <c r="N359">
        <f t="shared" si="271"/>
        <v>-1.5707963250000001</v>
      </c>
      <c r="O359">
        <f t="shared" si="272"/>
        <v>308.1682995144472</v>
      </c>
      <c r="P359">
        <f t="shared" si="273"/>
        <v>1.5675513409979585</v>
      </c>
      <c r="Q359">
        <f t="shared" si="274"/>
        <v>139.47804628827845</v>
      </c>
      <c r="R359">
        <f t="shared" si="275"/>
        <v>1.5636266782805024</v>
      </c>
      <c r="S359">
        <f t="shared" si="276"/>
        <v>0.33472636848979159</v>
      </c>
      <c r="T359">
        <f t="shared" si="277"/>
        <v>-1.229481493768547</v>
      </c>
      <c r="U359">
        <f t="shared" si="278"/>
        <v>0.17776126833315198</v>
      </c>
      <c r="V359">
        <f t="shared" si="279"/>
        <v>-1.392085308699883</v>
      </c>
      <c r="X359">
        <f t="shared" si="296"/>
        <v>-43.05200796587998</v>
      </c>
      <c r="Y359">
        <f t="shared" si="280"/>
        <v>-169.07463394818595</v>
      </c>
      <c r="Z359">
        <f t="shared" si="297"/>
        <v>10.925366051814052</v>
      </c>
      <c r="AC359">
        <v>1</v>
      </c>
      <c r="AD359">
        <f t="shared" si="281"/>
        <v>308.16667702012501</v>
      </c>
      <c r="AE359">
        <f t="shared" si="282"/>
        <v>-0.21056918143154335</v>
      </c>
      <c r="AF359">
        <f t="shared" si="283"/>
        <v>3.8036833009875003E-2</v>
      </c>
      <c r="AG359">
        <f t="shared" si="298"/>
        <v>251.4102517805986</v>
      </c>
      <c r="AH359">
        <f t="shared" si="299"/>
        <v>-1418.079441759395</v>
      </c>
      <c r="AJ359">
        <f t="shared" si="284"/>
        <v>20000</v>
      </c>
      <c r="AK359">
        <f t="shared" si="285"/>
        <v>56303.623473300002</v>
      </c>
      <c r="AL359">
        <v>1</v>
      </c>
      <c r="AM359">
        <f t="shared" si="286"/>
        <v>139.47446144866501</v>
      </c>
      <c r="AN359">
        <f t="shared" si="300"/>
        <v>404.69141640290786</v>
      </c>
      <c r="AO359">
        <f t="shared" si="301"/>
        <v>-140.49388239300959</v>
      </c>
      <c r="AQ359">
        <f t="shared" si="287"/>
        <v>4.7562403061877263E-3</v>
      </c>
      <c r="AR359">
        <f t="shared" si="288"/>
        <v>-6.8965484439722022</v>
      </c>
      <c r="AT359">
        <f t="shared" si="313"/>
        <v>-9778.6577999218171</v>
      </c>
      <c r="AU359">
        <f t="shared" si="314"/>
        <v>-1740.6077073144193</v>
      </c>
      <c r="AV359">
        <f t="shared" si="302"/>
        <v>-2.9654369662286428</v>
      </c>
      <c r="AW359">
        <f t="shared" si="303"/>
        <v>-336.48696599394032</v>
      </c>
      <c r="AX359">
        <f t="shared" si="304"/>
        <v>-4510.1321272044179</v>
      </c>
      <c r="AY359">
        <f t="shared" si="312"/>
        <v>-1.645265259545263</v>
      </c>
      <c r="BA359">
        <f t="shared" si="289"/>
        <v>2.1961300303803646</v>
      </c>
      <c r="BB359">
        <f t="shared" si="305"/>
        <v>6.8331610125085627</v>
      </c>
      <c r="BC359">
        <f t="shared" si="306"/>
        <v>-1.3201717066833798</v>
      </c>
      <c r="BD359">
        <f t="shared" si="290"/>
        <v>-255.64026711197212</v>
      </c>
      <c r="BF359">
        <f t="shared" si="291"/>
        <v>-46.750577711367029</v>
      </c>
      <c r="BG359">
        <f t="shared" si="292"/>
        <v>-183.91347300926344</v>
      </c>
      <c r="BH359">
        <f t="shared" si="307"/>
        <v>-3.9134730092634413</v>
      </c>
      <c r="BI359">
        <f t="shared" si="308"/>
        <v>-3.9134730092634413</v>
      </c>
      <c r="BJ359">
        <f t="shared" si="293"/>
        <v>0</v>
      </c>
      <c r="BK359">
        <f t="shared" si="309"/>
        <v>0</v>
      </c>
      <c r="BM359">
        <f t="shared" si="310"/>
        <v>-53.583738723875591</v>
      </c>
      <c r="BN359">
        <f t="shared" si="294"/>
        <v>-108.27320589729133</v>
      </c>
      <c r="BQ359" s="66">
        <f t="shared" si="311"/>
        <v>23.7351218127937</v>
      </c>
      <c r="BR359" s="71"/>
      <c r="BS359" s="71"/>
      <c r="BT359" s="71">
        <v>309029.54300000001</v>
      </c>
      <c r="BU359" s="71">
        <v>15.284700000000001</v>
      </c>
      <c r="BV359" s="71">
        <v>-186.209</v>
      </c>
      <c r="BW359" s="75"/>
      <c r="BY359" s="71"/>
      <c r="BZ359" s="71"/>
      <c r="CA359" s="71"/>
      <c r="CC359" s="71"/>
    </row>
    <row r="360" spans="1:81" x14ac:dyDescent="0.15">
      <c r="A360">
        <f t="shared" si="263"/>
        <v>730000</v>
      </c>
      <c r="B360">
        <f t="shared" si="295"/>
        <v>730</v>
      </c>
      <c r="C360">
        <f t="shared" si="264"/>
        <v>3.1881301746939585</v>
      </c>
      <c r="D360">
        <f t="shared" si="265"/>
        <v>1.2517475556238868</v>
      </c>
      <c r="F360">
        <f t="shared" si="266"/>
        <v>4.3441535084887599E-5</v>
      </c>
      <c r="G360">
        <f t="shared" si="267"/>
        <v>2.158905021748387E-3</v>
      </c>
      <c r="H360">
        <f t="shared" si="268"/>
        <v>-3.1394337449782519</v>
      </c>
      <c r="J360">
        <f t="shared" si="269"/>
        <v>15</v>
      </c>
      <c r="M360">
        <f t="shared" si="270"/>
        <v>1.3055117978324694E-3</v>
      </c>
      <c r="N360">
        <f t="shared" si="271"/>
        <v>-1.5707963250000001</v>
      </c>
      <c r="O360">
        <f t="shared" si="272"/>
        <v>310.2935758292553</v>
      </c>
      <c r="P360">
        <f t="shared" si="273"/>
        <v>1.567573566773649</v>
      </c>
      <c r="Q360">
        <f t="shared" si="274"/>
        <v>140.43991457278406</v>
      </c>
      <c r="R360">
        <f t="shared" si="275"/>
        <v>1.5636757837965087</v>
      </c>
      <c r="S360">
        <f t="shared" si="276"/>
        <v>0.33268825317818418</v>
      </c>
      <c r="T360">
        <f t="shared" si="277"/>
        <v>-1.2316435454852859</v>
      </c>
      <c r="U360">
        <f t="shared" si="278"/>
        <v>0.1765818165758839</v>
      </c>
      <c r="V360">
        <f t="shared" si="279"/>
        <v>-1.39328371940897</v>
      </c>
      <c r="X360">
        <f t="shared" si="296"/>
        <v>-43.168798859569861</v>
      </c>
      <c r="Y360">
        <f t="shared" si="280"/>
        <v>-169.14633320208569</v>
      </c>
      <c r="Z360">
        <f t="shared" si="297"/>
        <v>10.853666797914315</v>
      </c>
      <c r="AC360">
        <v>1</v>
      </c>
      <c r="AD360">
        <f t="shared" si="281"/>
        <v>310.29196444785003</v>
      </c>
      <c r="AE360">
        <f t="shared" si="282"/>
        <v>-0.21348359911509052</v>
      </c>
      <c r="AF360">
        <f t="shared" si="283"/>
        <v>3.8299155996150004E-2</v>
      </c>
      <c r="AG360">
        <f t="shared" ref="AG360:AG423" si="315">AC360*AE360/(AE360^2+AF360^2)+AD360*AF360/(AE360^2+AF360^2)</f>
        <v>248.0850894956792</v>
      </c>
      <c r="AH360">
        <f t="shared" ref="AH360:AH423" si="316">AD360*AE360/(AE360^2+AF360^2)-AC360*AF360/(AE360^2+AF360^2)</f>
        <v>-1408.9631060734455</v>
      </c>
      <c r="AJ360">
        <f t="shared" si="284"/>
        <v>20000</v>
      </c>
      <c r="AK360">
        <f t="shared" si="285"/>
        <v>56691.924324840002</v>
      </c>
      <c r="AL360">
        <v>1</v>
      </c>
      <c r="AM360">
        <f t="shared" si="286"/>
        <v>140.43635428624199</v>
      </c>
      <c r="AN360">
        <f t="shared" ref="AN360:AN423" si="317">AJ360*AL360/(AL360^2+AM360^2)+AK360*AM360/(AL360^2+AM360^2)</f>
        <v>404.67766560250055</v>
      </c>
      <c r="AO360">
        <f t="shared" ref="AO360:AO423" si="318">AK360*AL360/(AL360^2+AM360^2)-AJ360*AM360/(AL360^2+AM360^2)</f>
        <v>-139.53169344212449</v>
      </c>
      <c r="AQ360">
        <f t="shared" si="287"/>
        <v>4.691309489909228E-3</v>
      </c>
      <c r="AR360">
        <f t="shared" si="288"/>
        <v>-6.849311855267473</v>
      </c>
      <c r="AT360">
        <f t="shared" si="313"/>
        <v>-9649.2638621286769</v>
      </c>
      <c r="AU360">
        <f t="shared" si="314"/>
        <v>-1705.8220265883019</v>
      </c>
      <c r="AV360">
        <f t="shared" si="302"/>
        <v>-2.9666178748253724</v>
      </c>
      <c r="AW360">
        <f t="shared" si="303"/>
        <v>-326.28749354876618</v>
      </c>
      <c r="AX360">
        <f t="shared" si="304"/>
        <v>-4479.6707221983233</v>
      </c>
      <c r="AY360">
        <f t="shared" si="312"/>
        <v>-1.6435053109082232</v>
      </c>
      <c r="BA360">
        <f t="shared" si="289"/>
        <v>2.1816321664116618</v>
      </c>
      <c r="BB360">
        <f t="shared" si="305"/>
        <v>6.7756305660724685</v>
      </c>
      <c r="BC360">
        <f t="shared" si="306"/>
        <v>-1.3231125639171493</v>
      </c>
      <c r="BD360">
        <f t="shared" si="290"/>
        <v>-255.80876581981016</v>
      </c>
      <c r="BF360">
        <f t="shared" si="291"/>
        <v>-46.873720068527113</v>
      </c>
      <c r="BG360">
        <f t="shared" si="292"/>
        <v>-183.96521763853517</v>
      </c>
      <c r="BH360">
        <f t="shared" si="307"/>
        <v>-3.9652176385351652</v>
      </c>
      <c r="BI360">
        <f t="shared" si="308"/>
        <v>-3.9652176385351652</v>
      </c>
      <c r="BJ360">
        <f t="shared" si="293"/>
        <v>0</v>
      </c>
      <c r="BK360">
        <f t="shared" si="309"/>
        <v>0</v>
      </c>
      <c r="BM360">
        <f t="shared" si="310"/>
        <v>-53.649350634599585</v>
      </c>
      <c r="BN360">
        <f t="shared" si="294"/>
        <v>-108.15645181872502</v>
      </c>
      <c r="BQ360" s="66">
        <f t="shared" si="311"/>
        <v>23.677591366357603</v>
      </c>
      <c r="BR360" s="71"/>
      <c r="BS360" s="71"/>
      <c r="BT360" s="71">
        <v>316227.766</v>
      </c>
      <c r="BU360" s="71">
        <v>15.331799999999999</v>
      </c>
      <c r="BV360" s="71">
        <v>-189.75</v>
      </c>
      <c r="BW360" s="75"/>
      <c r="BY360" s="71"/>
      <c r="BZ360" s="71"/>
      <c r="CA360" s="71"/>
      <c r="CC360" s="71"/>
    </row>
    <row r="361" spans="1:81" x14ac:dyDescent="0.15">
      <c r="A361">
        <f t="shared" si="263"/>
        <v>735000</v>
      </c>
      <c r="B361">
        <f t="shared" si="295"/>
        <v>735</v>
      </c>
      <c r="C361">
        <f t="shared" si="264"/>
        <v>3.207824895633443</v>
      </c>
      <c r="D361">
        <f t="shared" si="265"/>
        <v>1.253774992801044</v>
      </c>
      <c r="F361">
        <f t="shared" si="266"/>
        <v>4.2852479836509714E-5</v>
      </c>
      <c r="G361">
        <f t="shared" si="267"/>
        <v>2.1442173545766041E-3</v>
      </c>
      <c r="H361">
        <f t="shared" si="268"/>
        <v>-3.1394484326454237</v>
      </c>
      <c r="J361">
        <f t="shared" si="269"/>
        <v>15</v>
      </c>
      <c r="M361">
        <f t="shared" si="270"/>
        <v>1.2966307651941535E-3</v>
      </c>
      <c r="N361">
        <f t="shared" si="271"/>
        <v>-1.5707963250000001</v>
      </c>
      <c r="O361">
        <f t="shared" si="272"/>
        <v>312.41885229525838</v>
      </c>
      <c r="P361">
        <f t="shared" si="273"/>
        <v>1.5675954901609532</v>
      </c>
      <c r="Q361">
        <f t="shared" si="274"/>
        <v>141.40178319133247</v>
      </c>
      <c r="R361">
        <f t="shared" si="275"/>
        <v>1.5637242212439009</v>
      </c>
      <c r="S361">
        <f t="shared" si="276"/>
        <v>0.33067328964951648</v>
      </c>
      <c r="T361">
        <f t="shared" si="277"/>
        <v>-1.2337794176706325</v>
      </c>
      <c r="U361">
        <f t="shared" si="278"/>
        <v>0.17541766608378756</v>
      </c>
      <c r="V361">
        <f t="shared" si="279"/>
        <v>-1.3944663302794427</v>
      </c>
      <c r="X361">
        <f t="shared" si="296"/>
        <v>-43.284824858134371</v>
      </c>
      <c r="Y361">
        <f t="shared" si="280"/>
        <v>-169.21711484464041</v>
      </c>
      <c r="Z361">
        <f t="shared" si="297"/>
        <v>10.782885155359594</v>
      </c>
      <c r="AC361">
        <v>1</v>
      </c>
      <c r="AD361">
        <f t="shared" si="281"/>
        <v>312.41725187557506</v>
      </c>
      <c r="AE361">
        <f t="shared" si="282"/>
        <v>-0.21641804716072391</v>
      </c>
      <c r="AF361">
        <f t="shared" si="283"/>
        <v>3.8561478982425006E-2</v>
      </c>
      <c r="AG361">
        <f t="shared" si="315"/>
        <v>244.82477230710489</v>
      </c>
      <c r="AH361">
        <f t="shared" si="316"/>
        <v>-1399.9592480329088</v>
      </c>
      <c r="AJ361">
        <f t="shared" si="284"/>
        <v>20000</v>
      </c>
      <c r="AK361">
        <f t="shared" si="285"/>
        <v>57080.225176380009</v>
      </c>
      <c r="AL361">
        <v>1</v>
      </c>
      <c r="AM361">
        <f t="shared" si="286"/>
        <v>141.39824712381898</v>
      </c>
      <c r="AN361">
        <f t="shared" si="317"/>
        <v>404.66419445634642</v>
      </c>
      <c r="AO361">
        <f t="shared" si="318"/>
        <v>-138.58259351959646</v>
      </c>
      <c r="AQ361">
        <f t="shared" si="287"/>
        <v>4.627699279143283E-3</v>
      </c>
      <c r="AR361">
        <f t="shared" si="288"/>
        <v>-6.8027179403406262</v>
      </c>
      <c r="AT361">
        <f t="shared" si="313"/>
        <v>-9522.3949169169191</v>
      </c>
      <c r="AU361">
        <f t="shared" si="314"/>
        <v>-1671.9524612163032</v>
      </c>
      <c r="AV361">
        <f t="shared" si="302"/>
        <v>-2.9677832217043756</v>
      </c>
      <c r="AW361">
        <f t="shared" si="303"/>
        <v>-316.29793227846136</v>
      </c>
      <c r="AX361">
        <f t="shared" si="304"/>
        <v>-4449.6155167986053</v>
      </c>
      <c r="AY361">
        <f t="shared" si="312"/>
        <v>-1.6417612879767136</v>
      </c>
      <c r="BA361">
        <f t="shared" si="289"/>
        <v>2.1673172081640337</v>
      </c>
      <c r="BB361">
        <f t="shared" si="305"/>
        <v>6.7184495847107994</v>
      </c>
      <c r="BC361">
        <f t="shared" si="306"/>
        <v>-1.326021933727662</v>
      </c>
      <c r="BD361">
        <f t="shared" si="290"/>
        <v>-255.97546043118581</v>
      </c>
      <c r="BF361">
        <f t="shared" si="291"/>
        <v>-46.995992977715623</v>
      </c>
      <c r="BG361">
        <f t="shared" si="292"/>
        <v>-184.01659019763986</v>
      </c>
      <c r="BH361">
        <f t="shared" si="307"/>
        <v>-4.0165901976398573</v>
      </c>
      <c r="BI361">
        <f t="shared" si="308"/>
        <v>-4.0165901976398573</v>
      </c>
      <c r="BJ361">
        <f t="shared" si="293"/>
        <v>0</v>
      </c>
      <c r="BK361">
        <f t="shared" si="309"/>
        <v>0</v>
      </c>
      <c r="BM361">
        <f t="shared" si="310"/>
        <v>-53.714442562426427</v>
      </c>
      <c r="BN361">
        <f t="shared" si="294"/>
        <v>-108.04112976645408</v>
      </c>
      <c r="BQ361" s="66">
        <f t="shared" si="311"/>
        <v>23.620410384995935</v>
      </c>
      <c r="BR361" s="71"/>
      <c r="BS361" s="71"/>
      <c r="BT361" s="71">
        <v>323593.65700000001</v>
      </c>
      <c r="BU361" s="71">
        <v>15.3347</v>
      </c>
      <c r="BV361" s="71">
        <v>-192.398</v>
      </c>
      <c r="BW361" s="75"/>
      <c r="BY361" s="71"/>
      <c r="BZ361" s="71"/>
      <c r="CA361" s="71"/>
      <c r="CC361" s="71"/>
    </row>
    <row r="362" spans="1:81" x14ac:dyDescent="0.15">
      <c r="A362">
        <f t="shared" si="263"/>
        <v>740000</v>
      </c>
      <c r="B362">
        <f t="shared" si="295"/>
        <v>740</v>
      </c>
      <c r="C362">
        <f t="shared" si="264"/>
        <v>3.2275326413888905</v>
      </c>
      <c r="D362">
        <f t="shared" si="265"/>
        <v>1.2557776785218453</v>
      </c>
      <c r="F362">
        <f t="shared" si="266"/>
        <v>4.2275325160377964E-5</v>
      </c>
      <c r="G362">
        <f t="shared" si="267"/>
        <v>2.1297281942447683E-3</v>
      </c>
      <c r="H362">
        <f t="shared" si="268"/>
        <v>-3.1394629218057553</v>
      </c>
      <c r="J362">
        <f t="shared" si="269"/>
        <v>15</v>
      </c>
      <c r="M362">
        <f t="shared" si="270"/>
        <v>1.2878697465104091E-3</v>
      </c>
      <c r="N362">
        <f t="shared" si="271"/>
        <v>-1.5707963250000001</v>
      </c>
      <c r="O362">
        <f t="shared" si="272"/>
        <v>314.5441289093917</v>
      </c>
      <c r="P362">
        <f t="shared" si="273"/>
        <v>1.5676171172892814</v>
      </c>
      <c r="Q362">
        <f t="shared" si="274"/>
        <v>142.36365213715283</v>
      </c>
      <c r="R362">
        <f t="shared" si="275"/>
        <v>1.5637720041637098</v>
      </c>
      <c r="S362">
        <f t="shared" si="276"/>
        <v>0.3286811144344125</v>
      </c>
      <c r="T362">
        <f t="shared" si="277"/>
        <v>-1.2358895638230203</v>
      </c>
      <c r="U362">
        <f t="shared" si="278"/>
        <v>0.1742685258836513</v>
      </c>
      <c r="V362">
        <f t="shared" si="279"/>
        <v>-1.3956334484790238</v>
      </c>
      <c r="X362">
        <f t="shared" si="296"/>
        <v>-43.400095749297385</v>
      </c>
      <c r="Y362">
        <f t="shared" si="280"/>
        <v>-169.28699608586533</v>
      </c>
      <c r="Z362">
        <f t="shared" si="297"/>
        <v>10.713003914134674</v>
      </c>
      <c r="AC362">
        <v>1</v>
      </c>
      <c r="AD362">
        <f t="shared" si="281"/>
        <v>314.54253930330003</v>
      </c>
      <c r="AE362">
        <f t="shared" si="282"/>
        <v>-0.21937252556844355</v>
      </c>
      <c r="AF362">
        <f t="shared" si="283"/>
        <v>3.8823801968700007E-2</v>
      </c>
      <c r="AG362">
        <f t="shared" si="315"/>
        <v>241.62764298355742</v>
      </c>
      <c r="AH362">
        <f t="shared" si="316"/>
        <v>-1391.0658809766637</v>
      </c>
      <c r="AJ362">
        <f t="shared" si="284"/>
        <v>20000</v>
      </c>
      <c r="AK362">
        <f t="shared" si="285"/>
        <v>57468.526027920001</v>
      </c>
      <c r="AL362">
        <v>1</v>
      </c>
      <c r="AM362">
        <f t="shared" si="286"/>
        <v>142.36013996139599</v>
      </c>
      <c r="AN362">
        <f t="shared" si="317"/>
        <v>404.65099543243878</v>
      </c>
      <c r="AO362">
        <f t="shared" si="318"/>
        <v>-137.64631736019129</v>
      </c>
      <c r="AQ362">
        <f t="shared" si="287"/>
        <v>4.5653741027327872E-3</v>
      </c>
      <c r="AR362">
        <f t="shared" si="288"/>
        <v>-6.7567536720445256</v>
      </c>
      <c r="AT362">
        <f t="shared" si="313"/>
        <v>-9397.9863787611448</v>
      </c>
      <c r="AU362">
        <f t="shared" si="314"/>
        <v>-1638.9692001448213</v>
      </c>
      <c r="AV362">
        <f t="shared" si="302"/>
        <v>-2.9689333092066836</v>
      </c>
      <c r="AW362">
        <f t="shared" si="303"/>
        <v>-306.51254891013656</v>
      </c>
      <c r="AX362">
        <f t="shared" si="304"/>
        <v>-4419.9584835821561</v>
      </c>
      <c r="AY362">
        <f t="shared" si="312"/>
        <v>-1.6400328631241359</v>
      </c>
      <c r="BA362">
        <f t="shared" si="289"/>
        <v>2.1531818097476934</v>
      </c>
      <c r="BB362">
        <f t="shared" si="305"/>
        <v>6.6616140440919285</v>
      </c>
      <c r="BC362">
        <f t="shared" si="306"/>
        <v>-1.3289004460825478</v>
      </c>
      <c r="BD362">
        <f t="shared" si="290"/>
        <v>-256.14038704058549</v>
      </c>
      <c r="BF362">
        <f t="shared" si="291"/>
        <v>-47.117408778428604</v>
      </c>
      <c r="BG362">
        <f t="shared" si="292"/>
        <v>-184.06760153515205</v>
      </c>
      <c r="BH362">
        <f t="shared" si="307"/>
        <v>-4.0676015351520505</v>
      </c>
      <c r="BI362">
        <f t="shared" si="308"/>
        <v>-4.0676015351520505</v>
      </c>
      <c r="BJ362">
        <f t="shared" si="293"/>
        <v>0</v>
      </c>
      <c r="BK362">
        <f t="shared" si="309"/>
        <v>0</v>
      </c>
      <c r="BM362">
        <f t="shared" si="310"/>
        <v>-53.779022822520531</v>
      </c>
      <c r="BN362">
        <f t="shared" si="294"/>
        <v>-107.92721449456657</v>
      </c>
      <c r="BQ362" s="66">
        <f t="shared" si="311"/>
        <v>23.563574844377065</v>
      </c>
      <c r="BR362" s="71"/>
      <c r="BS362" s="71"/>
      <c r="BT362" s="71">
        <v>331131.12099999998</v>
      </c>
      <c r="BU362" s="71">
        <v>15.331</v>
      </c>
      <c r="BV362" s="71">
        <v>-194.60300000000001</v>
      </c>
      <c r="BW362" s="75"/>
      <c r="BY362" s="71"/>
      <c r="BZ362" s="71"/>
      <c r="CA362" s="71"/>
      <c r="CC362" s="71"/>
    </row>
    <row r="363" spans="1:81" x14ac:dyDescent="0.15">
      <c r="A363">
        <f t="shared" si="263"/>
        <v>745000</v>
      </c>
      <c r="B363">
        <f t="shared" si="295"/>
        <v>745</v>
      </c>
      <c r="C363">
        <f t="shared" si="264"/>
        <v>3.2472531748154845</v>
      </c>
      <c r="D363">
        <f t="shared" si="265"/>
        <v>1.2577560475198306</v>
      </c>
      <c r="F363">
        <f t="shared" si="266"/>
        <v>4.1709752631096074E-5</v>
      </c>
      <c r="G363">
        <f t="shared" si="267"/>
        <v>2.1154335433103857E-3</v>
      </c>
      <c r="H363">
        <f t="shared" si="268"/>
        <v>-3.1394772164566898</v>
      </c>
      <c r="J363">
        <f t="shared" si="269"/>
        <v>15</v>
      </c>
      <c r="M363">
        <f t="shared" si="270"/>
        <v>1.2792263253928896E-3</v>
      </c>
      <c r="N363">
        <f t="shared" si="271"/>
        <v>-1.5707963250000001</v>
      </c>
      <c r="O363">
        <f t="shared" si="272"/>
        <v>316.66940566867282</v>
      </c>
      <c r="P363">
        <f t="shared" si="273"/>
        <v>1.5676384541234998</v>
      </c>
      <c r="Q363">
        <f t="shared" si="274"/>
        <v>143.32552140365615</v>
      </c>
      <c r="R363">
        <f t="shared" si="275"/>
        <v>1.5638191457334794</v>
      </c>
      <c r="S363">
        <f t="shared" si="276"/>
        <v>0.32671137088020147</v>
      </c>
      <c r="T363">
        <f t="shared" si="277"/>
        <v>-1.2379744274984275</v>
      </c>
      <c r="U363">
        <f t="shared" si="278"/>
        <v>0.17313411220525143</v>
      </c>
      <c r="V363">
        <f t="shared" si="279"/>
        <v>-1.3967853733486659</v>
      </c>
      <c r="X363">
        <f t="shared" si="296"/>
        <v>-43.514621136724159</v>
      </c>
      <c r="Y363">
        <f t="shared" si="280"/>
        <v>-169.35599371447955</v>
      </c>
      <c r="Z363">
        <f t="shared" si="297"/>
        <v>10.644006285520447</v>
      </c>
      <c r="AC363">
        <v>1</v>
      </c>
      <c r="AD363">
        <f t="shared" si="281"/>
        <v>316.66782673102506</v>
      </c>
      <c r="AE363">
        <f t="shared" si="282"/>
        <v>-0.22234703433824943</v>
      </c>
      <c r="AF363">
        <f t="shared" si="283"/>
        <v>3.9086124954975009E-2</v>
      </c>
      <c r="AG363">
        <f t="shared" si="315"/>
        <v>238.49209631657465</v>
      </c>
      <c r="AH363">
        <f t="shared" si="316"/>
        <v>-1382.2810624317376</v>
      </c>
      <c r="AJ363">
        <f t="shared" si="284"/>
        <v>20000</v>
      </c>
      <c r="AK363">
        <f t="shared" si="285"/>
        <v>57856.826879459994</v>
      </c>
      <c r="AL363">
        <v>1</v>
      </c>
      <c r="AM363">
        <f t="shared" si="286"/>
        <v>143.322032798973</v>
      </c>
      <c r="AN363">
        <f t="shared" si="317"/>
        <v>404.6380612506473</v>
      </c>
      <c r="AO363">
        <f t="shared" si="318"/>
        <v>-136.72260681813165</v>
      </c>
      <c r="AQ363">
        <f t="shared" si="287"/>
        <v>4.50429957916329E-3</v>
      </c>
      <c r="AR363">
        <f t="shared" si="288"/>
        <v>-6.7114063729533022</v>
      </c>
      <c r="AT363">
        <f t="shared" si="313"/>
        <v>-9275.9756917679515</v>
      </c>
      <c r="AU363">
        <f t="shared" si="314"/>
        <v>-1606.8435831258485</v>
      </c>
      <c r="AV363">
        <f t="shared" si="302"/>
        <v>-2.970068431976129</v>
      </c>
      <c r="AW363">
        <f t="shared" si="303"/>
        <v>-296.92580492740956</v>
      </c>
      <c r="AX363">
        <f t="shared" si="304"/>
        <v>-4390.6918043062287</v>
      </c>
      <c r="AY363">
        <f t="shared" si="312"/>
        <v>-1.6383197176982307</v>
      </c>
      <c r="BA363">
        <f t="shared" si="289"/>
        <v>2.1392227031424134</v>
      </c>
      <c r="BB363">
        <f t="shared" si="305"/>
        <v>6.6051199804557106</v>
      </c>
      <c r="BC363">
        <f t="shared" si="306"/>
        <v>-1.3317487142778983</v>
      </c>
      <c r="BD363">
        <f t="shared" si="290"/>
        <v>-256.30358078728688</v>
      </c>
      <c r="BF363">
        <f t="shared" si="291"/>
        <v>-47.23797955336245</v>
      </c>
      <c r="BG363">
        <f t="shared" si="292"/>
        <v>-184.11826211098889</v>
      </c>
      <c r="BH363">
        <f t="shared" si="307"/>
        <v>-4.1182621109888942</v>
      </c>
      <c r="BI363">
        <f t="shared" si="308"/>
        <v>-4.1182621109888942</v>
      </c>
      <c r="BJ363">
        <f t="shared" si="293"/>
        <v>0</v>
      </c>
      <c r="BK363">
        <f t="shared" si="309"/>
        <v>0</v>
      </c>
      <c r="BM363">
        <f t="shared" si="310"/>
        <v>-53.843099533818162</v>
      </c>
      <c r="BN363">
        <f t="shared" si="294"/>
        <v>-107.81468132370206</v>
      </c>
      <c r="BQ363" s="66">
        <f t="shared" si="311"/>
        <v>23.507080780740846</v>
      </c>
      <c r="BR363" s="71"/>
      <c r="BS363" s="71"/>
      <c r="BT363" s="71">
        <v>338844.15600000002</v>
      </c>
      <c r="BU363" s="71">
        <v>15.2844</v>
      </c>
      <c r="BV363" s="71">
        <v>-197.85300000000001</v>
      </c>
      <c r="BW363" s="75"/>
      <c r="BY363" s="71"/>
      <c r="BZ363" s="71"/>
      <c r="CA363" s="71"/>
      <c r="CC363" s="71"/>
    </row>
    <row r="364" spans="1:81" x14ac:dyDescent="0.15">
      <c r="A364">
        <f t="shared" ref="A364:A427" si="319">A363+5000</f>
        <v>750000</v>
      </c>
      <c r="B364">
        <f t="shared" si="295"/>
        <v>750</v>
      </c>
      <c r="C364">
        <f t="shared" si="264"/>
        <v>3.2669862643422913</v>
      </c>
      <c r="D364">
        <f t="shared" si="265"/>
        <v>1.2597105247967653</v>
      </c>
      <c r="F364">
        <f t="shared" si="266"/>
        <v>4.1155454402793897E-5</v>
      </c>
      <c r="G364">
        <f t="shared" si="267"/>
        <v>2.1013295109512261E-3</v>
      </c>
      <c r="H364">
        <f t="shared" si="268"/>
        <v>-3.1394913204890491</v>
      </c>
      <c r="J364">
        <f t="shared" si="269"/>
        <v>15</v>
      </c>
      <c r="M364">
        <f t="shared" si="270"/>
        <v>1.2706981498902703E-3</v>
      </c>
      <c r="N364">
        <f t="shared" si="271"/>
        <v>-1.5707963250000001</v>
      </c>
      <c r="O364">
        <f t="shared" si="272"/>
        <v>318.7946825701988</v>
      </c>
      <c r="P364">
        <f t="shared" si="273"/>
        <v>1.5676595064694134</v>
      </c>
      <c r="Q364">
        <f t="shared" si="274"/>
        <v>144.28739098442904</v>
      </c>
      <c r="R364">
        <f t="shared" si="275"/>
        <v>1.5638656587793804</v>
      </c>
      <c r="S364">
        <f t="shared" si="276"/>
        <v>0.32476370901762608</v>
      </c>
      <c r="T364">
        <f t="shared" si="277"/>
        <v>-1.2400344425667216</v>
      </c>
      <c r="U364">
        <f t="shared" si="278"/>
        <v>0.17201414826406949</v>
      </c>
      <c r="V364">
        <f t="shared" si="279"/>
        <v>-1.3979223966475347</v>
      </c>
      <c r="X364">
        <f t="shared" si="296"/>
        <v>-43.628410444555513</v>
      </c>
      <c r="Y364">
        <f t="shared" si="280"/>
        <v>-169.42412411055079</v>
      </c>
      <c r="Z364">
        <f t="shared" si="297"/>
        <v>10.575875889449208</v>
      </c>
      <c r="AC364">
        <v>1</v>
      </c>
      <c r="AD364">
        <f t="shared" si="281"/>
        <v>318.79311415875003</v>
      </c>
      <c r="AE364">
        <f t="shared" si="282"/>
        <v>-0.22534157347014153</v>
      </c>
      <c r="AF364">
        <f t="shared" si="283"/>
        <v>3.9348447941250003E-2</v>
      </c>
      <c r="AG364">
        <f t="shared" si="315"/>
        <v>235.41657719570534</v>
      </c>
      <c r="AH364">
        <f t="shared" si="316"/>
        <v>-1373.6028929764764</v>
      </c>
      <c r="AJ364">
        <f t="shared" si="284"/>
        <v>20000</v>
      </c>
      <c r="AK364">
        <f t="shared" si="285"/>
        <v>58245.127731</v>
      </c>
      <c r="AL364">
        <v>1</v>
      </c>
      <c r="AM364">
        <f t="shared" si="286"/>
        <v>144.28392563654998</v>
      </c>
      <c r="AN364">
        <f t="shared" si="317"/>
        <v>404.62538487267778</v>
      </c>
      <c r="AO364">
        <f t="shared" si="318"/>
        <v>-135.8112106298515</v>
      </c>
      <c r="AQ364">
        <f t="shared" si="287"/>
        <v>4.4444424691366807E-3</v>
      </c>
      <c r="AR364">
        <f t="shared" si="288"/>
        <v>-6.6666637037050203</v>
      </c>
      <c r="AT364">
        <f t="shared" si="313"/>
        <v>-9156.3022544768592</v>
      </c>
      <c r="AU364">
        <f t="shared" si="314"/>
        <v>-1575.5480494743533</v>
      </c>
      <c r="AV364">
        <f t="shared" si="302"/>
        <v>-2.9711888772000132</v>
      </c>
      <c r="AW364">
        <f t="shared" si="303"/>
        <v>-287.53234867424396</v>
      </c>
      <c r="AX364">
        <f t="shared" si="304"/>
        <v>-4361.8078631628214</v>
      </c>
      <c r="AY364">
        <f t="shared" si="312"/>
        <v>-1.6366215417176679</v>
      </c>
      <c r="BA364">
        <f t="shared" si="289"/>
        <v>2.1254366960717692</v>
      </c>
      <c r="BB364">
        <f t="shared" si="305"/>
        <v>6.5489634896984219</v>
      </c>
      <c r="BC364">
        <f t="shared" si="306"/>
        <v>-1.3345673354823453</v>
      </c>
      <c r="BD364">
        <f t="shared" si="290"/>
        <v>-256.4650758865323</v>
      </c>
      <c r="BF364">
        <f t="shared" si="291"/>
        <v>-47.357717135327903</v>
      </c>
      <c r="BG364">
        <f t="shared" si="292"/>
        <v>-184.16858201251304</v>
      </c>
      <c r="BH364">
        <f t="shared" si="307"/>
        <v>-4.1685820125130419</v>
      </c>
      <c r="BI364">
        <f t="shared" si="308"/>
        <v>-4.1685820125130419</v>
      </c>
      <c r="BJ364">
        <f t="shared" si="293"/>
        <v>0</v>
      </c>
      <c r="BK364">
        <f t="shared" si="309"/>
        <v>0</v>
      </c>
      <c r="BM364">
        <f t="shared" si="310"/>
        <v>-53.906680625026326</v>
      </c>
      <c r="BN364">
        <f t="shared" si="294"/>
        <v>-107.70350612598074</v>
      </c>
      <c r="BQ364" s="66">
        <f t="shared" si="311"/>
        <v>23.450924289983558</v>
      </c>
      <c r="BR364" s="71"/>
      <c r="BS364" s="71"/>
      <c r="BT364" s="71">
        <v>346736.85</v>
      </c>
      <c r="BU364" s="71">
        <v>15.295400000000001</v>
      </c>
      <c r="BV364" s="71">
        <v>-200.482</v>
      </c>
      <c r="BW364" s="75"/>
      <c r="BY364" s="71"/>
      <c r="BZ364" s="71"/>
      <c r="CA364" s="71"/>
      <c r="CC364" s="71"/>
    </row>
    <row r="365" spans="1:81" x14ac:dyDescent="0.15">
      <c r="A365">
        <f t="shared" si="319"/>
        <v>755000</v>
      </c>
      <c r="B365">
        <f t="shared" si="295"/>
        <v>755</v>
      </c>
      <c r="C365">
        <f t="shared" si="264"/>
        <v>3.2867316838139695</v>
      </c>
      <c r="D365">
        <f t="shared" si="265"/>
        <v>1.2616415258813376</v>
      </c>
      <c r="F365">
        <f t="shared" si="266"/>
        <v>4.0612132790108353E-5</v>
      </c>
      <c r="G365">
        <f t="shared" si="267"/>
        <v>2.0874123094339939E-3</v>
      </c>
      <c r="H365">
        <f t="shared" si="268"/>
        <v>-3.1395052376905661</v>
      </c>
      <c r="J365">
        <f t="shared" si="269"/>
        <v>15</v>
      </c>
      <c r="M365">
        <f t="shared" si="270"/>
        <v>1.2622829303545733E-3</v>
      </c>
      <c r="N365">
        <f t="shared" si="271"/>
        <v>-1.5707963250000001</v>
      </c>
      <c r="O365">
        <f t="shared" si="272"/>
        <v>320.91995961114361</v>
      </c>
      <c r="P365">
        <f t="shared" si="273"/>
        <v>1.5676802799790337</v>
      </c>
      <c r="Q365">
        <f t="shared" si="274"/>
        <v>145.24926087322805</v>
      </c>
      <c r="R365">
        <f t="shared" si="275"/>
        <v>1.5639115557878451</v>
      </c>
      <c r="S365">
        <f t="shared" si="276"/>
        <v>0.32283778542951636</v>
      </c>
      <c r="T365">
        <f t="shared" si="277"/>
        <v>-1.242070033460666</v>
      </c>
      <c r="U365">
        <f t="shared" si="278"/>
        <v>0.1709083640516596</v>
      </c>
      <c r="V365">
        <f t="shared" si="279"/>
        <v>-1.3990448027889557</v>
      </c>
      <c r="X365">
        <f t="shared" si="296"/>
        <v>-43.741472921804572</v>
      </c>
      <c r="Y365">
        <f t="shared" si="280"/>
        <v>-169.49140325769315</v>
      </c>
      <c r="Z365">
        <f t="shared" si="297"/>
        <v>10.50859674230685</v>
      </c>
      <c r="AC365">
        <v>1</v>
      </c>
      <c r="AD365">
        <f t="shared" si="281"/>
        <v>320.91840158647506</v>
      </c>
      <c r="AE365">
        <f t="shared" si="282"/>
        <v>-0.22835614296411988</v>
      </c>
      <c r="AF365">
        <f t="shared" si="283"/>
        <v>3.9610770927525005E-2</v>
      </c>
      <c r="AG365">
        <f t="shared" si="315"/>
        <v>232.39957876522431</v>
      </c>
      <c r="AH365">
        <f t="shared" si="316"/>
        <v>-1365.0295151347423</v>
      </c>
      <c r="AJ365">
        <f t="shared" si="284"/>
        <v>20000</v>
      </c>
      <c r="AK365">
        <f t="shared" si="285"/>
        <v>58633.42858254</v>
      </c>
      <c r="AL365">
        <v>1</v>
      </c>
      <c r="AM365">
        <f t="shared" si="286"/>
        <v>145.24581847412699</v>
      </c>
      <c r="AN365">
        <f t="shared" si="317"/>
        <v>404.61295949249467</v>
      </c>
      <c r="AO365">
        <f t="shared" si="318"/>
        <v>-134.91188418617423</v>
      </c>
      <c r="AQ365">
        <f t="shared" si="287"/>
        <v>4.3857706303361121E-3</v>
      </c>
      <c r="AR365">
        <f t="shared" si="288"/>
        <v>-6.6225136518075294</v>
      </c>
      <c r="AT365">
        <f t="shared" si="313"/>
        <v>-9038.9073478529917</v>
      </c>
      <c r="AU365">
        <f t="shared" si="314"/>
        <v>-1545.056089404037</v>
      </c>
      <c r="AV365">
        <f t="shared" si="302"/>
        <v>-2.9722949248409023</v>
      </c>
      <c r="AW365">
        <f t="shared" si="303"/>
        <v>-278.32700783013553</v>
      </c>
      <c r="AX365">
        <f t="shared" si="304"/>
        <v>-4333.2992402918044</v>
      </c>
      <c r="AY365">
        <f t="shared" si="312"/>
        <v>-1.6349380335807695</v>
      </c>
      <c r="BA365">
        <f t="shared" si="289"/>
        <v>2.1118206699405548</v>
      </c>
      <c r="BB365">
        <f t="shared" si="305"/>
        <v>6.4931407264596519</v>
      </c>
      <c r="BC365">
        <f t="shared" si="306"/>
        <v>-1.3373568912601328</v>
      </c>
      <c r="BD365">
        <f t="shared" si="290"/>
        <v>-256.62490565949849</v>
      </c>
      <c r="BF365">
        <f t="shared" si="291"/>
        <v>-47.476633113940416</v>
      </c>
      <c r="BG365">
        <f t="shared" si="292"/>
        <v>-184.21857096988208</v>
      </c>
      <c r="BH365">
        <f t="shared" si="307"/>
        <v>-4.2185709698820801</v>
      </c>
      <c r="BI365">
        <f t="shared" si="308"/>
        <v>-4.2185709698820801</v>
      </c>
      <c r="BJ365">
        <f t="shared" si="293"/>
        <v>0</v>
      </c>
      <c r="BK365">
        <f t="shared" si="309"/>
        <v>0</v>
      </c>
      <c r="BM365">
        <f t="shared" si="310"/>
        <v>-53.969773840400066</v>
      </c>
      <c r="BN365">
        <f t="shared" si="294"/>
        <v>-107.59366531038361</v>
      </c>
      <c r="BQ365" s="66">
        <f t="shared" si="311"/>
        <v>23.395101526744789</v>
      </c>
      <c r="BR365" s="71"/>
      <c r="BS365" s="71"/>
      <c r="BT365" s="71">
        <v>354813.38900000002</v>
      </c>
      <c r="BU365" s="71">
        <v>15.3028</v>
      </c>
      <c r="BV365" s="71">
        <v>-203.33199999999999</v>
      </c>
      <c r="BW365" s="75"/>
      <c r="BY365" s="71"/>
      <c r="BZ365" s="71"/>
      <c r="CA365" s="71"/>
      <c r="CC365" s="71"/>
    </row>
    <row r="366" spans="1:81" x14ac:dyDescent="0.15">
      <c r="A366">
        <f t="shared" si="319"/>
        <v>760000</v>
      </c>
      <c r="B366">
        <f t="shared" si="295"/>
        <v>760</v>
      </c>
      <c r="C366">
        <f t="shared" si="264"/>
        <v>3.3064892123376839</v>
      </c>
      <c r="D366">
        <f t="shared" si="265"/>
        <v>1.263549457080106</v>
      </c>
      <c r="F366">
        <f t="shared" si="266"/>
        <v>4.0079499868399589E-5</v>
      </c>
      <c r="G366">
        <f t="shared" si="267"/>
        <v>2.0736782507224313E-3</v>
      </c>
      <c r="H366">
        <f t="shared" si="268"/>
        <v>-3.1395189717492777</v>
      </c>
      <c r="J366">
        <f t="shared" si="269"/>
        <v>15</v>
      </c>
      <c r="M366">
        <f t="shared" si="270"/>
        <v>1.2539784373917142E-3</v>
      </c>
      <c r="N366">
        <f t="shared" si="271"/>
        <v>-1.5707963250000001</v>
      </c>
      <c r="O366">
        <f t="shared" si="272"/>
        <v>323.04523678875563</v>
      </c>
      <c r="P366">
        <f t="shared" si="273"/>
        <v>1.567700780155638</v>
      </c>
      <c r="Q366">
        <f t="shared" si="274"/>
        <v>146.21113106397402</v>
      </c>
      <c r="R366">
        <f t="shared" si="275"/>
        <v>1.563956848916741</v>
      </c>
      <c r="S366">
        <f t="shared" si="276"/>
        <v>0.32093326312146769</v>
      </c>
      <c r="T366">
        <f t="shared" si="277"/>
        <v>-1.2440816154178072</v>
      </c>
      <c r="U366">
        <f t="shared" si="278"/>
        <v>0.1698164961333605</v>
      </c>
      <c r="V366">
        <f t="shared" si="279"/>
        <v>-1.4001528690677016</v>
      </c>
      <c r="X366">
        <f t="shared" si="296"/>
        <v>-43.853817646620826</v>
      </c>
      <c r="Y366">
        <f t="shared" si="280"/>
        <v>-169.55784675483443</v>
      </c>
      <c r="Z366">
        <f t="shared" si="297"/>
        <v>10.442153245165571</v>
      </c>
      <c r="AC366">
        <v>1</v>
      </c>
      <c r="AD366">
        <f t="shared" si="281"/>
        <v>323.04368901420003</v>
      </c>
      <c r="AE366">
        <f t="shared" si="282"/>
        <v>-0.23139074282018446</v>
      </c>
      <c r="AF366">
        <f t="shared" si="283"/>
        <v>3.9873093913800006E-2</v>
      </c>
      <c r="AG366">
        <f t="shared" si="315"/>
        <v>229.43964065853251</v>
      </c>
      <c r="AH366">
        <f t="shared" si="316"/>
        <v>-1356.5591123003751</v>
      </c>
      <c r="AJ366">
        <f t="shared" si="284"/>
        <v>20000</v>
      </c>
      <c r="AK366">
        <f t="shared" si="285"/>
        <v>59021.729434080007</v>
      </c>
      <c r="AL366">
        <v>1</v>
      </c>
      <c r="AM366">
        <f t="shared" si="286"/>
        <v>146.207711311704</v>
      </c>
      <c r="AN366">
        <f t="shared" si="317"/>
        <v>404.60077852718592</v>
      </c>
      <c r="AO366">
        <f t="shared" si="318"/>
        <v>-134.0243893134807</v>
      </c>
      <c r="AQ366">
        <f t="shared" si="287"/>
        <v>4.3282529742672375E-3</v>
      </c>
      <c r="AR366">
        <f t="shared" si="288"/>
        <v>-6.5789445208862007</v>
      </c>
      <c r="AT366">
        <f t="shared" si="313"/>
        <v>-8923.7340663197047</v>
      </c>
      <c r="AU366">
        <f t="shared" si="314"/>
        <v>-1515.3421977971345</v>
      </c>
      <c r="AV366">
        <f t="shared" si="302"/>
        <v>-2.9733868478599326</v>
      </c>
      <c r="AW366">
        <f t="shared" si="303"/>
        <v>-269.30478223681524</v>
      </c>
      <c r="AX366">
        <f t="shared" si="304"/>
        <v>-4305.1587055413393</v>
      </c>
      <c r="AY366">
        <f t="shared" si="312"/>
        <v>-1.6332688997858118</v>
      </c>
      <c r="BA366">
        <f t="shared" si="289"/>
        <v>2.0983715778335368</v>
      </c>
      <c r="BB366">
        <f t="shared" si="305"/>
        <v>6.4376479032123317</v>
      </c>
      <c r="BC366">
        <f t="shared" si="306"/>
        <v>-1.3401179480741208</v>
      </c>
      <c r="BD366">
        <f t="shared" si="290"/>
        <v>-256.7831025621166</v>
      </c>
      <c r="BF366">
        <f t="shared" si="291"/>
        <v>-47.594738842095268</v>
      </c>
      <c r="BG366">
        <f t="shared" si="292"/>
        <v>-184.2682383706852</v>
      </c>
      <c r="BH366">
        <f t="shared" si="307"/>
        <v>-4.2682383706851965</v>
      </c>
      <c r="BI366">
        <f t="shared" si="308"/>
        <v>-4.2682383706851965</v>
      </c>
      <c r="BJ366">
        <f t="shared" si="293"/>
        <v>0</v>
      </c>
      <c r="BK366">
        <f t="shared" si="309"/>
        <v>0</v>
      </c>
      <c r="BM366">
        <f t="shared" si="310"/>
        <v>-54.032386745307605</v>
      </c>
      <c r="BN366">
        <f t="shared" si="294"/>
        <v>-107.4851358085686</v>
      </c>
      <c r="BQ366" s="66">
        <f t="shared" si="311"/>
        <v>23.339608703497468</v>
      </c>
      <c r="BR366" s="71"/>
      <c r="BS366" s="71"/>
      <c r="BT366" s="71">
        <v>363078.05499999999</v>
      </c>
      <c r="BU366" s="71">
        <v>15.049200000000001</v>
      </c>
      <c r="BV366" s="71">
        <v>-205.19499999999999</v>
      </c>
      <c r="BW366" s="75"/>
      <c r="BY366" s="71"/>
      <c r="BZ366" s="71"/>
      <c r="CA366" s="71"/>
      <c r="CC366" s="71"/>
    </row>
    <row r="367" spans="1:81" x14ac:dyDescent="0.15">
      <c r="A367">
        <f t="shared" si="319"/>
        <v>765000</v>
      </c>
      <c r="B367">
        <f t="shared" si="295"/>
        <v>765</v>
      </c>
      <c r="C367">
        <f t="shared" si="264"/>
        <v>3.3262586341350255</v>
      </c>
      <c r="D367">
        <f t="shared" si="265"/>
        <v>1.265434715720938</v>
      </c>
      <c r="F367">
        <f t="shared" si="266"/>
        <v>3.9557277092199603E-5</v>
      </c>
      <c r="G367">
        <f t="shared" si="267"/>
        <v>2.060123743218476E-3</v>
      </c>
      <c r="H367">
        <f t="shared" si="268"/>
        <v>-3.1395325262567817</v>
      </c>
      <c r="J367">
        <f t="shared" si="269"/>
        <v>15</v>
      </c>
      <c r="M367">
        <f t="shared" si="270"/>
        <v>1.2457824998924219E-3</v>
      </c>
      <c r="N367">
        <f t="shared" si="271"/>
        <v>-1.5707963250000001</v>
      </c>
      <c r="O367">
        <f t="shared" si="272"/>
        <v>325.17051410035498</v>
      </c>
      <c r="P367">
        <f t="shared" si="273"/>
        <v>1.5677210123586285</v>
      </c>
      <c r="Q367">
        <f t="shared" si="274"/>
        <v>147.17300155074662</v>
      </c>
      <c r="R367">
        <f t="shared" si="275"/>
        <v>1.564001550006108</v>
      </c>
      <c r="S367">
        <f t="shared" si="276"/>
        <v>0.31904981139455052</v>
      </c>
      <c r="T367">
        <f t="shared" si="277"/>
        <v>-1.2460695947154568</v>
      </c>
      <c r="U367">
        <f t="shared" si="278"/>
        <v>0.1687382874530623</v>
      </c>
      <c r="V367">
        <f t="shared" si="279"/>
        <v>-1.4012468658789876</v>
      </c>
      <c r="X367">
        <f t="shared" si="296"/>
        <v>-43.965453530426331</v>
      </c>
      <c r="Y367">
        <f t="shared" si="280"/>
        <v>-169.62346982757271</v>
      </c>
      <c r="Z367">
        <f t="shared" si="297"/>
        <v>10.376530172427294</v>
      </c>
      <c r="AC367">
        <v>1</v>
      </c>
      <c r="AD367">
        <f t="shared" si="281"/>
        <v>325.16897644192505</v>
      </c>
      <c r="AE367">
        <f t="shared" si="282"/>
        <v>-0.23444537303833529</v>
      </c>
      <c r="AF367">
        <f t="shared" si="283"/>
        <v>4.0135416900075001E-2</v>
      </c>
      <c r="AG367">
        <f t="shared" si="315"/>
        <v>226.5353473065727</v>
      </c>
      <c r="AH367">
        <f t="shared" si="316"/>
        <v>-1348.1899076911586</v>
      </c>
      <c r="AJ367">
        <f t="shared" si="284"/>
        <v>20000</v>
      </c>
      <c r="AK367">
        <f t="shared" si="285"/>
        <v>59410.03028562</v>
      </c>
      <c r="AL367">
        <v>1</v>
      </c>
      <c r="AM367">
        <f t="shared" si="286"/>
        <v>147.16960414928099</v>
      </c>
      <c r="AN367">
        <f t="shared" si="317"/>
        <v>404.58883560824171</v>
      </c>
      <c r="AO367">
        <f t="shared" si="318"/>
        <v>-133.14849406345633</v>
      </c>
      <c r="AQ367">
        <f t="shared" si="287"/>
        <v>4.2718594250675274E-3</v>
      </c>
      <c r="AR367">
        <f t="shared" si="288"/>
        <v>-6.5359449203533169</v>
      </c>
      <c r="AT367">
        <f t="shared" si="313"/>
        <v>-8810.7272516871326</v>
      </c>
      <c r="AU367">
        <f t="shared" si="314"/>
        <v>-1486.3818302728196</v>
      </c>
      <c r="AV367">
        <f t="shared" si="302"/>
        <v>-2.9744649124319791</v>
      </c>
      <c r="AW367">
        <f t="shared" si="303"/>
        <v>-260.46083705781672</v>
      </c>
      <c r="AX367">
        <f t="shared" si="304"/>
        <v>-4277.3792124646243</v>
      </c>
      <c r="AY367">
        <f t="shared" si="312"/>
        <v>-1.6316138546623822</v>
      </c>
      <c r="BA367">
        <f t="shared" si="289"/>
        <v>2.085086442573775</v>
      </c>
      <c r="BB367">
        <f t="shared" si="305"/>
        <v>6.3824812893570737</v>
      </c>
      <c r="BC367">
        <f t="shared" si="306"/>
        <v>-1.3428510577695969</v>
      </c>
      <c r="BD367">
        <f t="shared" si="290"/>
        <v>-256.93969821279262</v>
      </c>
      <c r="BF367">
        <f t="shared" si="291"/>
        <v>-47.712045442235194</v>
      </c>
      <c r="BG367">
        <f t="shared" si="292"/>
        <v>-184.31759327390176</v>
      </c>
      <c r="BH367">
        <f t="shared" si="307"/>
        <v>-4.317593273901764</v>
      </c>
      <c r="BI367">
        <f t="shared" si="308"/>
        <v>-4.317593273901764</v>
      </c>
      <c r="BJ367">
        <f t="shared" si="293"/>
        <v>0</v>
      </c>
      <c r="BK367">
        <f t="shared" si="309"/>
        <v>0</v>
      </c>
      <c r="BM367">
        <f t="shared" si="310"/>
        <v>-54.094526731592268</v>
      </c>
      <c r="BN367">
        <f t="shared" si="294"/>
        <v>-107.37789506110916</v>
      </c>
      <c r="BQ367" s="66">
        <f t="shared" si="311"/>
        <v>23.284442089642209</v>
      </c>
      <c r="BR367" s="71"/>
      <c r="BS367" s="71"/>
      <c r="BT367" s="71">
        <v>371535.22899999999</v>
      </c>
      <c r="BU367" s="71">
        <v>14.9002</v>
      </c>
      <c r="BV367" s="71">
        <v>-207.41</v>
      </c>
      <c r="BW367" s="75"/>
      <c r="BY367" s="71"/>
      <c r="BZ367" s="71"/>
      <c r="CA367" s="71"/>
      <c r="CC367" s="71"/>
    </row>
    <row r="368" spans="1:81" x14ac:dyDescent="0.15">
      <c r="A368">
        <f t="shared" si="319"/>
        <v>770000</v>
      </c>
      <c r="B368">
        <f t="shared" si="295"/>
        <v>770</v>
      </c>
      <c r="C368">
        <f t="shared" si="264"/>
        <v>3.3460397383987521</v>
      </c>
      <c r="D368">
        <f t="shared" si="265"/>
        <v>1.2672976903891899</v>
      </c>
      <c r="F368">
        <f t="shared" si="266"/>
        <v>3.9045194930949234E-5</v>
      </c>
      <c r="G368">
        <f t="shared" si="267"/>
        <v>2.0467452886304173E-3</v>
      </c>
      <c r="H368">
        <f t="shared" si="268"/>
        <v>-3.1395459047113699</v>
      </c>
      <c r="J368">
        <f t="shared" si="269"/>
        <v>15</v>
      </c>
      <c r="M368">
        <f t="shared" si="270"/>
        <v>1.2376930031398738E-3</v>
      </c>
      <c r="N368">
        <f t="shared" si="271"/>
        <v>-1.5707963250000001</v>
      </c>
      <c r="O368">
        <f t="shared" si="272"/>
        <v>327.2957915433318</v>
      </c>
      <c r="P368">
        <f t="shared" si="273"/>
        <v>1.5677409818082049</v>
      </c>
      <c r="Q368">
        <f t="shared" si="274"/>
        <v>148.13487232777948</v>
      </c>
      <c r="R368">
        <f t="shared" si="275"/>
        <v>1.5640456705884755</v>
      </c>
      <c r="S368">
        <f t="shared" si="276"/>
        <v>0.31718710572007569</v>
      </c>
      <c r="T368">
        <f t="shared" si="277"/>
        <v>-1.248034368898975</v>
      </c>
      <c r="U368">
        <f t="shared" si="278"/>
        <v>0.16767348714474847</v>
      </c>
      <c r="V368">
        <f t="shared" si="279"/>
        <v>-1.402327056929519</v>
      </c>
      <c r="X368">
        <f t="shared" si="296"/>
        <v>-44.076389321928602</v>
      </c>
      <c r="Y368">
        <f t="shared" si="280"/>
        <v>-169.68828733913637</v>
      </c>
      <c r="Z368">
        <f t="shared" si="297"/>
        <v>10.311712660863634</v>
      </c>
      <c r="AC368">
        <v>1</v>
      </c>
      <c r="AD368">
        <f t="shared" si="281"/>
        <v>327.29426386965008</v>
      </c>
      <c r="AE368">
        <f t="shared" si="282"/>
        <v>-0.23752003361857221</v>
      </c>
      <c r="AF368">
        <f t="shared" si="283"/>
        <v>4.0397739886350002E-2</v>
      </c>
      <c r="AG368">
        <f t="shared" si="315"/>
        <v>223.6853263167821</v>
      </c>
      <c r="AH368">
        <f t="shared" si="316"/>
        <v>-1339.9201633315452</v>
      </c>
      <c r="AJ368">
        <f t="shared" si="284"/>
        <v>20000</v>
      </c>
      <c r="AK368">
        <f t="shared" si="285"/>
        <v>59798.331137159999</v>
      </c>
      <c r="AL368">
        <v>1</v>
      </c>
      <c r="AM368">
        <f t="shared" si="286"/>
        <v>148.131496986858</v>
      </c>
      <c r="AN368">
        <f t="shared" si="317"/>
        <v>404.57712457322953</v>
      </c>
      <c r="AO368">
        <f t="shared" si="318"/>
        <v>-132.28397251102678</v>
      </c>
      <c r="AQ368">
        <f t="shared" si="287"/>
        <v>4.2165608801817845E-3</v>
      </c>
      <c r="AR368">
        <f t="shared" si="288"/>
        <v>-6.4935037554799475</v>
      </c>
      <c r="AT368">
        <f t="shared" si="313"/>
        <v>-8699.8334298402751</v>
      </c>
      <c r="AU368">
        <f t="shared" si="314"/>
        <v>-1458.1513614270527</v>
      </c>
      <c r="AV368">
        <f t="shared" si="302"/>
        <v>-2.9755293781530239</v>
      </c>
      <c r="AW368">
        <f t="shared" si="303"/>
        <v>-251.79049625335128</v>
      </c>
      <c r="AX368">
        <f t="shared" si="304"/>
        <v>-4249.9538925426259</v>
      </c>
      <c r="AY368">
        <f t="shared" si="312"/>
        <v>-1.62997262011328</v>
      </c>
      <c r="BA368">
        <f t="shared" si="289"/>
        <v>2.0719623548387514</v>
      </c>
      <c r="BB368">
        <f t="shared" si="305"/>
        <v>6.3276372103218073</v>
      </c>
      <c r="BC368">
        <f t="shared" si="306"/>
        <v>-1.3455567580397438</v>
      </c>
      <c r="BD368">
        <f t="shared" si="290"/>
        <v>-257.09472341907656</v>
      </c>
      <c r="BF368">
        <f t="shared" si="291"/>
        <v>-47.828563812418246</v>
      </c>
      <c r="BG368">
        <f t="shared" si="292"/>
        <v>-184.36664442321833</v>
      </c>
      <c r="BH368">
        <f t="shared" si="307"/>
        <v>-4.3666444232183323</v>
      </c>
      <c r="BI368">
        <f t="shared" si="308"/>
        <v>-4.3666444232183323</v>
      </c>
      <c r="BJ368">
        <f t="shared" si="293"/>
        <v>0</v>
      </c>
      <c r="BK368">
        <f t="shared" si="309"/>
        <v>0</v>
      </c>
      <c r="BM368">
        <f t="shared" si="310"/>
        <v>-54.156201022740049</v>
      </c>
      <c r="BN368">
        <f t="shared" si="294"/>
        <v>-107.27192100414175</v>
      </c>
      <c r="BQ368" s="66">
        <f t="shared" si="311"/>
        <v>23.229598010606942</v>
      </c>
      <c r="BR368" s="71"/>
      <c r="BS368" s="71"/>
      <c r="BT368" s="71">
        <v>380189.39600000001</v>
      </c>
      <c r="BU368" s="71">
        <v>14.938000000000001</v>
      </c>
      <c r="BV368" s="71">
        <v>-210.39400000000001</v>
      </c>
      <c r="BW368" s="75"/>
      <c r="BY368" s="71"/>
      <c r="BZ368" s="71"/>
      <c r="CA368" s="71"/>
      <c r="CC368" s="71"/>
    </row>
    <row r="369" spans="1:81" x14ac:dyDescent="0.15">
      <c r="A369">
        <f t="shared" si="319"/>
        <v>775000</v>
      </c>
      <c r="B369">
        <f t="shared" si="295"/>
        <v>775</v>
      </c>
      <c r="C369">
        <f t="shared" si="264"/>
        <v>3.3658323191541841</v>
      </c>
      <c r="D369">
        <f t="shared" si="265"/>
        <v>1.2691387611568539</v>
      </c>
      <c r="F369">
        <f t="shared" si="266"/>
        <v>3.8542992521134119E-5</v>
      </c>
      <c r="G369">
        <f t="shared" si="267"/>
        <v>2.0335394789623216E-3</v>
      </c>
      <c r="H369">
        <f t="shared" si="268"/>
        <v>-3.1395591105210379</v>
      </c>
      <c r="J369">
        <f t="shared" si="269"/>
        <v>15</v>
      </c>
      <c r="M369">
        <f t="shared" si="270"/>
        <v>1.2297078869905841E-3</v>
      </c>
      <c r="N369">
        <f t="shared" si="271"/>
        <v>-1.5707963250000001</v>
      </c>
      <c r="O369">
        <f t="shared" si="272"/>
        <v>329.42106911514315</v>
      </c>
      <c r="P369">
        <f t="shared" si="273"/>
        <v>1.5677606935898543</v>
      </c>
      <c r="Q369">
        <f t="shared" si="274"/>
        <v>149.09674338945484</v>
      </c>
      <c r="R369">
        <f t="shared" si="275"/>
        <v>1.5640892218987827</v>
      </c>
      <c r="S369">
        <f t="shared" si="276"/>
        <v>0.31534482761643223</v>
      </c>
      <c r="T369">
        <f t="shared" si="277"/>
        <v>-1.2499763270035547</v>
      </c>
      <c r="U369">
        <f t="shared" si="278"/>
        <v>0.16662185035054736</v>
      </c>
      <c r="V369">
        <f t="shared" si="279"/>
        <v>-1.4033936994409242</v>
      </c>
      <c r="X369">
        <f t="shared" si="296"/>
        <v>-44.186633611014592</v>
      </c>
      <c r="Y369">
        <f t="shared" si="280"/>
        <v>-169.75231380096477</v>
      </c>
      <c r="Z369">
        <f t="shared" si="297"/>
        <v>10.247686199035229</v>
      </c>
      <c r="AC369">
        <v>1</v>
      </c>
      <c r="AD369">
        <f t="shared" si="281"/>
        <v>329.41955129737505</v>
      </c>
      <c r="AE369">
        <f t="shared" si="282"/>
        <v>-0.24061472456089553</v>
      </c>
      <c r="AF369">
        <f t="shared" si="283"/>
        <v>4.0660062872625004E-2</v>
      </c>
      <c r="AG369">
        <f t="shared" si="315"/>
        <v>220.88824691927962</v>
      </c>
      <c r="AH369">
        <f t="shared" si="316"/>
        <v>-1331.7481790633963</v>
      </c>
      <c r="AJ369">
        <f t="shared" si="284"/>
        <v>20000</v>
      </c>
      <c r="AK369">
        <f t="shared" si="285"/>
        <v>60186.631988700006</v>
      </c>
      <c r="AL369">
        <v>1</v>
      </c>
      <c r="AM369">
        <f t="shared" si="286"/>
        <v>149.09338982443501</v>
      </c>
      <c r="AN369">
        <f t="shared" si="317"/>
        <v>404.56563945784376</v>
      </c>
      <c r="AO369">
        <f t="shared" si="318"/>
        <v>-131.43060456011344</v>
      </c>
      <c r="AQ369">
        <f t="shared" si="287"/>
        <v>4.1623291728078368E-3</v>
      </c>
      <c r="AR369">
        <f t="shared" si="288"/>
        <v>-6.4516102178521466</v>
      </c>
      <c r="AT369">
        <f t="shared" si="313"/>
        <v>-8591.0007500573156</v>
      </c>
      <c r="AU369">
        <f t="shared" si="314"/>
        <v>-1430.6280451244218</v>
      </c>
      <c r="AV369">
        <f t="shared" si="302"/>
        <v>-2.976580498240053</v>
      </c>
      <c r="AW369">
        <f t="shared" si="303"/>
        <v>-243.28923635399269</v>
      </c>
      <c r="AX369">
        <f t="shared" si="304"/>
        <v>-4222.8760496229443</v>
      </c>
      <c r="AY369">
        <f t="shared" si="312"/>
        <v>-1.6283449253664979</v>
      </c>
      <c r="BA369">
        <f t="shared" si="289"/>
        <v>2.0589964713325966</v>
      </c>
      <c r="BB369">
        <f t="shared" si="305"/>
        <v>6.273112046667622</v>
      </c>
      <c r="BC369">
        <f t="shared" si="306"/>
        <v>-1.3482355728735551</v>
      </c>
      <c r="BD369">
        <f t="shared" si="290"/>
        <v>-257.24820820332639</v>
      </c>
      <c r="BF369">
        <f t="shared" si="291"/>
        <v>-47.944304632193031</v>
      </c>
      <c r="BG369">
        <f t="shared" si="292"/>
        <v>-184.41540025973543</v>
      </c>
      <c r="BH369">
        <f t="shared" si="307"/>
        <v>-4.4154002597354349</v>
      </c>
      <c r="BI369">
        <f t="shared" si="308"/>
        <v>-4.4154002597354349</v>
      </c>
      <c r="BJ369">
        <f t="shared" si="293"/>
        <v>0</v>
      </c>
      <c r="BK369">
        <f t="shared" si="309"/>
        <v>0</v>
      </c>
      <c r="BM369">
        <f t="shared" si="310"/>
        <v>-54.217416678860658</v>
      </c>
      <c r="BN369">
        <f t="shared" si="294"/>
        <v>-107.16719205640905</v>
      </c>
      <c r="BQ369" s="66">
        <f t="shared" si="311"/>
        <v>23.175072846952759</v>
      </c>
      <c r="BR369" s="71"/>
      <c r="BS369" s="71"/>
      <c r="BT369" s="71">
        <v>389045.14500000002</v>
      </c>
      <c r="BU369" s="71">
        <v>14.7561</v>
      </c>
      <c r="BV369" s="71">
        <v>-213.04300000000001</v>
      </c>
      <c r="BW369" s="75"/>
      <c r="BY369" s="71"/>
      <c r="BZ369" s="71"/>
      <c r="CA369" s="71"/>
      <c r="CC369" s="71"/>
    </row>
    <row r="370" spans="1:81" x14ac:dyDescent="0.15">
      <c r="A370">
        <f t="shared" si="319"/>
        <v>780000</v>
      </c>
      <c r="B370">
        <f t="shared" si="295"/>
        <v>780</v>
      </c>
      <c r="C370">
        <f t="shared" si="264"/>
        <v>3.3856361751250734</v>
      </c>
      <c r="D370">
        <f t="shared" si="265"/>
        <v>1.2709582998049056</v>
      </c>
      <c r="F370">
        <f t="shared" si="266"/>
        <v>3.8050417333981084E-5</v>
      </c>
      <c r="G370">
        <f t="shared" si="267"/>
        <v>2.0205029936192806E-3</v>
      </c>
      <c r="H370">
        <f t="shared" si="268"/>
        <v>-3.1395721470063811</v>
      </c>
      <c r="J370">
        <f t="shared" si="269"/>
        <v>15</v>
      </c>
      <c r="M370">
        <f t="shared" si="270"/>
        <v>1.2218251441252599E-3</v>
      </c>
      <c r="N370">
        <f t="shared" si="271"/>
        <v>-1.5707963250000001</v>
      </c>
      <c r="O370">
        <f t="shared" si="272"/>
        <v>331.5463468133114</v>
      </c>
      <c r="P370">
        <f t="shared" si="273"/>
        <v>1.5677801526586681</v>
      </c>
      <c r="Q370">
        <f t="shared" si="274"/>
        <v>150.05861473029904</v>
      </c>
      <c r="R370">
        <f t="shared" si="275"/>
        <v>1.5641322148839147</v>
      </c>
      <c r="S370">
        <f t="shared" si="276"/>
        <v>0.3135226645280102</v>
      </c>
      <c r="T370">
        <f t="shared" si="277"/>
        <v>-1.2518958497697033</v>
      </c>
      <c r="U370">
        <f t="shared" si="278"/>
        <v>0.16558313804503844</v>
      </c>
      <c r="V370">
        <f t="shared" si="279"/>
        <v>-1.4044470443458847</v>
      </c>
      <c r="X370">
        <f t="shared" si="296"/>
        <v>-44.296194832529814</v>
      </c>
      <c r="Y370">
        <f t="shared" si="280"/>
        <v>-169.81556338292506</v>
      </c>
      <c r="Z370">
        <f t="shared" si="297"/>
        <v>10.184436617074937</v>
      </c>
      <c r="AC370">
        <v>1</v>
      </c>
      <c r="AD370">
        <f t="shared" si="281"/>
        <v>331.54483872510002</v>
      </c>
      <c r="AE370">
        <f t="shared" si="282"/>
        <v>-0.24372944586530504</v>
      </c>
      <c r="AF370">
        <f t="shared" si="283"/>
        <v>4.0922385858900005E-2</v>
      </c>
      <c r="AG370">
        <f t="shared" si="315"/>
        <v>218.14281847716521</v>
      </c>
      <c r="AH370">
        <f t="shared" si="316"/>
        <v>-1323.672291584011</v>
      </c>
      <c r="AJ370">
        <f t="shared" si="284"/>
        <v>20000</v>
      </c>
      <c r="AK370">
        <f t="shared" si="285"/>
        <v>60574.932840239999</v>
      </c>
      <c r="AL370">
        <v>1</v>
      </c>
      <c r="AM370">
        <f t="shared" si="286"/>
        <v>150.05528266201199</v>
      </c>
      <c r="AN370">
        <f t="shared" si="317"/>
        <v>404.55437448831026</v>
      </c>
      <c r="AO370">
        <f t="shared" si="318"/>
        <v>-130.58817575685705</v>
      </c>
      <c r="AQ370">
        <f t="shared" si="287"/>
        <v>4.1091370360219282E-3</v>
      </c>
      <c r="AR370">
        <f t="shared" si="288"/>
        <v>-6.4102537761942076</v>
      </c>
      <c r="AT370">
        <f t="shared" si="313"/>
        <v>-8484.1789268354987</v>
      </c>
      <c r="AU370">
        <f t="shared" si="314"/>
        <v>-1403.7899767297995</v>
      </c>
      <c r="AV370">
        <f t="shared" si="302"/>
        <v>-2.9776185197237863</v>
      </c>
      <c r="AW370">
        <f t="shared" si="303"/>
        <v>-234.95268051760911</v>
      </c>
      <c r="AX370">
        <f t="shared" si="304"/>
        <v>-4196.1391545654396</v>
      </c>
      <c r="AY370">
        <f t="shared" si="312"/>
        <v>-1.6267305067368198</v>
      </c>
      <c r="BA370">
        <f t="shared" si="289"/>
        <v>2.0461860130127345</v>
      </c>
      <c r="BB370">
        <f t="shared" si="305"/>
        <v>6.2189022332016064</v>
      </c>
      <c r="BC370">
        <f t="shared" si="306"/>
        <v>-1.3508880129869665</v>
      </c>
      <c r="BD370">
        <f t="shared" si="290"/>
        <v>-257.40018182740971</v>
      </c>
      <c r="BF370">
        <f t="shared" si="291"/>
        <v>-48.059278368288531</v>
      </c>
      <c r="BG370">
        <f t="shared" si="292"/>
        <v>-184.46386893409604</v>
      </c>
      <c r="BH370">
        <f t="shared" si="307"/>
        <v>-4.4638689340960411</v>
      </c>
      <c r="BI370">
        <f t="shared" si="308"/>
        <v>-4.4638689340960411</v>
      </c>
      <c r="BJ370">
        <f t="shared" si="293"/>
        <v>0</v>
      </c>
      <c r="BK370">
        <f t="shared" si="309"/>
        <v>0</v>
      </c>
      <c r="BM370">
        <f t="shared" si="310"/>
        <v>-54.278180601490135</v>
      </c>
      <c r="BN370">
        <f t="shared" si="294"/>
        <v>-107.06368710668634</v>
      </c>
      <c r="BQ370" s="66">
        <f t="shared" si="311"/>
        <v>23.120863033486746</v>
      </c>
      <c r="BR370" s="71"/>
      <c r="BS370" s="71"/>
      <c r="BT370" s="71">
        <v>398107.17099999997</v>
      </c>
      <c r="BU370" s="71">
        <v>14.525499999999999</v>
      </c>
      <c r="BV370" s="71">
        <v>-214.58500000000001</v>
      </c>
      <c r="BW370" s="75"/>
      <c r="BY370" s="71"/>
      <c r="BZ370" s="71"/>
      <c r="CA370" s="71"/>
      <c r="CC370" s="71"/>
    </row>
    <row r="371" spans="1:81" x14ac:dyDescent="0.15">
      <c r="A371">
        <f t="shared" si="319"/>
        <v>785000</v>
      </c>
      <c r="B371">
        <f t="shared" si="295"/>
        <v>785</v>
      </c>
      <c r="C371">
        <f t="shared" si="264"/>
        <v>3.4054511096037912</v>
      </c>
      <c r="D371">
        <f t="shared" si="265"/>
        <v>1.2727566700390633</v>
      </c>
      <c r="F371">
        <f t="shared" si="266"/>
        <v>3.7567224857924701E-5</v>
      </c>
      <c r="G371">
        <f t="shared" si="267"/>
        <v>2.0076325966233103E-3</v>
      </c>
      <c r="H371">
        <f t="shared" si="268"/>
        <v>-3.1395850174033768</v>
      </c>
      <c r="J371">
        <f t="shared" si="269"/>
        <v>15</v>
      </c>
      <c r="M371">
        <f t="shared" si="270"/>
        <v>1.2140428183665005E-3</v>
      </c>
      <c r="N371">
        <f t="shared" si="271"/>
        <v>-1.5707963250000001</v>
      </c>
      <c r="O371">
        <f t="shared" si="272"/>
        <v>333.67162463542235</v>
      </c>
      <c r="P371">
        <f t="shared" si="273"/>
        <v>1.5677993638434959</v>
      </c>
      <c r="Q371">
        <f t="shared" si="274"/>
        <v>151.02048634497797</v>
      </c>
      <c r="R371">
        <f t="shared" si="275"/>
        <v>1.5641746602118758</v>
      </c>
      <c r="S371">
        <f t="shared" si="276"/>
        <v>0.31172030970621573</v>
      </c>
      <c r="T371">
        <f t="shared" si="277"/>
        <v>-1.2537933098526115</v>
      </c>
      <c r="U371">
        <f t="shared" si="278"/>
        <v>0.16455711686556909</v>
      </c>
      <c r="V371">
        <f t="shared" si="279"/>
        <v>-1.405487336477266</v>
      </c>
      <c r="X371">
        <f t="shared" si="296"/>
        <v>-44.405081269946656</v>
      </c>
      <c r="Y371">
        <f t="shared" si="280"/>
        <v>-169.87804992317746</v>
      </c>
      <c r="Z371">
        <f t="shared" si="297"/>
        <v>10.121950076822543</v>
      </c>
      <c r="AC371">
        <v>1</v>
      </c>
      <c r="AD371">
        <f t="shared" si="281"/>
        <v>333.67012615282505</v>
      </c>
      <c r="AE371">
        <f t="shared" si="282"/>
        <v>-0.24686419753180078</v>
      </c>
      <c r="AF371">
        <f t="shared" si="283"/>
        <v>4.1184708845175007E-2</v>
      </c>
      <c r="AG371">
        <f t="shared" si="315"/>
        <v>215.44778905795499</v>
      </c>
      <c r="AH371">
        <f t="shared" si="316"/>
        <v>-1315.6908735107145</v>
      </c>
      <c r="AJ371">
        <f t="shared" si="284"/>
        <v>20000</v>
      </c>
      <c r="AK371">
        <f t="shared" si="285"/>
        <v>60963.233691780006</v>
      </c>
      <c r="AL371">
        <v>1</v>
      </c>
      <c r="AM371">
        <f t="shared" si="286"/>
        <v>151.017175499589</v>
      </c>
      <c r="AN371">
        <f t="shared" si="317"/>
        <v>404.54332407412994</v>
      </c>
      <c r="AO371">
        <f t="shared" si="318"/>
        <v>-129.75647710997748</v>
      </c>
      <c r="AQ371">
        <f t="shared" si="287"/>
        <v>4.056958068498491E-3</v>
      </c>
      <c r="AR371">
        <f t="shared" si="288"/>
        <v>-6.3694241675426317</v>
      </c>
      <c r="AT371">
        <f t="shared" si="313"/>
        <v>-8379.3191841082626</v>
      </c>
      <c r="AU371">
        <f t="shared" si="314"/>
        <v>-1377.6160571743046</v>
      </c>
      <c r="AV371">
        <f t="shared" si="302"/>
        <v>-2.9786436836345391</v>
      </c>
      <c r="AW371">
        <f t="shared" si="303"/>
        <v>-226.77659285491333</v>
      </c>
      <c r="AX371">
        <f t="shared" si="304"/>
        <v>-4169.7368400857322</v>
      </c>
      <c r="AY371">
        <f t="shared" si="312"/>
        <v>-1.6251291073966174</v>
      </c>
      <c r="BA371">
        <f t="shared" si="289"/>
        <v>2.033528263369313</v>
      </c>
      <c r="BB371">
        <f t="shared" si="305"/>
        <v>6.1650042580974151</v>
      </c>
      <c r="BC371">
        <f t="shared" si="306"/>
        <v>-1.3535145762379217</v>
      </c>
      <c r="BD371">
        <f t="shared" si="290"/>
        <v>-257.55067281648559</v>
      </c>
      <c r="BF371">
        <f t="shared" si="291"/>
        <v>-48.173495280124989</v>
      </c>
      <c r="BG371">
        <f t="shared" si="292"/>
        <v>-184.51205831806433</v>
      </c>
      <c r="BH371">
        <f t="shared" si="307"/>
        <v>-4.5120583180643337</v>
      </c>
      <c r="BI371">
        <f t="shared" si="308"/>
        <v>-4.5120583180643337</v>
      </c>
      <c r="BJ371">
        <f t="shared" si="293"/>
        <v>0</v>
      </c>
      <c r="BK371">
        <f t="shared" si="309"/>
        <v>0</v>
      </c>
      <c r="BM371">
        <f t="shared" si="310"/>
        <v>-54.338499538222401</v>
      </c>
      <c r="BN371">
        <f t="shared" si="294"/>
        <v>-106.96138550157876</v>
      </c>
      <c r="BQ371" s="66">
        <f t="shared" si="311"/>
        <v>23.066965058382554</v>
      </c>
      <c r="BR371" s="71"/>
      <c r="BS371" s="71"/>
      <c r="BT371" s="71">
        <v>407380.27799999999</v>
      </c>
      <c r="BU371" s="71">
        <v>14.4298</v>
      </c>
      <c r="BV371" s="71">
        <v>-217.34299999999999</v>
      </c>
      <c r="BW371" s="75"/>
      <c r="BY371" s="71"/>
      <c r="BZ371" s="71"/>
      <c r="CA371" s="71"/>
      <c r="CC371" s="71"/>
    </row>
    <row r="372" spans="1:81" x14ac:dyDescent="0.15">
      <c r="A372">
        <f t="shared" si="319"/>
        <v>790000</v>
      </c>
      <c r="B372">
        <f t="shared" si="295"/>
        <v>790</v>
      </c>
      <c r="C372">
        <f t="shared" si="264"/>
        <v>3.4252769303256798</v>
      </c>
      <c r="D372">
        <f t="shared" si="265"/>
        <v>1.2745342276991765</v>
      </c>
      <c r="F372">
        <f t="shared" si="266"/>
        <v>3.7093178295098309E-5</v>
      </c>
      <c r="G372">
        <f t="shared" si="267"/>
        <v>1.9949251339350096E-3</v>
      </c>
      <c r="H372">
        <f t="shared" si="268"/>
        <v>-3.1395977248660651</v>
      </c>
      <c r="J372">
        <f t="shared" si="269"/>
        <v>15</v>
      </c>
      <c r="M372">
        <f t="shared" si="270"/>
        <v>1.2063590030603833E-3</v>
      </c>
      <c r="N372">
        <f t="shared" si="271"/>
        <v>-1.5707963250000001</v>
      </c>
      <c r="O372">
        <f t="shared" si="272"/>
        <v>335.79690257912245</v>
      </c>
      <c r="P372">
        <f t="shared" si="273"/>
        <v>1.5678183318509393</v>
      </c>
      <c r="Q372">
        <f t="shared" si="274"/>
        <v>151.98235822829233</v>
      </c>
      <c r="R372">
        <f t="shared" si="275"/>
        <v>1.5642165682806133</v>
      </c>
      <c r="S372">
        <f t="shared" si="276"/>
        <v>0.30993746209258077</v>
      </c>
      <c r="T372">
        <f t="shared" si="277"/>
        <v>-1.2556690720255925</v>
      </c>
      <c r="U372">
        <f t="shared" si="278"/>
        <v>0.16354355894834943</v>
      </c>
      <c r="V372">
        <f t="shared" si="279"/>
        <v>-1.4065148147505337</v>
      </c>
      <c r="X372">
        <f t="shared" si="296"/>
        <v>-44.513301058925947</v>
      </c>
      <c r="Y372">
        <f t="shared" si="280"/>
        <v>-169.939786937706</v>
      </c>
      <c r="Z372">
        <f t="shared" si="297"/>
        <v>10.060213062293997</v>
      </c>
      <c r="AC372">
        <v>1</v>
      </c>
      <c r="AD372">
        <f t="shared" si="281"/>
        <v>335.79541358055002</v>
      </c>
      <c r="AE372">
        <f t="shared" si="282"/>
        <v>-0.25001897956038277</v>
      </c>
      <c r="AF372">
        <f t="shared" si="283"/>
        <v>4.1447031831450001E-2</v>
      </c>
      <c r="AG372">
        <f t="shared" si="315"/>
        <v>212.80194406334203</v>
      </c>
      <c r="AH372">
        <f t="shared" si="316"/>
        <v>-1307.8023324712976</v>
      </c>
      <c r="AJ372">
        <f t="shared" si="284"/>
        <v>20000</v>
      </c>
      <c r="AK372">
        <f t="shared" si="285"/>
        <v>61351.534543319998</v>
      </c>
      <c r="AL372">
        <v>1</v>
      </c>
      <c r="AM372">
        <f t="shared" si="286"/>
        <v>151.97906833716598</v>
      </c>
      <c r="AN372">
        <f t="shared" si="317"/>
        <v>404.53248280114042</v>
      </c>
      <c r="AO372">
        <f t="shared" si="318"/>
        <v>-128.93530491795266</v>
      </c>
      <c r="AQ372">
        <f t="shared" si="287"/>
        <v>4.0057667017438306E-3</v>
      </c>
      <c r="AR372">
        <f t="shared" si="288"/>
        <v>-6.3291113887552521</v>
      </c>
      <c r="AT372">
        <f t="shared" si="313"/>
        <v>-8276.3742017431778</v>
      </c>
      <c r="AU372">
        <f t="shared" si="314"/>
        <v>-1352.0859587564328</v>
      </c>
      <c r="AV372">
        <f t="shared" si="302"/>
        <v>-2.9796562251814924</v>
      </c>
      <c r="AW372">
        <f t="shared" si="303"/>
        <v>-218.75687300982932</v>
      </c>
      <c r="AX372">
        <f t="shared" si="304"/>
        <v>-4143.6628957880839</v>
      </c>
      <c r="AY372">
        <f t="shared" si="312"/>
        <v>-1.6235404771554287</v>
      </c>
      <c r="BA372">
        <f t="shared" si="289"/>
        <v>2.0210205667558085</v>
      </c>
      <c r="BB372">
        <f t="shared" si="305"/>
        <v>6.1114146620241421</v>
      </c>
      <c r="BC372">
        <f t="shared" si="306"/>
        <v>-1.3561157480260637</v>
      </c>
      <c r="BD372">
        <f t="shared" si="290"/>
        <v>-257.69970898190491</v>
      </c>
      <c r="BF372">
        <f t="shared" si="291"/>
        <v>-48.286965425152559</v>
      </c>
      <c r="BG372">
        <f t="shared" si="292"/>
        <v>-184.55997601558286</v>
      </c>
      <c r="BH372">
        <f t="shared" si="307"/>
        <v>-4.5599760155828619</v>
      </c>
      <c r="BI372">
        <f t="shared" si="308"/>
        <v>-4.5599760155828619</v>
      </c>
      <c r="BJ372">
        <f t="shared" si="293"/>
        <v>0</v>
      </c>
      <c r="BK372">
        <f t="shared" si="309"/>
        <v>0</v>
      </c>
      <c r="BM372">
        <f t="shared" si="310"/>
        <v>-54.39838008717669</v>
      </c>
      <c r="BN372">
        <f t="shared" si="294"/>
        <v>-106.86026703367794</v>
      </c>
      <c r="BQ372" s="66">
        <f t="shared" si="311"/>
        <v>23.013375462309277</v>
      </c>
      <c r="BR372" s="71"/>
      <c r="BS372" s="71"/>
      <c r="BT372" s="71">
        <v>416869.38299999997</v>
      </c>
      <c r="BU372" s="71">
        <v>14.126799999999999</v>
      </c>
      <c r="BV372" s="71">
        <v>-219.017</v>
      </c>
      <c r="BW372" s="75"/>
      <c r="BY372" s="71"/>
      <c r="BZ372" s="71"/>
      <c r="CA372" s="71"/>
      <c r="CC372" s="71"/>
    </row>
    <row r="373" spans="1:81" x14ac:dyDescent="0.15">
      <c r="A373">
        <f t="shared" si="319"/>
        <v>795000</v>
      </c>
      <c r="B373">
        <f t="shared" si="295"/>
        <v>795</v>
      </c>
      <c r="C373">
        <f t="shared" si="264"/>
        <v>3.4451134493474069</v>
      </c>
      <c r="D373">
        <f t="shared" si="265"/>
        <v>1.2762913209624434</v>
      </c>
      <c r="F373">
        <f t="shared" si="266"/>
        <v>3.6628048271146143E-5</v>
      </c>
      <c r="G373">
        <f t="shared" si="267"/>
        <v>1.9823775308763086E-3</v>
      </c>
      <c r="H373">
        <f t="shared" si="268"/>
        <v>-3.1396102724691239</v>
      </c>
      <c r="J373">
        <f t="shared" si="269"/>
        <v>15</v>
      </c>
      <c r="M373">
        <f t="shared" si="270"/>
        <v>1.198771839519123E-3</v>
      </c>
      <c r="N373">
        <f t="shared" si="271"/>
        <v>-1.5707963250000001</v>
      </c>
      <c r="O373">
        <f t="shared" si="272"/>
        <v>337.92218064211767</v>
      </c>
      <c r="P373">
        <f t="shared" si="273"/>
        <v>1.5678370612691968</v>
      </c>
      <c r="Q373">
        <f t="shared" si="274"/>
        <v>152.94423037517385</v>
      </c>
      <c r="R373">
        <f t="shared" si="275"/>
        <v>1.5642579492265107</v>
      </c>
      <c r="S373">
        <f t="shared" si="276"/>
        <v>0.30817382620396694</v>
      </c>
      <c r="T373">
        <f t="shared" si="277"/>
        <v>-1.2575234933777708</v>
      </c>
      <c r="U373">
        <f t="shared" si="278"/>
        <v>0.16254224177010118</v>
      </c>
      <c r="V373">
        <f t="shared" si="279"/>
        <v>-1.4075297123397288</v>
      </c>
      <c r="X373">
        <f t="shared" si="296"/>
        <v>-44.620862190775043</v>
      </c>
      <c r="Y373">
        <f t="shared" si="280"/>
        <v>-170.0007876295245</v>
      </c>
      <c r="Z373">
        <f t="shared" si="297"/>
        <v>9.9992123704755045</v>
      </c>
      <c r="AC373">
        <v>1</v>
      </c>
      <c r="AD373">
        <f t="shared" si="281"/>
        <v>337.92070100827505</v>
      </c>
      <c r="AE373">
        <f t="shared" si="282"/>
        <v>-0.25319379195105096</v>
      </c>
      <c r="AF373">
        <f t="shared" si="283"/>
        <v>4.1709354817725003E-2</v>
      </c>
      <c r="AG373">
        <f t="shared" si="315"/>
        <v>210.20410491460666</v>
      </c>
      <c r="AH373">
        <f t="shared" si="316"/>
        <v>-1300.0051102196196</v>
      </c>
      <c r="AJ373">
        <f t="shared" si="284"/>
        <v>20000</v>
      </c>
      <c r="AK373">
        <f t="shared" si="285"/>
        <v>61739.835394859998</v>
      </c>
      <c r="AL373">
        <v>1</v>
      </c>
      <c r="AM373">
        <f t="shared" si="286"/>
        <v>152.94096117474299</v>
      </c>
      <c r="AN373">
        <f t="shared" si="317"/>
        <v>404.52184542488493</v>
      </c>
      <c r="AO373">
        <f t="shared" si="318"/>
        <v>-128.12446060271756</v>
      </c>
      <c r="AQ373">
        <f t="shared" si="287"/>
        <v>3.9555381687677825E-3</v>
      </c>
      <c r="AR373">
        <f t="shared" si="288"/>
        <v>-6.2893056883407743</v>
      </c>
      <c r="AT373">
        <f t="shared" si="313"/>
        <v>-8175.2980642161074</v>
      </c>
      <c r="AU373">
        <f t="shared" si="314"/>
        <v>-1327.1800925850835</v>
      </c>
      <c r="AV373">
        <f t="shared" si="302"/>
        <v>-2.9806563739256404</v>
      </c>
      <c r="AW373">
        <f t="shared" si="303"/>
        <v>-210.88955098167196</v>
      </c>
      <c r="AX373">
        <f t="shared" si="304"/>
        <v>-4117.9112633796422</v>
      </c>
      <c r="AY373">
        <f t="shared" si="312"/>
        <v>-1.6219643722479382</v>
      </c>
      <c r="BA373">
        <f t="shared" si="289"/>
        <v>2.0086603267692693</v>
      </c>
      <c r="BB373">
        <f t="shared" si="305"/>
        <v>6.0581300372841449</v>
      </c>
      <c r="BC373">
        <f t="shared" si="306"/>
        <v>-1.3586920016777022</v>
      </c>
      <c r="BD373">
        <f t="shared" si="290"/>
        <v>-257.84731744326763</v>
      </c>
      <c r="BF373">
        <f t="shared" si="291"/>
        <v>-48.399698664023639</v>
      </c>
      <c r="BG373">
        <f t="shared" si="292"/>
        <v>-184.60762937333357</v>
      </c>
      <c r="BH373">
        <f t="shared" si="307"/>
        <v>-4.607629373333566</v>
      </c>
      <c r="BI373">
        <f t="shared" si="308"/>
        <v>-4.607629373333566</v>
      </c>
      <c r="BJ373">
        <f t="shared" si="293"/>
        <v>0</v>
      </c>
      <c r="BK373">
        <f t="shared" si="309"/>
        <v>0</v>
      </c>
      <c r="BM373">
        <f t="shared" si="310"/>
        <v>-54.45782870130779</v>
      </c>
      <c r="BN373">
        <f t="shared" si="294"/>
        <v>-106.76031193006594</v>
      </c>
      <c r="BQ373" s="66">
        <f t="shared" si="311"/>
        <v>22.960090837569282</v>
      </c>
      <c r="BR373" s="71"/>
      <c r="BS373" s="71"/>
      <c r="BT373" s="71">
        <v>426579.51899999997</v>
      </c>
      <c r="BU373" s="71">
        <v>14.106299999999999</v>
      </c>
      <c r="BV373" s="71">
        <v>-221.39400000000001</v>
      </c>
      <c r="BW373" s="75"/>
      <c r="BY373" s="71"/>
      <c r="BZ373" s="71"/>
      <c r="CA373" s="71"/>
      <c r="CC373" s="71"/>
    </row>
    <row r="374" spans="1:81" x14ac:dyDescent="0.15">
      <c r="A374">
        <f t="shared" si="319"/>
        <v>800000</v>
      </c>
      <c r="B374">
        <f t="shared" si="295"/>
        <v>800</v>
      </c>
      <c r="C374">
        <f t="shared" si="264"/>
        <v>3.4649604829291945</v>
      </c>
      <c r="D374">
        <f t="shared" si="265"/>
        <v>1.278028290540659</v>
      </c>
      <c r="F374">
        <f t="shared" si="266"/>
        <v>3.6171612557692493E-5</v>
      </c>
      <c r="G374">
        <f t="shared" si="267"/>
        <v>1.969986789649894E-3</v>
      </c>
      <c r="H374">
        <f t="shared" si="268"/>
        <v>-3.1396226632103503</v>
      </c>
      <c r="J374">
        <f t="shared" si="269"/>
        <v>15</v>
      </c>
      <c r="M374">
        <f t="shared" si="270"/>
        <v>1.1912795155221284E-3</v>
      </c>
      <c r="N374">
        <f t="shared" si="271"/>
        <v>-1.5707963250000001</v>
      </c>
      <c r="O374">
        <f t="shared" si="272"/>
        <v>340.04745882217128</v>
      </c>
      <c r="P374">
        <f t="shared" si="273"/>
        <v>1.5678555565717633</v>
      </c>
      <c r="Q374">
        <f t="shared" si="274"/>
        <v>153.90610278068084</v>
      </c>
      <c r="R374">
        <f t="shared" si="275"/>
        <v>1.5642988129325597</v>
      </c>
      <c r="S374">
        <f t="shared" si="276"/>
        <v>0.30642911201985917</v>
      </c>
      <c r="T374">
        <f t="shared" si="277"/>
        <v>-1.2593569235061925</v>
      </c>
      <c r="U374">
        <f t="shared" si="278"/>
        <v>0.16155294799504721</v>
      </c>
      <c r="V374">
        <f t="shared" si="279"/>
        <v>-1.4085322568472647</v>
      </c>
      <c r="X374">
        <f t="shared" si="296"/>
        <v>-44.727772515806457</v>
      </c>
      <c r="Y374">
        <f t="shared" si="280"/>
        <v>-170.06106489757309</v>
      </c>
      <c r="Z374">
        <f t="shared" si="297"/>
        <v>9.9389351024269104</v>
      </c>
      <c r="AC374">
        <v>1</v>
      </c>
      <c r="AD374">
        <f t="shared" si="281"/>
        <v>340.04598843600007</v>
      </c>
      <c r="AE374">
        <f t="shared" si="282"/>
        <v>-0.25638863470380546</v>
      </c>
      <c r="AF374">
        <f t="shared" si="283"/>
        <v>4.1971677804000004E-2</v>
      </c>
      <c r="AG374">
        <f t="shared" si="315"/>
        <v>207.65312779113782</v>
      </c>
      <c r="AH374">
        <f t="shared" si="316"/>
        <v>-1292.2976817756728</v>
      </c>
      <c r="AJ374">
        <f t="shared" si="284"/>
        <v>20000</v>
      </c>
      <c r="AK374">
        <f t="shared" si="285"/>
        <v>62128.136246400005</v>
      </c>
      <c r="AL374">
        <v>1</v>
      </c>
      <c r="AM374">
        <f t="shared" si="286"/>
        <v>153.90285401232001</v>
      </c>
      <c r="AN374">
        <f t="shared" si="317"/>
        <v>404.51140686426794</v>
      </c>
      <c r="AO374">
        <f t="shared" si="318"/>
        <v>-127.32375054959738</v>
      </c>
      <c r="AQ374">
        <f t="shared" si="287"/>
        <v>3.90624847412169E-3</v>
      </c>
      <c r="AR374">
        <f t="shared" si="288"/>
        <v>-6.2499975585947034</v>
      </c>
      <c r="AT374">
        <f t="shared" si="313"/>
        <v>-8076.0462113619697</v>
      </c>
      <c r="AU374">
        <f t="shared" si="314"/>
        <v>-1302.8795775767126</v>
      </c>
      <c r="AV374">
        <f t="shared" si="302"/>
        <v>-2.9816443539466748</v>
      </c>
      <c r="AW374">
        <f t="shared" si="303"/>
        <v>-203.17078217688393</v>
      </c>
      <c r="AX374">
        <f t="shared" si="304"/>
        <v>-4092.4760320583432</v>
      </c>
      <c r="AY374">
        <f t="shared" si="312"/>
        <v>-1.6204005551299869</v>
      </c>
      <c r="BA374">
        <f t="shared" si="289"/>
        <v>1.9964450046786555</v>
      </c>
      <c r="BB374">
        <f t="shared" si="305"/>
        <v>6.0051470269602305</v>
      </c>
      <c r="BC374">
        <f t="shared" si="306"/>
        <v>-1.3612437988166879</v>
      </c>
      <c r="BD374">
        <f t="shared" si="290"/>
        <v>-257.99352464967217</v>
      </c>
      <c r="BF374">
        <f t="shared" si="291"/>
        <v>-48.511704665605144</v>
      </c>
      <c r="BG374">
        <f t="shared" si="292"/>
        <v>-184.65502549082808</v>
      </c>
      <c r="BH374">
        <f t="shared" si="307"/>
        <v>-4.6550254908280806</v>
      </c>
      <c r="BI374">
        <f t="shared" si="308"/>
        <v>-4.6550254908280806</v>
      </c>
      <c r="BJ374">
        <f t="shared" si="293"/>
        <v>0</v>
      </c>
      <c r="BK374">
        <f t="shared" si="309"/>
        <v>0</v>
      </c>
      <c r="BM374">
        <f t="shared" si="310"/>
        <v>-54.516851692565382</v>
      </c>
      <c r="BN374">
        <f t="shared" si="294"/>
        <v>-106.66150084115597</v>
      </c>
      <c r="BQ374" s="66">
        <f t="shared" si="311"/>
        <v>22.907107827245365</v>
      </c>
      <c r="BR374" s="71"/>
      <c r="BS374" s="71"/>
      <c r="BT374" s="71">
        <v>436515.83199999999</v>
      </c>
      <c r="BU374" s="71">
        <v>13.8226</v>
      </c>
      <c r="BV374" s="71">
        <v>-223.214</v>
      </c>
      <c r="BW374" s="75"/>
      <c r="BY374" s="71"/>
      <c r="BZ374" s="71"/>
      <c r="CA374" s="71"/>
      <c r="CC374" s="71"/>
    </row>
    <row r="375" spans="1:81" x14ac:dyDescent="0.15">
      <c r="A375">
        <f t="shared" si="319"/>
        <v>805000</v>
      </c>
      <c r="B375">
        <f t="shared" si="295"/>
        <v>805</v>
      </c>
      <c r="C375">
        <f t="shared" si="264"/>
        <v>3.4848178514207753</v>
      </c>
      <c r="D375">
        <f t="shared" si="265"/>
        <v>1.2797454698716828</v>
      </c>
      <c r="F375">
        <f t="shared" si="266"/>
        <v>3.5723655806840822E-5</v>
      </c>
      <c r="G375">
        <f t="shared" si="267"/>
        <v>1.9577499869510963E-3</v>
      </c>
      <c r="H375">
        <f t="shared" si="268"/>
        <v>-3.139634900013049</v>
      </c>
      <c r="J375">
        <f t="shared" si="269"/>
        <v>15</v>
      </c>
      <c r="M375">
        <f t="shared" si="270"/>
        <v>1.1838802638729226E-3</v>
      </c>
      <c r="N375">
        <f t="shared" si="271"/>
        <v>-1.5707963250000001</v>
      </c>
      <c r="O375">
        <f t="shared" si="272"/>
        <v>342.17273711710203</v>
      </c>
      <c r="P375">
        <f t="shared" si="273"/>
        <v>1.5678738221209934</v>
      </c>
      <c r="Q375">
        <f t="shared" si="274"/>
        <v>154.86797543999432</v>
      </c>
      <c r="R375">
        <f t="shared" si="275"/>
        <v>1.5643391690362289</v>
      </c>
      <c r="S375">
        <f t="shared" si="276"/>
        <v>0.30470303487174094</v>
      </c>
      <c r="T375">
        <f t="shared" si="277"/>
        <v>-1.2611697047025276</v>
      </c>
      <c r="U375">
        <f t="shared" si="278"/>
        <v>0.16057546532703787</v>
      </c>
      <c r="V375">
        <f t="shared" si="279"/>
        <v>-1.4095226704677908</v>
      </c>
      <c r="X375">
        <f t="shared" si="296"/>
        <v>-44.834039746600055</v>
      </c>
      <c r="Y375">
        <f t="shared" si="280"/>
        <v>-170.12063134531562</v>
      </c>
      <c r="Z375">
        <f t="shared" si="297"/>
        <v>9.8793686546843844</v>
      </c>
      <c r="AC375">
        <v>1</v>
      </c>
      <c r="AD375">
        <f t="shared" si="281"/>
        <v>342.17127586372504</v>
      </c>
      <c r="AE375">
        <f t="shared" si="282"/>
        <v>-0.25960350781864616</v>
      </c>
      <c r="AF375">
        <f t="shared" si="283"/>
        <v>4.2234000790275006E-2</v>
      </c>
      <c r="AG375">
        <f t="shared" si="315"/>
        <v>205.14790241965704</v>
      </c>
      <c r="AH375">
        <f t="shared" si="316"/>
        <v>-1284.6785545894525</v>
      </c>
      <c r="AJ375">
        <f t="shared" si="284"/>
        <v>20000</v>
      </c>
      <c r="AK375">
        <f t="shared" si="285"/>
        <v>62516.437097939997</v>
      </c>
      <c r="AL375">
        <v>1</v>
      </c>
      <c r="AM375">
        <f t="shared" si="286"/>
        <v>154.86474684989699</v>
      </c>
      <c r="AN375">
        <f t="shared" si="317"/>
        <v>404.50116219548693</v>
      </c>
      <c r="AO375">
        <f t="shared" si="318"/>
        <v>-126.53298595320402</v>
      </c>
      <c r="AQ375">
        <f t="shared" si="287"/>
        <v>3.8578743652349966E-3</v>
      </c>
      <c r="AR375">
        <f t="shared" si="288"/>
        <v>-6.2111777280283444</v>
      </c>
      <c r="AT375">
        <f t="shared" si="313"/>
        <v>-7978.5753911078264</v>
      </c>
      <c r="AU375">
        <f t="shared" si="314"/>
        <v>-1279.1662109240237</v>
      </c>
      <c r="AV375">
        <f t="shared" si="302"/>
        <v>-2.9826203840040413</v>
      </c>
      <c r="AW375">
        <f t="shared" si="303"/>
        <v>-195.59684267875565</v>
      </c>
      <c r="AX375">
        <f t="shared" si="304"/>
        <v>-4067.3514340672014</v>
      </c>
      <c r="AY375">
        <f t="shared" si="312"/>
        <v>-1.6188487942822638</v>
      </c>
      <c r="BA375">
        <f t="shared" si="289"/>
        <v>1.9843721178998166</v>
      </c>
      <c r="BB375">
        <f t="shared" si="305"/>
        <v>5.9524623240726768</v>
      </c>
      <c r="BC375">
        <f t="shared" si="306"/>
        <v>-1.3637715897217775</v>
      </c>
      <c r="BD375">
        <f t="shared" si="290"/>
        <v>-258.13835640019079</v>
      </c>
      <c r="BF375">
        <f t="shared" si="291"/>
        <v>-48.622992911836064</v>
      </c>
      <c r="BG375">
        <f t="shared" si="292"/>
        <v>-184.70217123004977</v>
      </c>
      <c r="BH375">
        <f t="shared" si="307"/>
        <v>-4.7021712300497711</v>
      </c>
      <c r="BI375">
        <f t="shared" si="308"/>
        <v>-4.7021712300497711</v>
      </c>
      <c r="BJ375">
        <f t="shared" si="293"/>
        <v>0</v>
      </c>
      <c r="BK375">
        <f t="shared" si="309"/>
        <v>0</v>
      </c>
      <c r="BM375">
        <f t="shared" si="310"/>
        <v>-54.575455235908734</v>
      </c>
      <c r="BN375">
        <f t="shared" si="294"/>
        <v>-106.56381482985897</v>
      </c>
      <c r="BQ375" s="66">
        <f t="shared" si="311"/>
        <v>22.854423124357815</v>
      </c>
      <c r="BR375" s="71"/>
      <c r="BS375" s="71"/>
      <c r="BT375" s="71">
        <v>446683.592</v>
      </c>
      <c r="BU375" s="71">
        <v>13.599500000000001</v>
      </c>
      <c r="BV375" s="71">
        <v>-225.053</v>
      </c>
      <c r="BW375" s="75"/>
      <c r="BY375" s="71"/>
      <c r="BZ375" s="71"/>
      <c r="CA375" s="71"/>
      <c r="CC375" s="71"/>
    </row>
    <row r="376" spans="1:81" x14ac:dyDescent="0.15">
      <c r="A376">
        <f t="shared" si="319"/>
        <v>810000</v>
      </c>
      <c r="B376">
        <f t="shared" si="295"/>
        <v>810</v>
      </c>
      <c r="C376">
        <f t="shared" si="264"/>
        <v>3.5046853791509385</v>
      </c>
      <c r="D376">
        <f t="shared" si="265"/>
        <v>1.2814431853053085</v>
      </c>
      <c r="F376">
        <f t="shared" si="266"/>
        <v>3.5283969297110669E-5</v>
      </c>
      <c r="G376">
        <f t="shared" si="267"/>
        <v>1.9456642716682495E-3</v>
      </c>
      <c r="H376">
        <f t="shared" si="268"/>
        <v>-3.1396469857283318</v>
      </c>
      <c r="J376">
        <f t="shared" si="269"/>
        <v>15</v>
      </c>
      <c r="M376">
        <f t="shared" si="270"/>
        <v>1.1765723610095095E-3</v>
      </c>
      <c r="N376">
        <f t="shared" si="271"/>
        <v>-1.5707963250000001</v>
      </c>
      <c r="O376">
        <f t="shared" si="272"/>
        <v>344.29801552478261</v>
      </c>
      <c r="P376">
        <f t="shared" si="273"/>
        <v>1.5678918621715296</v>
      </c>
      <c r="Q376">
        <f t="shared" si="274"/>
        <v>155.82984834841449</v>
      </c>
      <c r="R376">
        <f t="shared" si="275"/>
        <v>1.5643790269370415</v>
      </c>
      <c r="S376">
        <f t="shared" si="276"/>
        <v>0.30299531533454072</v>
      </c>
      <c r="T376">
        <f t="shared" si="277"/>
        <v>-1.2629621721345257</v>
      </c>
      <c r="U376">
        <f t="shared" si="278"/>
        <v>0.1596095863666166</v>
      </c>
      <c r="V376">
        <f t="shared" si="279"/>
        <v>-1.4105011701463661</v>
      </c>
      <c r="X376">
        <f t="shared" si="296"/>
        <v>-44.939671461172289</v>
      </c>
      <c r="Y376">
        <f t="shared" si="280"/>
        <v>-170.17949928905068</v>
      </c>
      <c r="Z376">
        <f t="shared" si="297"/>
        <v>9.8205007109493181</v>
      </c>
      <c r="AC376">
        <v>1</v>
      </c>
      <c r="AD376">
        <f t="shared" si="281"/>
        <v>344.29656329145001</v>
      </c>
      <c r="AE376">
        <f t="shared" si="282"/>
        <v>-0.26283841129557306</v>
      </c>
      <c r="AF376">
        <f t="shared" si="283"/>
        <v>4.2496323776550007E-2</v>
      </c>
      <c r="AG376">
        <f t="shared" si="315"/>
        <v>202.68735091185383</v>
      </c>
      <c r="AH376">
        <f t="shared" si="316"/>
        <v>-1277.146267727964</v>
      </c>
      <c r="AJ376">
        <f t="shared" si="284"/>
        <v>20000</v>
      </c>
      <c r="AK376">
        <f t="shared" si="285"/>
        <v>62904.737949480004</v>
      </c>
      <c r="AL376">
        <v>1</v>
      </c>
      <c r="AM376">
        <f t="shared" si="286"/>
        <v>155.826639687474</v>
      </c>
      <c r="AN376">
        <f t="shared" si="317"/>
        <v>404.49110664622577</v>
      </c>
      <c r="AO376">
        <f t="shared" si="318"/>
        <v>-125.75198266903875</v>
      </c>
      <c r="AQ376">
        <f t="shared" si="287"/>
        <v>3.8103933049865473E-3</v>
      </c>
      <c r="AR376">
        <f t="shared" si="288"/>
        <v>-6.1728371540782065</v>
      </c>
      <c r="AT376">
        <f t="shared" si="313"/>
        <v>-7882.8436140985687</v>
      </c>
      <c r="AU376">
        <f t="shared" si="314"/>
        <v>-1256.0224399584176</v>
      </c>
      <c r="AV376">
        <f t="shared" si="302"/>
        <v>-2.9835846776924155</v>
      </c>
      <c r="AW376">
        <f t="shared" si="303"/>
        <v>-188.16412472422212</v>
      </c>
      <c r="AX376">
        <f t="shared" si="304"/>
        <v>-4042.5318404080258</v>
      </c>
      <c r="AY376">
        <f t="shared" si="312"/>
        <v>-1.6173088640213442</v>
      </c>
      <c r="BA376">
        <f t="shared" si="289"/>
        <v>1.9724392385156504</v>
      </c>
      <c r="BB376">
        <f t="shared" si="305"/>
        <v>5.9000726707464066</v>
      </c>
      <c r="BC376">
        <f t="shared" si="306"/>
        <v>-1.3662758136710713</v>
      </c>
      <c r="BD376">
        <f t="shared" si="290"/>
        <v>-258.28183786360489</v>
      </c>
      <c r="BF376">
        <f t="shared" si="291"/>
        <v>-48.733572702436206</v>
      </c>
      <c r="BG376">
        <f t="shared" si="292"/>
        <v>-184.74907322467058</v>
      </c>
      <c r="BH376">
        <f t="shared" si="307"/>
        <v>-4.7490732246705818</v>
      </c>
      <c r="BI376">
        <f t="shared" si="308"/>
        <v>-4.7490732246705818</v>
      </c>
      <c r="BJ376">
        <f t="shared" si="293"/>
        <v>0</v>
      </c>
      <c r="BK376">
        <f t="shared" si="309"/>
        <v>0</v>
      </c>
      <c r="BM376">
        <f t="shared" si="310"/>
        <v>-54.633645373182617</v>
      </c>
      <c r="BN376">
        <f t="shared" si="294"/>
        <v>-106.46723536106572</v>
      </c>
      <c r="BQ376" s="66">
        <f t="shared" si="311"/>
        <v>22.802033471031542</v>
      </c>
      <c r="BR376" s="71"/>
      <c r="BS376" s="71"/>
      <c r="BT376" s="71">
        <v>457088.19</v>
      </c>
      <c r="BU376" s="71">
        <v>13.3674</v>
      </c>
      <c r="BV376" s="71">
        <v>-226.50200000000001</v>
      </c>
      <c r="BW376" s="75"/>
      <c r="BY376" s="71"/>
      <c r="BZ376" s="71"/>
      <c r="CA376" s="71"/>
      <c r="CC376" s="71"/>
    </row>
    <row r="377" spans="1:81" x14ac:dyDescent="0.15">
      <c r="A377">
        <f t="shared" si="319"/>
        <v>815000</v>
      </c>
      <c r="B377">
        <f t="shared" si="295"/>
        <v>815</v>
      </c>
      <c r="C377">
        <f t="shared" si="264"/>
        <v>3.5245628943205514</v>
      </c>
      <c r="D377">
        <f t="shared" si="265"/>
        <v>1.2831217562837212</v>
      </c>
      <c r="F377">
        <f t="shared" si="266"/>
        <v>3.4852350690252511E-5</v>
      </c>
      <c r="G377">
        <f t="shared" si="267"/>
        <v>1.9337268626677202E-3</v>
      </c>
      <c r="H377">
        <f t="shared" si="268"/>
        <v>-3.1396589231373326</v>
      </c>
      <c r="J377">
        <f t="shared" si="269"/>
        <v>15</v>
      </c>
      <c r="M377">
        <f t="shared" si="270"/>
        <v>1.1693541256658931E-3</v>
      </c>
      <c r="N377">
        <f t="shared" si="271"/>
        <v>-1.5707963250000001</v>
      </c>
      <c r="O377">
        <f t="shared" si="272"/>
        <v>346.4232940431379</v>
      </c>
      <c r="P377">
        <f t="shared" si="273"/>
        <v>1.5679096808736086</v>
      </c>
      <c r="Q377">
        <f t="shared" si="274"/>
        <v>156.79172150135665</v>
      </c>
      <c r="R377">
        <f t="shared" si="275"/>
        <v>1.5644183958038729</v>
      </c>
      <c r="S377">
        <f t="shared" si="276"/>
        <v>0.30130567912013606</v>
      </c>
      <c r="T377">
        <f t="shared" si="277"/>
        <v>-1.2647346540223843</v>
      </c>
      <c r="U377">
        <f t="shared" si="278"/>
        <v>0.1586551084728389</v>
      </c>
      <c r="V377">
        <f t="shared" si="279"/>
        <v>-1.4114679677311639</v>
      </c>
      <c r="X377">
        <f t="shared" si="296"/>
        <v>-45.044675106055635</v>
      </c>
      <c r="Y377">
        <f t="shared" si="280"/>
        <v>-170.2376807659459</v>
      </c>
      <c r="Z377">
        <f t="shared" si="297"/>
        <v>9.7623192340541038</v>
      </c>
      <c r="AC377">
        <v>1</v>
      </c>
      <c r="AD377">
        <f t="shared" si="281"/>
        <v>346.42185071917504</v>
      </c>
      <c r="AE377">
        <f t="shared" si="282"/>
        <v>-0.26609334513458621</v>
      </c>
      <c r="AF377">
        <f t="shared" si="283"/>
        <v>4.2758646762825009E-2</v>
      </c>
      <c r="AG377">
        <f t="shared" si="315"/>
        <v>200.27042664825819</v>
      </c>
      <c r="AH377">
        <f t="shared" si="316"/>
        <v>-1269.6993910847259</v>
      </c>
      <c r="AJ377">
        <f t="shared" si="284"/>
        <v>20000</v>
      </c>
      <c r="AK377">
        <f t="shared" si="285"/>
        <v>63293.038801020004</v>
      </c>
      <c r="AL377">
        <v>1</v>
      </c>
      <c r="AM377">
        <f t="shared" si="286"/>
        <v>156.78853252505101</v>
      </c>
      <c r="AN377">
        <f t="shared" si="317"/>
        <v>404.48123559009576</v>
      </c>
      <c r="AO377">
        <f t="shared" si="318"/>
        <v>-124.98056107055542</v>
      </c>
      <c r="AQ377">
        <f t="shared" si="287"/>
        <v>3.7637834454501691E-3</v>
      </c>
      <c r="AR377">
        <f t="shared" si="288"/>
        <v>-6.1349670160837757</v>
      </c>
      <c r="AT377">
        <f t="shared" si="313"/>
        <v>-7788.8101101300163</v>
      </c>
      <c r="AU377">
        <f t="shared" si="314"/>
        <v>-1233.4313353329519</v>
      </c>
      <c r="AV377">
        <f t="shared" si="302"/>
        <v>-2.984537443591802</v>
      </c>
      <c r="AW377">
        <f t="shared" si="303"/>
        <v>-180.8691323774288</v>
      </c>
      <c r="AX377">
        <f t="shared" si="304"/>
        <v>-4018.0117567079392</v>
      </c>
      <c r="AY377">
        <f t="shared" si="312"/>
        <v>-1.6157805443177624</v>
      </c>
      <c r="BA377">
        <f t="shared" si="289"/>
        <v>1.9606439918400618</v>
      </c>
      <c r="BB377">
        <f t="shared" si="305"/>
        <v>5.8479748573887029</v>
      </c>
      <c r="BC377">
        <f t="shared" si="306"/>
        <v>-1.3687568992740395</v>
      </c>
      <c r="BD377">
        <f t="shared" si="290"/>
        <v>-258.42399359742808</v>
      </c>
      <c r="BF377">
        <f t="shared" si="291"/>
        <v>-48.843453159471082</v>
      </c>
      <c r="BG377">
        <f t="shared" si="292"/>
        <v>-184.79573788886253</v>
      </c>
      <c r="BH377">
        <f t="shared" si="307"/>
        <v>-4.7957378888625328</v>
      </c>
      <c r="BI377">
        <f t="shared" si="308"/>
        <v>-4.7957378888625328</v>
      </c>
      <c r="BJ377">
        <f t="shared" si="293"/>
        <v>0</v>
      </c>
      <c r="BK377">
        <f t="shared" si="309"/>
        <v>0</v>
      </c>
      <c r="BM377">
        <f t="shared" si="310"/>
        <v>-54.691428016859788</v>
      </c>
      <c r="BN377">
        <f t="shared" si="294"/>
        <v>-106.37174429143448</v>
      </c>
      <c r="BQ377" s="66">
        <f t="shared" si="311"/>
        <v>22.749935657673838</v>
      </c>
      <c r="BR377" s="71"/>
      <c r="BS377" s="71"/>
      <c r="BT377" s="71">
        <v>467735.141</v>
      </c>
      <c r="BU377" s="71">
        <v>13.1959</v>
      </c>
      <c r="BV377" s="71">
        <v>131.81700000000001</v>
      </c>
      <c r="BY377" s="71"/>
      <c r="BZ377" s="71"/>
      <c r="CA377" s="71"/>
      <c r="CC377" s="71"/>
    </row>
    <row r="378" spans="1:81" x14ac:dyDescent="0.15">
      <c r="A378">
        <f t="shared" si="319"/>
        <v>820000</v>
      </c>
      <c r="B378">
        <f t="shared" si="295"/>
        <v>820</v>
      </c>
      <c r="C378">
        <f t="shared" si="264"/>
        <v>3.5444502288989232</v>
      </c>
      <c r="D378">
        <f t="shared" si="265"/>
        <v>1.2847814955167076</v>
      </c>
      <c r="F378">
        <f t="shared" si="266"/>
        <v>3.4428603798411683E-5</v>
      </c>
      <c r="G378">
        <f t="shared" si="267"/>
        <v>1.9219350466599947E-3</v>
      </c>
      <c r="H378">
        <f t="shared" si="268"/>
        <v>-3.1396707149533403</v>
      </c>
      <c r="J378">
        <f t="shared" si="269"/>
        <v>15</v>
      </c>
      <c r="M378">
        <f t="shared" si="270"/>
        <v>1.1622239175825644E-3</v>
      </c>
      <c r="N378">
        <f t="shared" si="271"/>
        <v>-1.5707963250000001</v>
      </c>
      <c r="O378">
        <f t="shared" si="272"/>
        <v>348.54857267014336</v>
      </c>
      <c r="P378">
        <f t="shared" si="273"/>
        <v>1.5679272822762422</v>
      </c>
      <c r="Q378">
        <f t="shared" si="274"/>
        <v>157.75359489434805</v>
      </c>
      <c r="R378">
        <f t="shared" si="275"/>
        <v>1.5644572845819833</v>
      </c>
      <c r="S378">
        <f t="shared" si="276"/>
        <v>0.29963385697290063</v>
      </c>
      <c r="T378">
        <f t="shared" si="277"/>
        <v>-1.2664874718101813</v>
      </c>
      <c r="U378">
        <f t="shared" si="278"/>
        <v>0.15771183362966404</v>
      </c>
      <c r="V378">
        <f t="shared" si="279"/>
        <v>-1.4124232701209307</v>
      </c>
      <c r="X378">
        <f t="shared" si="296"/>
        <v>-45.149057999291038</v>
      </c>
      <c r="Y378">
        <f t="shared" si="280"/>
        <v>-170.29518754180731</v>
      </c>
      <c r="Z378">
        <f t="shared" si="297"/>
        <v>9.7048124581926913</v>
      </c>
      <c r="AC378">
        <v>1</v>
      </c>
      <c r="AD378">
        <f t="shared" si="281"/>
        <v>348.54713814690007</v>
      </c>
      <c r="AE378">
        <f t="shared" si="282"/>
        <v>-0.26936830933568562</v>
      </c>
      <c r="AF378">
        <f t="shared" si="283"/>
        <v>4.302096974910001E-2</v>
      </c>
      <c r="AG378">
        <f t="shared" si="315"/>
        <v>197.89611320628313</v>
      </c>
      <c r="AH378">
        <f t="shared" si="316"/>
        <v>-1262.3365246111407</v>
      </c>
      <c r="AJ378">
        <f t="shared" si="284"/>
        <v>20000</v>
      </c>
      <c r="AK378">
        <f t="shared" si="285"/>
        <v>63681.339652559996</v>
      </c>
      <c r="AL378">
        <v>1</v>
      </c>
      <c r="AM378">
        <f t="shared" si="286"/>
        <v>157.75042536262799</v>
      </c>
      <c r="AN378">
        <f t="shared" si="317"/>
        <v>404.47154454131413</v>
      </c>
      <c r="AO378">
        <f t="shared" si="318"/>
        <v>-124.218545911452</v>
      </c>
      <c r="AQ378">
        <f t="shared" si="287"/>
        <v>3.7180236027574351E-3</v>
      </c>
      <c r="AR378">
        <f t="shared" si="288"/>
        <v>-6.0975587085221932</v>
      </c>
      <c r="AT378">
        <f t="shared" si="313"/>
        <v>-7696.435286308506</v>
      </c>
      <c r="AU378">
        <f t="shared" si="314"/>
        <v>-1211.3765654567924</v>
      </c>
      <c r="AV378">
        <f t="shared" si="302"/>
        <v>-2.9854788854124901</v>
      </c>
      <c r="AW378">
        <f t="shared" si="303"/>
        <v>-173.70847739033883</v>
      </c>
      <c r="AX378">
        <f t="shared" si="304"/>
        <v>-3993.7858192324074</v>
      </c>
      <c r="AY378">
        <f t="shared" si="312"/>
        <v>-1.6142636206208121</v>
      </c>
      <c r="BA378">
        <f t="shared" si="289"/>
        <v>1.9489840550243474</v>
      </c>
      <c r="BB378">
        <f t="shared" si="305"/>
        <v>5.7961657218776574</v>
      </c>
      <c r="BC378">
        <f t="shared" si="306"/>
        <v>-1.371215264791678</v>
      </c>
      <c r="BD378">
        <f t="shared" si="290"/>
        <v>-258.56484756625019</v>
      </c>
      <c r="BF378">
        <f t="shared" si="291"/>
        <v>-48.952643231778111</v>
      </c>
      <c r="BG378">
        <f t="shared" si="292"/>
        <v>-184.84217142572442</v>
      </c>
      <c r="BH378">
        <f t="shared" si="307"/>
        <v>-4.8421714257244162</v>
      </c>
      <c r="BI378">
        <f t="shared" si="308"/>
        <v>-4.8421714257244162</v>
      </c>
      <c r="BJ378">
        <f t="shared" si="293"/>
        <v>0</v>
      </c>
      <c r="BK378">
        <f t="shared" si="309"/>
        <v>0</v>
      </c>
      <c r="BM378">
        <f t="shared" si="310"/>
        <v>-54.748808953655761</v>
      </c>
      <c r="BN378">
        <f t="shared" si="294"/>
        <v>-106.27732385947422</v>
      </c>
      <c r="BQ378" s="66">
        <f t="shared" si="311"/>
        <v>22.698126522162795</v>
      </c>
      <c r="BR378" s="71"/>
      <c r="BS378" s="71"/>
      <c r="BT378" s="71">
        <v>478630.092</v>
      </c>
      <c r="BU378" s="71">
        <v>13.0069</v>
      </c>
      <c r="BV378" s="71">
        <v>129.95699999999999</v>
      </c>
      <c r="BY378" s="71"/>
      <c r="BZ378" s="71"/>
      <c r="CA378" s="71"/>
      <c r="CC378" s="71"/>
    </row>
    <row r="379" spans="1:81" x14ac:dyDescent="0.15">
      <c r="A379">
        <f t="shared" si="319"/>
        <v>825000</v>
      </c>
      <c r="B379">
        <f t="shared" si="295"/>
        <v>825</v>
      </c>
      <c r="C379">
        <f t="shared" si="264"/>
        <v>3.5643472185233929</v>
      </c>
      <c r="D379">
        <f t="shared" si="265"/>
        <v>1.2864227091517904</v>
      </c>
      <c r="F379">
        <f t="shared" si="266"/>
        <v>3.401253836114087E-5</v>
      </c>
      <c r="G379">
        <f t="shared" si="267"/>
        <v>1.9102861761433768E-3</v>
      </c>
      <c r="H379">
        <f t="shared" si="268"/>
        <v>-3.1396823638238569</v>
      </c>
      <c r="J379">
        <f t="shared" si="269"/>
        <v>15</v>
      </c>
      <c r="M379">
        <f t="shared" si="270"/>
        <v>1.1551801362638821E-3</v>
      </c>
      <c r="N379">
        <f t="shared" si="271"/>
        <v>-1.5707963250000001</v>
      </c>
      <c r="O379">
        <f t="shared" si="272"/>
        <v>350.67385140382356</v>
      </c>
      <c r="P379">
        <f t="shared" si="273"/>
        <v>1.5679446703302866</v>
      </c>
      <c r="Q379">
        <f t="shared" si="274"/>
        <v>158.71546852302436</v>
      </c>
      <c r="R379">
        <f t="shared" si="275"/>
        <v>1.5644957019997923</v>
      </c>
      <c r="S379">
        <f t="shared" si="276"/>
        <v>0.29797958456727469</v>
      </c>
      <c r="T379">
        <f t="shared" si="277"/>
        <v>-1.2682209403325237</v>
      </c>
      <c r="U379">
        <f t="shared" si="278"/>
        <v>0.1567795683167473</v>
      </c>
      <c r="V379">
        <f t="shared" si="279"/>
        <v>-1.4133672794074001</v>
      </c>
      <c r="X379">
        <f t="shared" si="296"/>
        <v>-45.252827333336604</v>
      </c>
      <c r="Y379">
        <f t="shared" si="280"/>
        <v>-170.35203111859332</v>
      </c>
      <c r="Z379">
        <f t="shared" si="297"/>
        <v>9.6479688814066833</v>
      </c>
      <c r="AC379">
        <v>1</v>
      </c>
      <c r="AD379">
        <f t="shared" si="281"/>
        <v>350.67242557462504</v>
      </c>
      <c r="AE379">
        <f t="shared" si="282"/>
        <v>-0.27266330389887128</v>
      </c>
      <c r="AF379">
        <f t="shared" si="283"/>
        <v>4.3283292735375005E-2</v>
      </c>
      <c r="AG379">
        <f t="shared" si="315"/>
        <v>195.56342333047155</v>
      </c>
      <c r="AH379">
        <f t="shared" si="316"/>
        <v>-1255.0562975691162</v>
      </c>
      <c r="AJ379">
        <f t="shared" si="284"/>
        <v>20000</v>
      </c>
      <c r="AK379">
        <f t="shared" si="285"/>
        <v>64069.640504100003</v>
      </c>
      <c r="AL379">
        <v>1</v>
      </c>
      <c r="AM379">
        <f t="shared" si="286"/>
        <v>158.71231820020498</v>
      </c>
      <c r="AN379">
        <f t="shared" si="317"/>
        <v>404.46202914960674</v>
      </c>
      <c r="AO379">
        <f t="shared" si="318"/>
        <v>-123.46576619296766</v>
      </c>
      <c r="AQ379">
        <f t="shared" si="287"/>
        <v>3.6730932330236057E-3</v>
      </c>
      <c r="AR379">
        <f t="shared" si="288"/>
        <v>-6.0606038344889495</v>
      </c>
      <c r="AT379">
        <f t="shared" si="313"/>
        <v>-7605.6806868600279</v>
      </c>
      <c r="AU379">
        <f t="shared" si="314"/>
        <v>-1189.8423721161062</v>
      </c>
      <c r="AV379">
        <f t="shared" si="302"/>
        <v>-2.9864092021350501</v>
      </c>
      <c r="AW379">
        <f t="shared" si="303"/>
        <v>-166.67887524118925</v>
      </c>
      <c r="AX379">
        <f t="shared" si="304"/>
        <v>-3969.8487910387462</v>
      </c>
      <c r="AY379">
        <f t="shared" si="312"/>
        <v>-1.6127578836897924</v>
      </c>
      <c r="BA379">
        <f t="shared" si="289"/>
        <v>1.9374571557046967</v>
      </c>
      <c r="BB379">
        <f t="shared" si="305"/>
        <v>5.7446421487616437</v>
      </c>
      <c r="BC379">
        <f t="shared" si="306"/>
        <v>-1.3736513184452577</v>
      </c>
      <c r="BD379">
        <f t="shared" si="290"/>
        <v>-258.70442315942722</v>
      </c>
      <c r="BF379">
        <f t="shared" si="291"/>
        <v>-49.061151699259007</v>
      </c>
      <c r="BG379">
        <f t="shared" si="292"/>
        <v>-184.88837983534188</v>
      </c>
      <c r="BH379">
        <f t="shared" si="307"/>
        <v>-4.8883798353418797</v>
      </c>
      <c r="BI379">
        <f t="shared" si="308"/>
        <v>-4.8883798353418797</v>
      </c>
      <c r="BJ379">
        <f t="shared" si="293"/>
        <v>0</v>
      </c>
      <c r="BK379">
        <f t="shared" si="309"/>
        <v>0</v>
      </c>
      <c r="BM379">
        <f t="shared" si="310"/>
        <v>-54.805793848020642</v>
      </c>
      <c r="BN379">
        <f t="shared" si="294"/>
        <v>-106.18395667591467</v>
      </c>
      <c r="BQ379" s="66">
        <f t="shared" si="311"/>
        <v>22.64660294904678</v>
      </c>
      <c r="BR379" s="71"/>
      <c r="BS379" s="71"/>
      <c r="BT379" s="71">
        <v>489778.81900000002</v>
      </c>
      <c r="BU379" s="71">
        <v>12.7394</v>
      </c>
      <c r="BV379" s="71">
        <v>126.41800000000001</v>
      </c>
      <c r="BY379" s="71"/>
      <c r="BZ379" s="71"/>
      <c r="CA379" s="71"/>
      <c r="CC379" s="71"/>
    </row>
    <row r="380" spans="1:81" x14ac:dyDescent="0.15">
      <c r="A380">
        <f t="shared" si="319"/>
        <v>830000</v>
      </c>
      <c r="B380">
        <f t="shared" si="295"/>
        <v>830</v>
      </c>
      <c r="C380">
        <f t="shared" si="264"/>
        <v>3.5842537024020396</v>
      </c>
      <c r="D380">
        <f t="shared" si="265"/>
        <v>1.2880456969394469</v>
      </c>
      <c r="F380">
        <f t="shared" si="266"/>
        <v>3.3603969831788144E-5</v>
      </c>
      <c r="G380">
        <f t="shared" si="267"/>
        <v>1.8987776674220288E-3</v>
      </c>
      <c r="H380">
        <f t="shared" si="268"/>
        <v>-3.139693872332578</v>
      </c>
      <c r="J380">
        <f t="shared" si="269"/>
        <v>15</v>
      </c>
      <c r="M380">
        <f t="shared" si="270"/>
        <v>1.1482212197803647E-3</v>
      </c>
      <c r="N380">
        <f t="shared" si="271"/>
        <v>-1.5707963250000001</v>
      </c>
      <c r="O380">
        <f t="shared" si="272"/>
        <v>352.79913024225061</v>
      </c>
      <c r="P380">
        <f t="shared" si="273"/>
        <v>1.5679618488913973</v>
      </c>
      <c r="Q380">
        <f t="shared" si="274"/>
        <v>159.67734238312633</v>
      </c>
      <c r="R380">
        <f t="shared" si="275"/>
        <v>1.5645336565754098</v>
      </c>
      <c r="S380">
        <f t="shared" si="276"/>
        <v>0.29634260240734184</v>
      </c>
      <c r="T380">
        <f t="shared" si="277"/>
        <v>-1.2699353679765526</v>
      </c>
      <c r="U380">
        <f t="shared" si="278"/>
        <v>0.1558581233844685</v>
      </c>
      <c r="V380">
        <f t="shared" si="279"/>
        <v>-1.4143001930128654</v>
      </c>
      <c r="X380">
        <f t="shared" si="296"/>
        <v>-45.355990177894931</v>
      </c>
      <c r="Y380">
        <f t="shared" si="280"/>
        <v>-170.40822274168278</v>
      </c>
      <c r="Z380">
        <f t="shared" si="297"/>
        <v>9.5917772583172223</v>
      </c>
      <c r="AC380">
        <v>1</v>
      </c>
      <c r="AD380">
        <f t="shared" si="281"/>
        <v>352.79771300235006</v>
      </c>
      <c r="AE380">
        <f t="shared" si="282"/>
        <v>-0.27597832882414314</v>
      </c>
      <c r="AF380">
        <f t="shared" si="283"/>
        <v>4.3545615721650006E-2</v>
      </c>
      <c r="AG380">
        <f t="shared" si="315"/>
        <v>193.27139794308036</v>
      </c>
      <c r="AH380">
        <f t="shared" si="316"/>
        <v>-1247.8573678043351</v>
      </c>
      <c r="AJ380">
        <f t="shared" si="284"/>
        <v>20000</v>
      </c>
      <c r="AK380">
        <f t="shared" si="285"/>
        <v>64457.941355640003</v>
      </c>
      <c r="AL380">
        <v>1</v>
      </c>
      <c r="AM380">
        <f t="shared" si="286"/>
        <v>159.67421103778202</v>
      </c>
      <c r="AN380">
        <f t="shared" si="317"/>
        <v>404.45268519532522</v>
      </c>
      <c r="AO380">
        <f t="shared" si="318"/>
        <v>-122.72205503597564</v>
      </c>
      <c r="AQ380">
        <f t="shared" si="287"/>
        <v>3.6289724092856694E-3</v>
      </c>
      <c r="AR380">
        <f t="shared" si="288"/>
        <v>-6.0240941994142112</v>
      </c>
      <c r="AT380">
        <f t="shared" si="313"/>
        <v>-7516.5089545157416</v>
      </c>
      <c r="AU380">
        <f t="shared" si="314"/>
        <v>-1168.8135472200718</v>
      </c>
      <c r="AV380">
        <f t="shared" si="302"/>
        <v>-2.9873285881455778</v>
      </c>
      <c r="AW380">
        <f t="shared" si="303"/>
        <v>-159.77714134211112</v>
      </c>
      <c r="AX380">
        <f t="shared" si="304"/>
        <v>-3946.195558264385</v>
      </c>
      <c r="AY380">
        <f t="shared" si="312"/>
        <v>-1.6112631294314239</v>
      </c>
      <c r="BA380">
        <f t="shared" si="289"/>
        <v>1.9260610706895234</v>
      </c>
      <c r="BB380">
        <f t="shared" si="305"/>
        <v>5.6934010684699734</v>
      </c>
      <c r="BC380">
        <f t="shared" si="306"/>
        <v>-1.3760654587141539</v>
      </c>
      <c r="BD380">
        <f t="shared" si="290"/>
        <v>-258.84274320814563</v>
      </c>
      <c r="BF380">
        <f t="shared" si="291"/>
        <v>-49.168987177043057</v>
      </c>
      <c r="BG380">
        <f t="shared" si="292"/>
        <v>-184.93436892249898</v>
      </c>
      <c r="BH380">
        <f t="shared" si="307"/>
        <v>-4.934368922498976</v>
      </c>
      <c r="BI380">
        <f t="shared" si="308"/>
        <v>-4.934368922498976</v>
      </c>
      <c r="BJ380">
        <f t="shared" si="293"/>
        <v>0</v>
      </c>
      <c r="BK380">
        <f t="shared" si="309"/>
        <v>0</v>
      </c>
      <c r="BM380">
        <f t="shared" si="310"/>
        <v>-54.862388245513017</v>
      </c>
      <c r="BN380">
        <f t="shared" si="294"/>
        <v>-106.09162571435337</v>
      </c>
      <c r="BQ380" s="66">
        <f t="shared" si="311"/>
        <v>22.595361868755109</v>
      </c>
      <c r="BR380" s="71"/>
      <c r="BS380" s="71"/>
      <c r="BT380" s="71">
        <v>501187.234</v>
      </c>
      <c r="BU380" s="71">
        <v>12.4757</v>
      </c>
      <c r="BV380" s="71">
        <v>125.40900000000001</v>
      </c>
      <c r="BY380" s="71"/>
      <c r="BZ380" s="71"/>
      <c r="CA380" s="71"/>
      <c r="CC380" s="71"/>
    </row>
    <row r="381" spans="1:81" x14ac:dyDescent="0.15">
      <c r="A381">
        <f t="shared" si="319"/>
        <v>835000</v>
      </c>
      <c r="B381">
        <f t="shared" si="295"/>
        <v>835</v>
      </c>
      <c r="C381">
        <f t="shared" si="264"/>
        <v>3.6041695232193875</v>
      </c>
      <c r="D381">
        <f t="shared" si="265"/>
        <v>1.2896507523935679</v>
      </c>
      <c r="F381">
        <f t="shared" si="266"/>
        <v>3.3202719172812562E-5</v>
      </c>
      <c r="G381">
        <f t="shared" si="267"/>
        <v>1.8874069986952399E-3</v>
      </c>
      <c r="H381">
        <f t="shared" si="268"/>
        <v>-3.139705243001305</v>
      </c>
      <c r="J381">
        <f t="shared" si="269"/>
        <v>15</v>
      </c>
      <c r="M381">
        <f t="shared" si="270"/>
        <v>1.1413456436140154E-3</v>
      </c>
      <c r="N381">
        <f t="shared" si="271"/>
        <v>-1.5707963250000001</v>
      </c>
      <c r="O381">
        <f t="shared" si="272"/>
        <v>354.92440918354299</v>
      </c>
      <c r="P381">
        <f t="shared" si="273"/>
        <v>1.5679788217228803</v>
      </c>
      <c r="Q381">
        <f t="shared" si="274"/>
        <v>160.63921647049682</v>
      </c>
      <c r="R381">
        <f t="shared" si="275"/>
        <v>1.5645711566229326</v>
      </c>
      <c r="S381">
        <f t="shared" si="276"/>
        <v>0.29472265572838824</v>
      </c>
      <c r="T381">
        <f t="shared" si="277"/>
        <v>-1.271631056839448</v>
      </c>
      <c r="U381">
        <f t="shared" si="278"/>
        <v>0.15494731393303759</v>
      </c>
      <c r="V381">
        <f t="shared" si="279"/>
        <v>-1.4152222038230948</v>
      </c>
      <c r="X381">
        <f t="shared" si="296"/>
        <v>-45.45855348266219</v>
      </c>
      <c r="Y381">
        <f t="shared" si="280"/>
        <v>-170.46377340690688</v>
      </c>
      <c r="Z381">
        <f t="shared" si="297"/>
        <v>9.5362265930931187</v>
      </c>
      <c r="AC381">
        <v>1</v>
      </c>
      <c r="AD381">
        <f t="shared" si="281"/>
        <v>354.92300043007504</v>
      </c>
      <c r="AE381">
        <f t="shared" si="282"/>
        <v>-0.27931338411150125</v>
      </c>
      <c r="AF381">
        <f t="shared" si="283"/>
        <v>4.3807938707925001E-2</v>
      </c>
      <c r="AG381">
        <f t="shared" si="315"/>
        <v>191.01910519322263</v>
      </c>
      <c r="AH381">
        <f t="shared" si="316"/>
        <v>-1240.7384210395867</v>
      </c>
      <c r="AJ381">
        <f t="shared" si="284"/>
        <v>20000</v>
      </c>
      <c r="AK381">
        <f t="shared" si="285"/>
        <v>64846.24220718001</v>
      </c>
      <c r="AL381">
        <v>1</v>
      </c>
      <c r="AM381">
        <f t="shared" si="286"/>
        <v>160.636103875359</v>
      </c>
      <c r="AN381">
        <f t="shared" si="317"/>
        <v>404.44350858476952</v>
      </c>
      <c r="AO381">
        <f t="shared" si="318"/>
        <v>-121.98724955767008</v>
      </c>
      <c r="AQ381">
        <f t="shared" si="287"/>
        <v>3.585641799404138E-3</v>
      </c>
      <c r="AR381">
        <f t="shared" si="288"/>
        <v>-5.9880218050049105</v>
      </c>
      <c r="AT381">
        <f t="shared" si="313"/>
        <v>-7428.8837934043431</v>
      </c>
      <c r="AU381">
        <f t="shared" si="314"/>
        <v>-1148.2754106141501</v>
      </c>
      <c r="AV381">
        <f t="shared" si="302"/>
        <v>-2.9882372333663678</v>
      </c>
      <c r="AW381">
        <f t="shared" si="303"/>
        <v>-153.00018740770253</v>
      </c>
      <c r="AX381">
        <f t="shared" si="304"/>
        <v>-3922.8211265444306</v>
      </c>
      <c r="AY381">
        <f t="shared" si="312"/>
        <v>-1.6097791587431765</v>
      </c>
      <c r="BA381">
        <f t="shared" si="289"/>
        <v>1.9147936246853714</v>
      </c>
      <c r="BB381">
        <f t="shared" si="305"/>
        <v>5.6424394565348299</v>
      </c>
      <c r="BC381">
        <f t="shared" si="306"/>
        <v>-1.3784580746231914</v>
      </c>
      <c r="BD381">
        <f t="shared" si="290"/>
        <v>-258.97983000188594</v>
      </c>
      <c r="BF381">
        <f t="shared" si="291"/>
        <v>-49.276158119525718</v>
      </c>
      <c r="BG381">
        <f t="shared" si="292"/>
        <v>-184.98014430405772</v>
      </c>
      <c r="BH381">
        <f t="shared" si="307"/>
        <v>-4.9801443040577169</v>
      </c>
      <c r="BI381">
        <f t="shared" si="308"/>
        <v>-4.9801443040577169</v>
      </c>
      <c r="BJ381">
        <f t="shared" si="293"/>
        <v>0</v>
      </c>
      <c r="BK381">
        <f t="shared" si="309"/>
        <v>0</v>
      </c>
      <c r="BM381">
        <f t="shared" si="310"/>
        <v>-54.918597576060549</v>
      </c>
      <c r="BN381">
        <f t="shared" si="294"/>
        <v>-106.00031430217174</v>
      </c>
      <c r="BQ381" s="66">
        <f t="shared" si="311"/>
        <v>22.544400256819969</v>
      </c>
      <c r="BR381" s="71"/>
      <c r="BS381" s="71"/>
      <c r="BT381" s="71">
        <v>512861.38400000002</v>
      </c>
      <c r="BU381" s="71">
        <v>12.1639</v>
      </c>
      <c r="BV381" s="71">
        <v>124.027</v>
      </c>
      <c r="BY381" s="71"/>
      <c r="BZ381" s="71"/>
      <c r="CA381" s="71"/>
      <c r="CC381" s="71"/>
    </row>
    <row r="382" spans="1:81" x14ac:dyDescent="0.15">
      <c r="A382">
        <f t="shared" si="319"/>
        <v>840000</v>
      </c>
      <c r="B382">
        <f t="shared" si="295"/>
        <v>840</v>
      </c>
      <c r="C382">
        <f t="shared" si="264"/>
        <v>3.6240945270450191</v>
      </c>
      <c r="D382">
        <f t="shared" si="265"/>
        <v>1.2912381629473075</v>
      </c>
      <c r="F382">
        <f t="shared" si="266"/>
        <v>3.2808612659603512E-5</v>
      </c>
      <c r="G382">
        <f t="shared" si="267"/>
        <v>1.8761717082149459E-3</v>
      </c>
      <c r="H382">
        <f t="shared" si="268"/>
        <v>-3.1397164782917852</v>
      </c>
      <c r="J382">
        <f t="shared" si="269"/>
        <v>15</v>
      </c>
      <c r="M382">
        <f t="shared" si="270"/>
        <v>1.1345519195448842E-3</v>
      </c>
      <c r="N382">
        <f t="shared" si="271"/>
        <v>-1.5707963250000001</v>
      </c>
      <c r="O382">
        <f t="shared" si="272"/>
        <v>357.04968822586363</v>
      </c>
      <c r="P382">
        <f t="shared" si="273"/>
        <v>1.5679955924984401</v>
      </c>
      <c r="Q382">
        <f t="shared" si="274"/>
        <v>161.6010907810776</v>
      </c>
      <c r="R382">
        <f t="shared" si="275"/>
        <v>1.5646082102585159</v>
      </c>
      <c r="S382">
        <f t="shared" si="276"/>
        <v>0.29311949440042417</v>
      </c>
      <c r="T382">
        <f t="shared" si="277"/>
        <v>-1.2733083028815679</v>
      </c>
      <c r="U382">
        <f t="shared" si="278"/>
        <v>0.1540469591955273</v>
      </c>
      <c r="V382">
        <f t="shared" si="279"/>
        <v>-1.4161335003157771</v>
      </c>
      <c r="X382">
        <f t="shared" si="296"/>
        <v>-45.560524080001159</v>
      </c>
      <c r="Y382">
        <f t="shared" si="280"/>
        <v>-170.51869386735288</v>
      </c>
      <c r="Z382">
        <f t="shared" si="297"/>
        <v>9.48130613264712</v>
      </c>
      <c r="AC382">
        <v>1</v>
      </c>
      <c r="AD382">
        <f t="shared" si="281"/>
        <v>357.04828785780001</v>
      </c>
      <c r="AE382">
        <f t="shared" si="282"/>
        <v>-0.28266846976094556</v>
      </c>
      <c r="AF382">
        <f t="shared" si="283"/>
        <v>4.4070261694200003E-2</v>
      </c>
      <c r="AG382">
        <f t="shared" si="315"/>
        <v>188.80563954288064</v>
      </c>
      <c r="AH382">
        <f t="shared" si="316"/>
        <v>-1233.6981701875893</v>
      </c>
      <c r="AJ382">
        <f t="shared" si="284"/>
        <v>20000</v>
      </c>
      <c r="AK382">
        <f t="shared" si="285"/>
        <v>65234.543058720003</v>
      </c>
      <c r="AL382">
        <v>1</v>
      </c>
      <c r="AM382">
        <f t="shared" si="286"/>
        <v>161.59799671293598</v>
      </c>
      <c r="AN382">
        <f t="shared" si="317"/>
        <v>404.43449534570186</v>
      </c>
      <c r="AO382">
        <f t="shared" si="318"/>
        <v>-121.26119075265531</v>
      </c>
      <c r="AQ382">
        <f t="shared" si="287"/>
        <v>3.5430826448828497E-3</v>
      </c>
      <c r="AR382">
        <f t="shared" si="288"/>
        <v>-5.9523788434031877</v>
      </c>
      <c r="AT382">
        <f t="shared" si="313"/>
        <v>-7342.7699333851115</v>
      </c>
      <c r="AU382">
        <f t="shared" si="314"/>
        <v>-1128.2137889060664</v>
      </c>
      <c r="AV382">
        <f t="shared" si="302"/>
        <v>-2.9891353233821913</v>
      </c>
      <c r="AW382">
        <f t="shared" si="303"/>
        <v>-146.34501797678493</v>
      </c>
      <c r="AX382">
        <f t="shared" si="304"/>
        <v>-3899.7206175532856</v>
      </c>
      <c r="AY382">
        <f t="shared" si="312"/>
        <v>-1.6083057773622591</v>
      </c>
      <c r="BA382">
        <f t="shared" si="289"/>
        <v>1.9036526890602152</v>
      </c>
      <c r="BB382">
        <f t="shared" si="305"/>
        <v>5.5917543328247401</v>
      </c>
      <c r="BC382">
        <f t="shared" si="306"/>
        <v>-1.3808295460199322</v>
      </c>
      <c r="BD382">
        <f t="shared" si="290"/>
        <v>-259.1157053043105</v>
      </c>
      <c r="BF382">
        <f t="shared" si="291"/>
        <v>-49.382672824286928</v>
      </c>
      <c r="BG382">
        <f t="shared" si="292"/>
        <v>-185.02571141602132</v>
      </c>
      <c r="BH382">
        <f t="shared" si="307"/>
        <v>-5.0257114160213234</v>
      </c>
      <c r="BI382">
        <f t="shared" si="308"/>
        <v>-5.0257114160213234</v>
      </c>
      <c r="BJ382">
        <f t="shared" si="293"/>
        <v>0</v>
      </c>
      <c r="BK382">
        <f t="shared" si="309"/>
        <v>0</v>
      </c>
      <c r="BM382">
        <f t="shared" si="310"/>
        <v>-54.974427157111663</v>
      </c>
      <c r="BN382">
        <f t="shared" si="294"/>
        <v>-105.91000611171087</v>
      </c>
      <c r="BQ382" s="66">
        <f t="shared" si="311"/>
        <v>22.493715133109873</v>
      </c>
      <c r="BR382" s="71"/>
      <c r="BS382" s="71"/>
      <c r="BT382" s="71">
        <v>524807.46</v>
      </c>
      <c r="BU382" s="71">
        <v>11.9579</v>
      </c>
      <c r="BV382" s="71">
        <v>122.795</v>
      </c>
      <c r="BY382" s="71"/>
      <c r="BZ382" s="71"/>
      <c r="CA382" s="71"/>
      <c r="CC382" s="71"/>
    </row>
    <row r="383" spans="1:81" x14ac:dyDescent="0.15">
      <c r="A383">
        <f t="shared" si="319"/>
        <v>845000</v>
      </c>
      <c r="B383">
        <f t="shared" si="295"/>
        <v>845</v>
      </c>
      <c r="C383">
        <f t="shared" si="264"/>
        <v>3.6440285632449858</v>
      </c>
      <c r="D383">
        <f t="shared" si="265"/>
        <v>1.292808210104472</v>
      </c>
      <c r="F383">
        <f t="shared" si="266"/>
        <v>3.242148169240241E-5</v>
      </c>
      <c r="G383">
        <f t="shared" si="267"/>
        <v>1.8650693925086831E-3</v>
      </c>
      <c r="H383">
        <f t="shared" si="268"/>
        <v>-3.1397275806074916</v>
      </c>
      <c r="J383">
        <f t="shared" si="269"/>
        <v>15</v>
      </c>
      <c r="M383">
        <f t="shared" si="270"/>
        <v>1.127838594577163E-3</v>
      </c>
      <c r="N383">
        <f t="shared" si="271"/>
        <v>-1.5707963250000001</v>
      </c>
      <c r="O383">
        <f t="shared" si="272"/>
        <v>359.1749673674193</v>
      </c>
      <c r="P383">
        <f t="shared" si="273"/>
        <v>1.5680121648048309</v>
      </c>
      <c r="Q383">
        <f t="shared" si="274"/>
        <v>162.56296531090649</v>
      </c>
      <c r="R383">
        <f t="shared" si="275"/>
        <v>1.5646448254062284</v>
      </c>
      <c r="S383">
        <f t="shared" si="276"/>
        <v>0.29153287283364204</v>
      </c>
      <c r="T383">
        <f t="shared" si="277"/>
        <v>-1.27496739607535</v>
      </c>
      <c r="U383">
        <f t="shared" si="278"/>
        <v>0.15315688242468589</v>
      </c>
      <c r="V383">
        <f t="shared" si="279"/>
        <v>-1.4170342666846616</v>
      </c>
      <c r="X383">
        <f t="shared" si="296"/>
        <v>-45.661908687540929</v>
      </c>
      <c r="Y383">
        <f t="shared" si="280"/>
        <v>-170.57299463994957</v>
      </c>
      <c r="Z383">
        <f t="shared" si="297"/>
        <v>9.4270053600504298</v>
      </c>
      <c r="AC383">
        <v>1</v>
      </c>
      <c r="AD383">
        <f t="shared" si="281"/>
        <v>359.17357528552503</v>
      </c>
      <c r="AE383">
        <f t="shared" si="282"/>
        <v>-0.28604358577247613</v>
      </c>
      <c r="AF383">
        <f t="shared" si="283"/>
        <v>4.4332584680475004E-2</v>
      </c>
      <c r="AG383">
        <f t="shared" si="315"/>
        <v>186.63012088817865</v>
      </c>
      <c r="AH383">
        <f t="shared" si="316"/>
        <v>-1226.7353546827446</v>
      </c>
      <c r="AJ383">
        <f t="shared" si="284"/>
        <v>20000</v>
      </c>
      <c r="AK383">
        <f t="shared" si="285"/>
        <v>65622.843910259995</v>
      </c>
      <c r="AL383">
        <v>1</v>
      </c>
      <c r="AM383">
        <f t="shared" si="286"/>
        <v>162.55988955051299</v>
      </c>
      <c r="AN383">
        <f t="shared" si="317"/>
        <v>404.42564162304933</v>
      </c>
      <c r="AO383">
        <f t="shared" si="318"/>
        <v>-120.54372337825639</v>
      </c>
      <c r="AQ383">
        <f t="shared" si="287"/>
        <v>3.5012767405634463E-3</v>
      </c>
      <c r="AR383">
        <f t="shared" si="288"/>
        <v>-5.9171576915522248</v>
      </c>
      <c r="AT383">
        <f t="shared" si="313"/>
        <v>-7258.1330957586943</v>
      </c>
      <c r="AU383">
        <f t="shared" si="314"/>
        <v>-1108.6149952529854</v>
      </c>
      <c r="AV383">
        <f t="shared" si="302"/>
        <v>-2.990023039562351</v>
      </c>
      <c r="AW383">
        <f t="shared" si="303"/>
        <v>-139.80872708000223</v>
      </c>
      <c r="AX383">
        <f t="shared" si="304"/>
        <v>-3876.8892656653875</v>
      </c>
      <c r="AY383">
        <f t="shared" si="312"/>
        <v>-1.6068427957200382</v>
      </c>
      <c r="BA383">
        <f t="shared" si="289"/>
        <v>1.8926361806429493</v>
      </c>
      <c r="BB383">
        <f t="shared" si="305"/>
        <v>5.5413427607894929</v>
      </c>
      <c r="BC383">
        <f t="shared" si="306"/>
        <v>-1.3831802438423129</v>
      </c>
      <c r="BD383">
        <f t="shared" si="290"/>
        <v>-259.25039036859738</v>
      </c>
      <c r="BF383">
        <f t="shared" si="291"/>
        <v>-49.488539435893131</v>
      </c>
      <c r="BG383">
        <f t="shared" si="292"/>
        <v>-185.07107552029694</v>
      </c>
      <c r="BH383">
        <f t="shared" si="307"/>
        <v>-5.0710755202969438</v>
      </c>
      <c r="BI383">
        <f t="shared" si="308"/>
        <v>-5.0710755202969438</v>
      </c>
      <c r="BJ383">
        <f t="shared" si="293"/>
        <v>0</v>
      </c>
      <c r="BK383">
        <f t="shared" si="309"/>
        <v>0</v>
      </c>
      <c r="BM383">
        <f t="shared" si="310"/>
        <v>-55.029882196682621</v>
      </c>
      <c r="BN383">
        <f t="shared" si="294"/>
        <v>-105.82068515169958</v>
      </c>
      <c r="BQ383" s="66">
        <f t="shared" si="311"/>
        <v>22.443303561074629</v>
      </c>
      <c r="BR383" s="71"/>
      <c r="BS383" s="71"/>
      <c r="BT383" s="71">
        <v>537031.79599999997</v>
      </c>
      <c r="BU383" s="71">
        <v>11.690200000000001</v>
      </c>
      <c r="BV383" s="71">
        <v>121.76300000000001</v>
      </c>
      <c r="BY383" s="71"/>
      <c r="BZ383" s="71"/>
      <c r="CA383" s="71"/>
      <c r="CC383" s="71"/>
    </row>
    <row r="384" spans="1:81" x14ac:dyDescent="0.15">
      <c r="A384">
        <f t="shared" si="319"/>
        <v>850000</v>
      </c>
      <c r="B384">
        <f t="shared" si="295"/>
        <v>850</v>
      </c>
      <c r="C384">
        <f t="shared" si="264"/>
        <v>3.6639714843959181</v>
      </c>
      <c r="D384">
        <f t="shared" si="265"/>
        <v>1.2943611695865824</v>
      </c>
      <c r="F384">
        <f t="shared" si="266"/>
        <v>3.2041162615946554E-5</v>
      </c>
      <c r="G384">
        <f t="shared" si="267"/>
        <v>1.8540977046652676E-3</v>
      </c>
      <c r="H384">
        <f t="shared" si="268"/>
        <v>-3.1397385522953352</v>
      </c>
      <c r="J384">
        <f t="shared" si="269"/>
        <v>15</v>
      </c>
      <c r="M384">
        <f t="shared" si="270"/>
        <v>1.1212042499031797E-3</v>
      </c>
      <c r="N384">
        <f t="shared" si="271"/>
        <v>-1.5707963250000001</v>
      </c>
      <c r="O384">
        <f t="shared" si="272"/>
        <v>361.3002466064587</v>
      </c>
      <c r="P384">
        <f t="shared" si="273"/>
        <v>1.5680285421444136</v>
      </c>
      <c r="Q384">
        <f t="shared" si="274"/>
        <v>163.52484005611461</v>
      </c>
      <c r="R384">
        <f t="shared" si="275"/>
        <v>1.5646810098037023</v>
      </c>
      <c r="S384">
        <f t="shared" si="276"/>
        <v>0.28996254988578618</v>
      </c>
      <c r="T384">
        <f t="shared" si="277"/>
        <v>-1.2766086205501086</v>
      </c>
      <c r="U384">
        <f t="shared" si="278"/>
        <v>0.15227691078339195</v>
      </c>
      <c r="V384">
        <f t="shared" si="279"/>
        <v>-1.4179246829595678</v>
      </c>
      <c r="X384">
        <f t="shared" si="296"/>
        <v>-45.762713910705614</v>
      </c>
      <c r="Y384">
        <f t="shared" si="280"/>
        <v>-170.6266860118406</v>
      </c>
      <c r="Z384">
        <f t="shared" si="297"/>
        <v>9.3733139881593956</v>
      </c>
      <c r="AC384">
        <v>1</v>
      </c>
      <c r="AD384">
        <f t="shared" si="281"/>
        <v>361.29886271325006</v>
      </c>
      <c r="AE384">
        <f t="shared" si="282"/>
        <v>-0.28943873214609289</v>
      </c>
      <c r="AF384">
        <f t="shared" si="283"/>
        <v>4.4594907666750006E-2</v>
      </c>
      <c r="AG384">
        <f t="shared" si="315"/>
        <v>184.49169371438629</v>
      </c>
      <c r="AH384">
        <f t="shared" si="316"/>
        <v>-1219.8487398312795</v>
      </c>
      <c r="AJ384">
        <f t="shared" si="284"/>
        <v>20000</v>
      </c>
      <c r="AK384">
        <f t="shared" si="285"/>
        <v>66011.144761800009</v>
      </c>
      <c r="AL384">
        <v>1</v>
      </c>
      <c r="AM384">
        <f t="shared" si="286"/>
        <v>163.52178238809</v>
      </c>
      <c r="AN384">
        <f t="shared" si="317"/>
        <v>404.41694367478038</v>
      </c>
      <c r="AO384">
        <f t="shared" si="318"/>
        <v>-119.83469584387583</v>
      </c>
      <c r="AQ384">
        <f t="shared" si="287"/>
        <v>3.4602064151534897E-3</v>
      </c>
      <c r="AR384">
        <f t="shared" si="288"/>
        <v>-5.8823509057609327</v>
      </c>
      <c r="AT384">
        <f t="shared" si="313"/>
        <v>-7174.9399602957265</v>
      </c>
      <c r="AU384">
        <f t="shared" si="314"/>
        <v>-1089.4658100612698</v>
      </c>
      <c r="AV384">
        <f t="shared" si="302"/>
        <v>-2.990900559178677</v>
      </c>
      <c r="AW384">
        <f t="shared" si="303"/>
        <v>-133.38849504630545</v>
      </c>
      <c r="AX384">
        <f t="shared" si="304"/>
        <v>-3854.3224147302817</v>
      </c>
      <c r="AY384">
        <f t="shared" si="312"/>
        <v>-1.6053900288016587</v>
      </c>
      <c r="BA384">
        <f t="shared" si="289"/>
        <v>1.8817420605579609</v>
      </c>
      <c r="BB384">
        <f t="shared" si="305"/>
        <v>5.4912018467167156</v>
      </c>
      <c r="BC384">
        <f t="shared" si="306"/>
        <v>-1.3855105303770183</v>
      </c>
      <c r="BD384">
        <f t="shared" si="290"/>
        <v>-259.38390595224473</v>
      </c>
      <c r="BF384">
        <f t="shared" si="291"/>
        <v>-49.593765949587308</v>
      </c>
      <c r="BG384">
        <f t="shared" si="292"/>
        <v>-185.11624171117114</v>
      </c>
      <c r="BH384">
        <f t="shared" si="307"/>
        <v>-5.116241711171142</v>
      </c>
      <c r="BI384">
        <f t="shared" si="308"/>
        <v>-5.116241711171142</v>
      </c>
      <c r="BJ384">
        <f t="shared" si="293"/>
        <v>0</v>
      </c>
      <c r="BK384">
        <f t="shared" si="309"/>
        <v>0</v>
      </c>
      <c r="BM384">
        <f t="shared" si="310"/>
        <v>-55.084967796304021</v>
      </c>
      <c r="BN384">
        <f t="shared" si="294"/>
        <v>-105.73233575892644</v>
      </c>
      <c r="BQ384" s="66">
        <f t="shared" si="311"/>
        <v>22.393162647001851</v>
      </c>
      <c r="BR384" s="71"/>
      <c r="BS384" s="71"/>
      <c r="BT384" s="71">
        <v>549540.87399999995</v>
      </c>
      <c r="BU384" s="71">
        <v>11.575799999999999</v>
      </c>
      <c r="BV384" s="71">
        <v>121.762</v>
      </c>
      <c r="BY384" s="71"/>
      <c r="BZ384" s="71"/>
      <c r="CA384" s="71"/>
      <c r="CC384" s="71"/>
    </row>
    <row r="385" spans="1:81" x14ac:dyDescent="0.15">
      <c r="A385">
        <f t="shared" si="319"/>
        <v>855000</v>
      </c>
      <c r="B385">
        <f t="shared" si="295"/>
        <v>855</v>
      </c>
      <c r="C385">
        <f t="shared" si="264"/>
        <v>3.6839231462017494</v>
      </c>
      <c r="D385">
        <f t="shared" si="265"/>
        <v>1.295897311475755</v>
      </c>
      <c r="F385">
        <f t="shared" si="266"/>
        <v>3.166749654647489E-5</v>
      </c>
      <c r="G385">
        <f t="shared" si="267"/>
        <v>1.8432543526806485E-3</v>
      </c>
      <c r="H385">
        <f t="shared" si="268"/>
        <v>-3.1397493956473195</v>
      </c>
      <c r="J385">
        <f t="shared" si="269"/>
        <v>15</v>
      </c>
      <c r="M385">
        <f t="shared" si="270"/>
        <v>1.1146474999037461E-3</v>
      </c>
      <c r="N385">
        <f t="shared" si="271"/>
        <v>-1.5707963250000001</v>
      </c>
      <c r="O385">
        <f t="shared" si="272"/>
        <v>363.4255259412717</v>
      </c>
      <c r="P385">
        <f t="shared" si="273"/>
        <v>1.5680447279376237</v>
      </c>
      <c r="Q385">
        <f t="shared" si="274"/>
        <v>164.48671501292347</v>
      </c>
      <c r="R385">
        <f t="shared" si="275"/>
        <v>1.5647167710075831</v>
      </c>
      <c r="S385">
        <f t="shared" si="276"/>
        <v>0.2884082887714095</v>
      </c>
      <c r="T385">
        <f t="shared" si="277"/>
        <v>-1.2782322547328455</v>
      </c>
      <c r="U385">
        <f t="shared" si="278"/>
        <v>0.15140687523861737</v>
      </c>
      <c r="V385">
        <f t="shared" si="279"/>
        <v>-1.4188049251224144</v>
      </c>
      <c r="X385">
        <f t="shared" si="296"/>
        <v>-45.862946245174278</v>
      </c>
      <c r="Y385">
        <f t="shared" si="280"/>
        <v>-170.67977804655584</v>
      </c>
      <c r="Z385">
        <f t="shared" si="297"/>
        <v>9.320221953444161</v>
      </c>
      <c r="AC385">
        <v>1</v>
      </c>
      <c r="AD385">
        <f t="shared" si="281"/>
        <v>363.42415014097509</v>
      </c>
      <c r="AE385">
        <f t="shared" si="282"/>
        <v>-0.29285390888179591</v>
      </c>
      <c r="AF385">
        <f t="shared" si="283"/>
        <v>4.4857230653025007E-2</v>
      </c>
      <c r="AG385">
        <f t="shared" si="315"/>
        <v>182.38952628319532</v>
      </c>
      <c r="AH385">
        <f t="shared" si="316"/>
        <v>-1213.0371161792475</v>
      </c>
      <c r="AJ385">
        <f t="shared" si="284"/>
        <v>20000</v>
      </c>
      <c r="AK385">
        <f t="shared" si="285"/>
        <v>66399.445613339994</v>
      </c>
      <c r="AL385">
        <v>1</v>
      </c>
      <c r="AM385">
        <f t="shared" si="286"/>
        <v>164.48367522566699</v>
      </c>
      <c r="AN385">
        <f t="shared" si="317"/>
        <v>404.4083978679501</v>
      </c>
      <c r="AO385">
        <f t="shared" si="318"/>
        <v>-119.1339601042319</v>
      </c>
      <c r="AQ385">
        <f t="shared" si="287"/>
        <v>3.4198545125493271E-3</v>
      </c>
      <c r="AR385">
        <f t="shared" si="288"/>
        <v>-5.8479512164593492</v>
      </c>
      <c r="AT385">
        <f t="shared" si="313"/>
        <v>-7093.1581335262699</v>
      </c>
      <c r="AU385">
        <f t="shared" si="314"/>
        <v>-1070.753462552912</v>
      </c>
      <c r="AV385">
        <f t="shared" si="302"/>
        <v>-2.9917680555196102</v>
      </c>
      <c r="AW385">
        <f t="shared" si="303"/>
        <v>-127.08158544174506</v>
      </c>
      <c r="AX385">
        <f t="shared" si="304"/>
        <v>-3832.0155149575103</v>
      </c>
      <c r="AY385">
        <f t="shared" si="312"/>
        <v>-1.6039472960106518</v>
      </c>
      <c r="BA385">
        <f t="shared" si="289"/>
        <v>1.8709683330936682</v>
      </c>
      <c r="BB385">
        <f t="shared" si="305"/>
        <v>5.4413287390000509</v>
      </c>
      <c r="BC385">
        <f t="shared" si="306"/>
        <v>-1.3878207595089584</v>
      </c>
      <c r="BD385">
        <f t="shared" si="290"/>
        <v>-259.51627233136435</v>
      </c>
      <c r="BF385">
        <f t="shared" si="291"/>
        <v>-49.698360214870469</v>
      </c>
      <c r="BG385">
        <f t="shared" si="292"/>
        <v>-185.16121492151251</v>
      </c>
      <c r="BH385">
        <f t="shared" si="307"/>
        <v>-5.16121492151251</v>
      </c>
      <c r="BI385">
        <f t="shared" si="308"/>
        <v>-5.16121492151251</v>
      </c>
      <c r="BJ385">
        <f t="shared" si="293"/>
        <v>0</v>
      </c>
      <c r="BK385">
        <f t="shared" si="309"/>
        <v>0</v>
      </c>
      <c r="BM385">
        <f t="shared" si="310"/>
        <v>-55.139688953870518</v>
      </c>
      <c r="BN385">
        <f t="shared" si="294"/>
        <v>-105.6449425901482</v>
      </c>
      <c r="BQ385" s="66">
        <f t="shared" si="311"/>
        <v>22.343289539285188</v>
      </c>
      <c r="BR385" s="71"/>
      <c r="BS385" s="71"/>
      <c r="BT385" s="71">
        <v>562341.32499999995</v>
      </c>
      <c r="BU385" s="71">
        <v>11.314</v>
      </c>
      <c r="BV385" s="71">
        <v>119.89400000000001</v>
      </c>
      <c r="BY385" s="71"/>
      <c r="BZ385" s="71"/>
      <c r="CA385" s="71"/>
      <c r="CC385" s="71"/>
    </row>
    <row r="386" spans="1:81" x14ac:dyDescent="0.15">
      <c r="A386">
        <f t="shared" si="319"/>
        <v>860000</v>
      </c>
      <c r="B386">
        <f t="shared" si="295"/>
        <v>860</v>
      </c>
      <c r="C386">
        <f t="shared" si="264"/>
        <v>3.7038834074129579</v>
      </c>
      <c r="D386">
        <f t="shared" si="265"/>
        <v>1.2974169003535261</v>
      </c>
      <c r="F386">
        <f t="shared" si="266"/>
        <v>3.1300329205754225E-5</v>
      </c>
      <c r="G386">
        <f t="shared" si="267"/>
        <v>1.832537097861468E-3</v>
      </c>
      <c r="H386">
        <f t="shared" si="268"/>
        <v>-3.1397601129021386</v>
      </c>
      <c r="J386">
        <f t="shared" si="269"/>
        <v>15</v>
      </c>
      <c r="M386">
        <f t="shared" si="270"/>
        <v>1.1081669911833754E-3</v>
      </c>
      <c r="N386">
        <f t="shared" si="271"/>
        <v>-1.5707963250000001</v>
      </c>
      <c r="O386">
        <f t="shared" si="272"/>
        <v>365.55080537018779</v>
      </c>
      <c r="P386">
        <f t="shared" si="273"/>
        <v>1.5680607255253527</v>
      </c>
      <c r="Q386">
        <f t="shared" si="274"/>
        <v>165.44859017764253</v>
      </c>
      <c r="R386">
        <f t="shared" si="275"/>
        <v>1.5647521163987923</v>
      </c>
      <c r="S386">
        <f t="shared" si="276"/>
        <v>0.28686985697298845</v>
      </c>
      <c r="T386">
        <f t="shared" si="277"/>
        <v>-1.2798385714851972</v>
      </c>
      <c r="U386">
        <f t="shared" si="278"/>
        <v>0.15054661045876988</v>
      </c>
      <c r="V386">
        <f t="shared" si="279"/>
        <v>-1.4196751652194262</v>
      </c>
      <c r="X386">
        <f t="shared" si="296"/>
        <v>-45.962612079274471</v>
      </c>
      <c r="Y386">
        <f t="shared" si="280"/>
        <v>-170.73228058998558</v>
      </c>
      <c r="Z386">
        <f t="shared" si="297"/>
        <v>9.267719410014422</v>
      </c>
      <c r="AC386">
        <v>1</v>
      </c>
      <c r="AD386">
        <f t="shared" si="281"/>
        <v>365.54943756870006</v>
      </c>
      <c r="AE386">
        <f t="shared" si="282"/>
        <v>-0.29628911597958513</v>
      </c>
      <c r="AF386">
        <f t="shared" si="283"/>
        <v>4.5119553639300002E-2</v>
      </c>
      <c r="AG386">
        <f t="shared" si="315"/>
        <v>180.32280985088161</v>
      </c>
      <c r="AH386">
        <f t="shared" si="316"/>
        <v>-1206.2992988978724</v>
      </c>
      <c r="AJ386">
        <f t="shared" si="284"/>
        <v>20000</v>
      </c>
      <c r="AK386">
        <f t="shared" si="285"/>
        <v>66787.746464880009</v>
      </c>
      <c r="AL386">
        <v>1</v>
      </c>
      <c r="AM386">
        <f t="shared" si="286"/>
        <v>165.445568063244</v>
      </c>
      <c r="AN386">
        <f t="shared" si="317"/>
        <v>404.40000067490746</v>
      </c>
      <c r="AO386">
        <f t="shared" si="318"/>
        <v>-118.44137155631988</v>
      </c>
      <c r="AQ386">
        <f t="shared" si="287"/>
        <v>3.3802043739168557E-3</v>
      </c>
      <c r="AR386">
        <f t="shared" si="288"/>
        <v>-5.8139515231369918</v>
      </c>
      <c r="AT386">
        <f t="shared" si="313"/>
        <v>-7012.7561182357949</v>
      </c>
      <c r="AU386">
        <f t="shared" si="314"/>
        <v>-1052.4656131552629</v>
      </c>
      <c r="AV386">
        <f t="shared" si="302"/>
        <v>-2.9926256980005368</v>
      </c>
      <c r="AW386">
        <f t="shared" si="303"/>
        <v>-120.88534213433496</v>
      </c>
      <c r="AX386">
        <f t="shared" si="304"/>
        <v>-3809.9641199070011</v>
      </c>
      <c r="AY386">
        <f t="shared" si="312"/>
        <v>-1.6025144210383284</v>
      </c>
      <c r="BA386">
        <f t="shared" si="289"/>
        <v>1.8603130446039602</v>
      </c>
      <c r="BB386">
        <f t="shared" si="305"/>
        <v>5.3917206274189811</v>
      </c>
      <c r="BC386">
        <f t="shared" si="306"/>
        <v>-1.3901112769622084</v>
      </c>
      <c r="BD386">
        <f t="shared" si="290"/>
        <v>-259.64750931448657</v>
      </c>
      <c r="BF386">
        <f t="shared" si="291"/>
        <v>-49.802329938978652</v>
      </c>
      <c r="BG386">
        <f t="shared" si="292"/>
        <v>-185.20599992871377</v>
      </c>
      <c r="BH386">
        <f t="shared" si="307"/>
        <v>-5.2059999287137657</v>
      </c>
      <c r="BI386">
        <f t="shared" si="308"/>
        <v>-5.2059999287137657</v>
      </c>
      <c r="BJ386">
        <f t="shared" si="293"/>
        <v>0</v>
      </c>
      <c r="BK386">
        <f t="shared" si="309"/>
        <v>0</v>
      </c>
      <c r="BM386">
        <f t="shared" si="310"/>
        <v>-55.194050566397635</v>
      </c>
      <c r="BN386">
        <f t="shared" si="294"/>
        <v>-105.55849061422724</v>
      </c>
      <c r="BQ386" s="66">
        <f t="shared" si="311"/>
        <v>22.293681427704119</v>
      </c>
      <c r="BR386" s="71"/>
      <c r="BS386" s="71"/>
      <c r="BT386" s="71">
        <v>575439.93700000003</v>
      </c>
      <c r="BU386" s="71">
        <v>11.0791</v>
      </c>
      <c r="BV386" s="71">
        <v>119.196</v>
      </c>
      <c r="BY386" s="71"/>
      <c r="BZ386" s="71"/>
      <c r="CA386" s="71"/>
      <c r="CC386" s="71"/>
    </row>
    <row r="387" spans="1:81" x14ac:dyDescent="0.15">
      <c r="A387">
        <f t="shared" si="319"/>
        <v>865000</v>
      </c>
      <c r="B387">
        <f t="shared" si="295"/>
        <v>865</v>
      </c>
      <c r="C387">
        <f t="shared" si="264"/>
        <v>3.723852129748241</v>
      </c>
      <c r="D387">
        <f t="shared" si="265"/>
        <v>1.2989201954357494</v>
      </c>
      <c r="F387">
        <f t="shared" si="266"/>
        <v>3.09395107618022E-5</v>
      </c>
      <c r="G387">
        <f t="shared" si="267"/>
        <v>1.8219437532840108E-3</v>
      </c>
      <c r="H387">
        <f t="shared" si="268"/>
        <v>-3.1397707062467162</v>
      </c>
      <c r="J387">
        <f t="shared" si="269"/>
        <v>15</v>
      </c>
      <c r="M387">
        <f t="shared" si="270"/>
        <v>1.1017614016389627E-3</v>
      </c>
      <c r="N387">
        <f t="shared" si="271"/>
        <v>-1.5707963250000001</v>
      </c>
      <c r="O387">
        <f t="shared" si="272"/>
        <v>367.67608489157516</v>
      </c>
      <c r="P387">
        <f t="shared" si="273"/>
        <v>1.5680765381712471</v>
      </c>
      <c r="Q387">
        <f t="shared" si="274"/>
        <v>166.4104655466665</v>
      </c>
      <c r="R387">
        <f t="shared" si="275"/>
        <v>1.5647870531876038</v>
      </c>
      <c r="S387">
        <f t="shared" si="276"/>
        <v>0.28534702615386975</v>
      </c>
      <c r="T387">
        <f t="shared" si="277"/>
        <v>-1.2814278382366311</v>
      </c>
      <c r="U387">
        <f t="shared" si="278"/>
        <v>0.14969595471429295</v>
      </c>
      <c r="V387">
        <f t="shared" si="279"/>
        <v>-1.4205355714696575</v>
      </c>
      <c r="X387">
        <f t="shared" si="296"/>
        <v>-46.061717696311327</v>
      </c>
      <c r="Y387">
        <f t="shared" si="280"/>
        <v>-170.7842032761672</v>
      </c>
      <c r="Z387">
        <f t="shared" si="297"/>
        <v>9.2157967238327956</v>
      </c>
      <c r="AC387">
        <v>1</v>
      </c>
      <c r="AD387">
        <f t="shared" si="281"/>
        <v>367.67472499642503</v>
      </c>
      <c r="AE387">
        <f t="shared" si="282"/>
        <v>-0.29974435343946065</v>
      </c>
      <c r="AF387">
        <f t="shared" si="283"/>
        <v>4.5381876625575003E-2</v>
      </c>
      <c r="AG387">
        <f t="shared" si="315"/>
        <v>178.29075791603168</v>
      </c>
      <c r="AH387">
        <f t="shared" si="316"/>
        <v>-1199.6341271857336</v>
      </c>
      <c r="AJ387">
        <f t="shared" si="284"/>
        <v>20000</v>
      </c>
      <c r="AK387">
        <f t="shared" si="285"/>
        <v>67176.047316420008</v>
      </c>
      <c r="AL387">
        <v>1</v>
      </c>
      <c r="AM387">
        <f t="shared" si="286"/>
        <v>166.40746090082101</v>
      </c>
      <c r="AN387">
        <f t="shared" si="317"/>
        <v>404.39174866965317</v>
      </c>
      <c r="AO387">
        <f t="shared" si="318"/>
        <v>-117.7567889399463</v>
      </c>
      <c r="AQ387">
        <f t="shared" si="287"/>
        <v>3.3412398204952318E-3</v>
      </c>
      <c r="AR387">
        <f t="shared" si="288"/>
        <v>-5.7803448894567513</v>
      </c>
      <c r="AT387">
        <f t="shared" si="313"/>
        <v>-6933.7032841159898</v>
      </c>
      <c r="AU387">
        <f t="shared" si="314"/>
        <v>-1034.5903366730827</v>
      </c>
      <c r="AV387">
        <f t="shared" si="302"/>
        <v>-2.993473652270501</v>
      </c>
      <c r="AW387">
        <f t="shared" si="303"/>
        <v>-114.79718647908837</v>
      </c>
      <c r="AX387">
        <f t="shared" si="304"/>
        <v>-3788.1638835807807</v>
      </c>
      <c r="AY387">
        <f t="shared" si="312"/>
        <v>-1.6010912317377597</v>
      </c>
      <c r="BA387">
        <f t="shared" si="289"/>
        <v>1.8497742824415135</v>
      </c>
      <c r="BB387">
        <f t="shared" si="305"/>
        <v>5.3423747424303052</v>
      </c>
      <c r="BC387">
        <f t="shared" si="306"/>
        <v>-1.3923824205327413</v>
      </c>
      <c r="BD387">
        <f t="shared" si="290"/>
        <v>-259.77763625589506</v>
      </c>
      <c r="BF387">
        <f t="shared" si="291"/>
        <v>-49.905682690258715</v>
      </c>
      <c r="BG387">
        <f t="shared" si="292"/>
        <v>-185.25060136038559</v>
      </c>
      <c r="BH387">
        <f t="shared" si="307"/>
        <v>-5.2506013603855877</v>
      </c>
      <c r="BI387">
        <f t="shared" si="308"/>
        <v>-5.2506013603855877</v>
      </c>
      <c r="BJ387">
        <f t="shared" si="293"/>
        <v>0</v>
      </c>
      <c r="BK387">
        <f t="shared" si="309"/>
        <v>0</v>
      </c>
      <c r="BM387">
        <f t="shared" si="310"/>
        <v>-55.248057432689023</v>
      </c>
      <c r="BN387">
        <f t="shared" si="294"/>
        <v>-105.47296510449056</v>
      </c>
      <c r="BQ387" s="66">
        <f t="shared" si="311"/>
        <v>22.24433554271544</v>
      </c>
      <c r="BR387" s="71"/>
      <c r="BS387" s="71"/>
      <c r="BT387" s="71">
        <v>588843.65500000003</v>
      </c>
      <c r="BU387" s="71">
        <v>10.8666</v>
      </c>
      <c r="BV387" s="71">
        <v>116.889</v>
      </c>
      <c r="BY387" s="71"/>
      <c r="BZ387" s="71"/>
      <c r="CA387" s="71"/>
      <c r="CC387" s="71"/>
    </row>
    <row r="388" spans="1:81" x14ac:dyDescent="0.15">
      <c r="A388">
        <f t="shared" si="319"/>
        <v>870000</v>
      </c>
      <c r="B388">
        <f t="shared" si="295"/>
        <v>870</v>
      </c>
      <c r="C388">
        <f t="shared" si="264"/>
        <v>3.7438291778185406</v>
      </c>
      <c r="D388">
        <f t="shared" si="265"/>
        <v>1.3004074507036893</v>
      </c>
      <c r="F388">
        <f t="shared" si="266"/>
        <v>3.0584895675999979E-5</v>
      </c>
      <c r="G388">
        <f t="shared" si="267"/>
        <v>1.8114721823062918E-3</v>
      </c>
      <c r="H388">
        <f t="shared" si="268"/>
        <v>-3.1397811778176941</v>
      </c>
      <c r="J388">
        <f t="shared" si="269"/>
        <v>15</v>
      </c>
      <c r="M388">
        <f t="shared" si="270"/>
        <v>1.0954294395605778E-3</v>
      </c>
      <c r="N388">
        <f t="shared" si="271"/>
        <v>-1.5707963250000001</v>
      </c>
      <c r="O388">
        <f t="shared" si="272"/>
        <v>369.80136450383947</v>
      </c>
      <c r="P388">
        <f t="shared" si="273"/>
        <v>1.5680921690639278</v>
      </c>
      <c r="Q388">
        <f t="shared" si="274"/>
        <v>167.37234111647302</v>
      </c>
      <c r="R388">
        <f t="shared" si="275"/>
        <v>1.5648215884185481</v>
      </c>
      <c r="S388">
        <f t="shared" si="276"/>
        <v>0.28383957207302085</v>
      </c>
      <c r="T388">
        <f t="shared" si="277"/>
        <v>-1.2830003171140085</v>
      </c>
      <c r="U388">
        <f t="shared" si="278"/>
        <v>0.14885474978140481</v>
      </c>
      <c r="V388">
        <f t="shared" si="279"/>
        <v>-1.4213863083699774</v>
      </c>
      <c r="X388">
        <f t="shared" si="296"/>
        <v>-46.160269276834327</v>
      </c>
      <c r="Y388">
        <f t="shared" si="280"/>
        <v>-170.83555553288952</v>
      </c>
      <c r="Z388">
        <f t="shared" si="297"/>
        <v>9.164444467110485</v>
      </c>
      <c r="AC388">
        <v>1</v>
      </c>
      <c r="AD388">
        <f t="shared" si="281"/>
        <v>369.80001242415005</v>
      </c>
      <c r="AE388">
        <f t="shared" si="282"/>
        <v>-0.30321962126142243</v>
      </c>
      <c r="AF388">
        <f t="shared" si="283"/>
        <v>4.5644199611850005E-2</v>
      </c>
      <c r="AG388">
        <f t="shared" si="315"/>
        <v>176.29260549557469</v>
      </c>
      <c r="AH388">
        <f t="shared" si="316"/>
        <v>-1193.0404636873068</v>
      </c>
      <c r="AJ388">
        <f t="shared" si="284"/>
        <v>20000</v>
      </c>
      <c r="AK388">
        <f t="shared" si="285"/>
        <v>67564.348167959994</v>
      </c>
      <c r="AL388">
        <v>1</v>
      </c>
      <c r="AM388">
        <f t="shared" si="286"/>
        <v>167.36935373839799</v>
      </c>
      <c r="AN388">
        <f t="shared" si="317"/>
        <v>404.38363852434577</v>
      </c>
      <c r="AO388">
        <f t="shared" si="318"/>
        <v>-117.08007424169205</v>
      </c>
      <c r="AQ388">
        <f t="shared" si="287"/>
        <v>3.3029451370903892E-3</v>
      </c>
      <c r="AR388">
        <f t="shared" si="288"/>
        <v>-5.7471245385372773</v>
      </c>
      <c r="AT388">
        <f t="shared" si="313"/>
        <v>-6855.9698395211853</v>
      </c>
      <c r="AU388">
        <f t="shared" si="314"/>
        <v>-1017.116106204177</v>
      </c>
      <c r="AV388">
        <f t="shared" si="302"/>
        <v>-2.9943120803154395</v>
      </c>
      <c r="AW388">
        <f t="shared" si="303"/>
        <v>-108.81461461762765</v>
      </c>
      <c r="AX388">
        <f t="shared" si="304"/>
        <v>-3766.6105576121081</v>
      </c>
      <c r="AY388">
        <f t="shared" si="312"/>
        <v>-1.5996775600021631</v>
      </c>
      <c r="BA388">
        <f t="shared" si="289"/>
        <v>1.8393501739219733</v>
      </c>
      <c r="BB388">
        <f t="shared" si="305"/>
        <v>5.2932883544712093</v>
      </c>
      <c r="BC388">
        <f t="shared" si="306"/>
        <v>-1.3946345203132764</v>
      </c>
      <c r="BD388">
        <f t="shared" si="290"/>
        <v>-259.90667206850947</v>
      </c>
      <c r="BF388">
        <f t="shared" si="291"/>
        <v>-50.008425901446515</v>
      </c>
      <c r="BG388">
        <f t="shared" si="292"/>
        <v>-185.2950236998137</v>
      </c>
      <c r="BH388">
        <f t="shared" si="307"/>
        <v>-5.2950236998136972</v>
      </c>
      <c r="BI388">
        <f t="shared" si="308"/>
        <v>-5.2950236998136972</v>
      </c>
      <c r="BJ388">
        <f t="shared" si="293"/>
        <v>0</v>
      </c>
      <c r="BK388">
        <f t="shared" si="309"/>
        <v>0</v>
      </c>
      <c r="BM388">
        <f t="shared" si="310"/>
        <v>-55.30171425591773</v>
      </c>
      <c r="BN388">
        <f t="shared" si="294"/>
        <v>-105.38835163130422</v>
      </c>
      <c r="BQ388" s="66">
        <f t="shared" si="311"/>
        <v>22.195249154756347</v>
      </c>
      <c r="BR388" s="71"/>
      <c r="BS388" s="71"/>
      <c r="BT388" s="71">
        <v>602559.58600000001</v>
      </c>
      <c r="BU388" s="71">
        <v>10.6013</v>
      </c>
      <c r="BV388" s="71">
        <v>117.324</v>
      </c>
      <c r="BY388" s="71"/>
      <c r="BZ388" s="71"/>
      <c r="CA388" s="71"/>
      <c r="CC388" s="71"/>
    </row>
    <row r="389" spans="1:81" x14ac:dyDescent="0.15">
      <c r="A389">
        <f t="shared" si="319"/>
        <v>875000</v>
      </c>
      <c r="B389">
        <f t="shared" si="295"/>
        <v>875</v>
      </c>
      <c r="C389">
        <f t="shared" si="264"/>
        <v>3.7638144190533427</v>
      </c>
      <c r="D389">
        <f t="shared" si="265"/>
        <v>1.3018789150314296</v>
      </c>
      <c r="F389">
        <f t="shared" si="266"/>
        <v>3.0236342556303313E-5</v>
      </c>
      <c r="G389">
        <f t="shared" si="267"/>
        <v>1.8011202971311832E-3</v>
      </c>
      <c r="H389">
        <f t="shared" si="268"/>
        <v>-3.1397915297028689</v>
      </c>
      <c r="J389">
        <f t="shared" si="269"/>
        <v>15</v>
      </c>
      <c r="M389">
        <f t="shared" si="270"/>
        <v>1.0891698427630888E-3</v>
      </c>
      <c r="N389">
        <f t="shared" si="271"/>
        <v>-1.5707963250000001</v>
      </c>
      <c r="O389">
        <f t="shared" si="272"/>
        <v>371.9266442054228</v>
      </c>
      <c r="P389">
        <f t="shared" si="273"/>
        <v>1.5681076213191338</v>
      </c>
      <c r="Q389">
        <f t="shared" si="274"/>
        <v>168.33421688362026</v>
      </c>
      <c r="R389">
        <f t="shared" si="275"/>
        <v>1.5648557289751479</v>
      </c>
      <c r="S389">
        <f t="shared" si="276"/>
        <v>0.28234727450155422</v>
      </c>
      <c r="T389">
        <f t="shared" si="277"/>
        <v>-1.2845562650676157</v>
      </c>
      <c r="U389">
        <f t="shared" si="278"/>
        <v>0.14802284084886316</v>
      </c>
      <c r="V389">
        <f t="shared" si="279"/>
        <v>-1.4222275367966439</v>
      </c>
      <c r="X389">
        <f t="shared" si="296"/>
        <v>-46.258272900843835</v>
      </c>
      <c r="Y389">
        <f t="shared" si="280"/>
        <v>-170.88634658712198</v>
      </c>
      <c r="Z389">
        <f t="shared" si="297"/>
        <v>9.1136534128780227</v>
      </c>
      <c r="AC389">
        <v>1</v>
      </c>
      <c r="AD389">
        <f t="shared" si="281"/>
        <v>371.92529985187502</v>
      </c>
      <c r="AE389">
        <f t="shared" si="282"/>
        <v>-0.30671491944547036</v>
      </c>
      <c r="AF389">
        <f t="shared" si="283"/>
        <v>4.5906522598125006E-2</v>
      </c>
      <c r="AG389">
        <f t="shared" si="315"/>
        <v>174.32760842792038</v>
      </c>
      <c r="AH389">
        <f t="shared" si="316"/>
        <v>-1186.5171939273791</v>
      </c>
      <c r="AJ389">
        <f t="shared" si="284"/>
        <v>20000</v>
      </c>
      <c r="AK389">
        <f t="shared" si="285"/>
        <v>67952.649019500008</v>
      </c>
      <c r="AL389">
        <v>1</v>
      </c>
      <c r="AM389">
        <f t="shared" si="286"/>
        <v>168.331246575975</v>
      </c>
      <c r="AN389">
        <f t="shared" si="317"/>
        <v>404.3756670059455</v>
      </c>
      <c r="AO389">
        <f t="shared" si="318"/>
        <v>-116.41109260216712</v>
      </c>
      <c r="AQ389">
        <f t="shared" si="287"/>
        <v>3.2653050562269203E-3</v>
      </c>
      <c r="AR389">
        <f t="shared" si="288"/>
        <v>-5.7142838483971108</v>
      </c>
      <c r="AT389">
        <f t="shared" si="313"/>
        <v>-6779.526804283445</v>
      </c>
      <c r="AU389">
        <f t="shared" si="314"/>
        <v>-1000.0317777619928</v>
      </c>
      <c r="AV389">
        <f t="shared" si="302"/>
        <v>-2.9951411405580708</v>
      </c>
      <c r="AW389">
        <f t="shared" si="303"/>
        <v>-102.9351948870658</v>
      </c>
      <c r="AX389">
        <f t="shared" si="304"/>
        <v>-3745.2999885482132</v>
      </c>
      <c r="AY389">
        <f t="shared" si="312"/>
        <v>-1.5982732416475094</v>
      </c>
      <c r="BA389">
        <f t="shared" si="289"/>
        <v>1.829038885318035</v>
      </c>
      <c r="BB389">
        <f t="shared" si="305"/>
        <v>5.2444587732739105</v>
      </c>
      <c r="BC389">
        <f t="shared" si="306"/>
        <v>-1.3968678989105614</v>
      </c>
      <c r="BD389">
        <f t="shared" si="290"/>
        <v>-260.03463523633502</v>
      </c>
      <c r="BF389">
        <f t="shared" si="291"/>
        <v>-50.110566872850654</v>
      </c>
      <c r="BG389">
        <f t="shared" si="292"/>
        <v>-185.3392712911905</v>
      </c>
      <c r="BH389">
        <f t="shared" si="307"/>
        <v>-5.3392712911904994</v>
      </c>
      <c r="BI389">
        <f t="shared" si="308"/>
        <v>-5.3392712911904994</v>
      </c>
      <c r="BJ389">
        <f t="shared" si="293"/>
        <v>0</v>
      </c>
      <c r="BK389">
        <f t="shared" si="309"/>
        <v>0</v>
      </c>
      <c r="BM389">
        <f t="shared" si="310"/>
        <v>-55.355025646124567</v>
      </c>
      <c r="BN389">
        <f t="shared" si="294"/>
        <v>-105.30463605485551</v>
      </c>
      <c r="BQ389" s="66">
        <f t="shared" si="311"/>
        <v>22.146419573559047</v>
      </c>
      <c r="BR389" s="71"/>
      <c r="BS389" s="71"/>
      <c r="BT389" s="71">
        <v>616595.00199999998</v>
      </c>
      <c r="BU389" s="71">
        <v>10.4749</v>
      </c>
      <c r="BV389" s="71">
        <v>115.142</v>
      </c>
      <c r="BY389" s="71"/>
      <c r="BZ389" s="71"/>
      <c r="CA389" s="71"/>
      <c r="CC389" s="71"/>
    </row>
    <row r="390" spans="1:81" x14ac:dyDescent="0.15">
      <c r="A390">
        <f t="shared" si="319"/>
        <v>880000</v>
      </c>
      <c r="B390">
        <f t="shared" si="295"/>
        <v>880</v>
      </c>
      <c r="C390">
        <f t="shared" si="264"/>
        <v>3.7838077236291636</v>
      </c>
      <c r="D390">
        <f t="shared" si="265"/>
        <v>1.3033348323097111</v>
      </c>
      <c r="F390">
        <f t="shared" si="266"/>
        <v>2.9893714016275619E-5</v>
      </c>
      <c r="G390">
        <f t="shared" si="267"/>
        <v>1.7908860574185241E-3</v>
      </c>
      <c r="H390">
        <f t="shared" si="268"/>
        <v>-3.1398017639425815</v>
      </c>
      <c r="J390">
        <f t="shared" si="269"/>
        <v>15</v>
      </c>
      <c r="M390">
        <f t="shared" si="270"/>
        <v>1.0829813777473894E-3</v>
      </c>
      <c r="N390">
        <f t="shared" si="271"/>
        <v>-1.5707963250000001</v>
      </c>
      <c r="O390">
        <f t="shared" si="272"/>
        <v>374.05192399480273</v>
      </c>
      <c r="P390">
        <f t="shared" si="273"/>
        <v>1.5681228979817929</v>
      </c>
      <c r="Q390">
        <f t="shared" si="274"/>
        <v>169.29609284474455</v>
      </c>
      <c r="R390">
        <f t="shared" si="275"/>
        <v>1.5648894815844909</v>
      </c>
      <c r="S390">
        <f t="shared" si="276"/>
        <v>0.28086991714099813</v>
      </c>
      <c r="T390">
        <f t="shared" si="277"/>
        <v>-1.2860959339937734</v>
      </c>
      <c r="U390">
        <f t="shared" si="278"/>
        <v>0.14720007642764768</v>
      </c>
      <c r="V390">
        <f t="shared" si="279"/>
        <v>-1.4230594141035984</v>
      </c>
      <c r="X390">
        <f t="shared" si="296"/>
        <v>-46.355734549939058</v>
      </c>
      <c r="Y390">
        <f t="shared" si="280"/>
        <v>-170.93658547027491</v>
      </c>
      <c r="Z390">
        <f t="shared" si="297"/>
        <v>9.0634145297250939</v>
      </c>
      <c r="AC390">
        <v>1</v>
      </c>
      <c r="AD390">
        <f t="shared" si="281"/>
        <v>374.05058727960005</v>
      </c>
      <c r="AE390">
        <f t="shared" si="282"/>
        <v>-0.31023024799160459</v>
      </c>
      <c r="AF390">
        <f t="shared" si="283"/>
        <v>4.6168845584400008E-2</v>
      </c>
      <c r="AG390">
        <f t="shared" si="315"/>
        <v>172.39504270205992</v>
      </c>
      <c r="AH390">
        <f t="shared" si="316"/>
        <v>-1180.0632257608861</v>
      </c>
      <c r="AJ390">
        <f t="shared" si="284"/>
        <v>20000</v>
      </c>
      <c r="AK390">
        <f t="shared" si="285"/>
        <v>68340.949871039993</v>
      </c>
      <c r="AL390">
        <v>1</v>
      </c>
      <c r="AM390">
        <f t="shared" si="286"/>
        <v>169.29313941355201</v>
      </c>
      <c r="AN390">
        <f t="shared" si="317"/>
        <v>404.36783097299224</v>
      </c>
      <c r="AO390">
        <f t="shared" si="318"/>
        <v>-115.74971222642685</v>
      </c>
      <c r="AQ390">
        <f t="shared" si="287"/>
        <v>3.2283047429284791E-3</v>
      </c>
      <c r="AR390">
        <f t="shared" si="288"/>
        <v>-5.6818163475541237</v>
      </c>
      <c r="AT390">
        <f t="shared" si="313"/>
        <v>-6704.3459835416425</v>
      </c>
      <c r="AU390">
        <f t="shared" si="314"/>
        <v>-983.3265755705346</v>
      </c>
      <c r="AV390">
        <f t="shared" si="302"/>
        <v>-2.9959609879545588</v>
      </c>
      <c r="AW390">
        <f t="shared" si="303"/>
        <v>-97.15656533313431</v>
      </c>
      <c r="AX390">
        <f t="shared" si="304"/>
        <v>-3724.2281152230476</v>
      </c>
      <c r="AY390">
        <f t="shared" si="312"/>
        <v>-1.5968781162991912</v>
      </c>
      <c r="BA390">
        <f t="shared" si="289"/>
        <v>1.8188386208824916</v>
      </c>
      <c r="BB390">
        <f t="shared" si="305"/>
        <v>5.1958833471918204</v>
      </c>
      <c r="BC390">
        <f t="shared" si="306"/>
        <v>-1.3990828716553676</v>
      </c>
      <c r="BD390">
        <f t="shared" si="290"/>
        <v>-260.16154382649393</v>
      </c>
      <c r="BF390">
        <f t="shared" si="291"/>
        <v>-50.212112775445028</v>
      </c>
      <c r="BG390">
        <f t="shared" si="292"/>
        <v>-185.38334834463112</v>
      </c>
      <c r="BH390">
        <f t="shared" si="307"/>
        <v>-5.3833483446311163</v>
      </c>
      <c r="BI390">
        <f t="shared" si="308"/>
        <v>-5.3833483446311163</v>
      </c>
      <c r="BJ390">
        <f t="shared" si="293"/>
        <v>0</v>
      </c>
      <c r="BK390">
        <f t="shared" si="309"/>
        <v>0</v>
      </c>
      <c r="BM390">
        <f t="shared" si="310"/>
        <v>-55.407996122636845</v>
      </c>
      <c r="BN390">
        <f t="shared" si="294"/>
        <v>-105.2218045181372</v>
      </c>
      <c r="BQ390" s="66">
        <f t="shared" si="311"/>
        <v>22.097844147476955</v>
      </c>
      <c r="BR390" s="71"/>
      <c r="BS390" s="71"/>
      <c r="BT390" s="71">
        <v>630957.34400000004</v>
      </c>
      <c r="BU390" s="71">
        <v>10.283799999999999</v>
      </c>
      <c r="BV390" s="71">
        <v>115.247</v>
      </c>
      <c r="BY390" s="71"/>
      <c r="BZ390" s="71"/>
      <c r="CA390" s="71"/>
      <c r="CC390" s="71"/>
    </row>
    <row r="391" spans="1:81" x14ac:dyDescent="0.15">
      <c r="A391">
        <f t="shared" si="319"/>
        <v>885000</v>
      </c>
      <c r="B391">
        <f t="shared" si="295"/>
        <v>885</v>
      </c>
      <c r="C391">
        <f t="shared" si="264"/>
        <v>3.8038089644001611</v>
      </c>
      <c r="D391">
        <f t="shared" si="265"/>
        <v>1.30477544156631</v>
      </c>
      <c r="F391">
        <f t="shared" si="266"/>
        <v>2.9556876539680594E-5</v>
      </c>
      <c r="G391">
        <f t="shared" si="267"/>
        <v>1.7807674689442948E-3</v>
      </c>
      <c r="H391">
        <f t="shared" si="268"/>
        <v>-3.1398118825310557</v>
      </c>
      <c r="J391">
        <f t="shared" si="269"/>
        <v>15</v>
      </c>
      <c r="M391">
        <f t="shared" si="270"/>
        <v>1.0768628388900597E-3</v>
      </c>
      <c r="N391">
        <f t="shared" si="271"/>
        <v>-1.5707963250000001</v>
      </c>
      <c r="O391">
        <f t="shared" si="272"/>
        <v>376.17720387049121</v>
      </c>
      <c r="P391">
        <f t="shared" si="273"/>
        <v>1.5681380020280216</v>
      </c>
      <c r="Q391">
        <f t="shared" si="274"/>
        <v>170.25796899655822</v>
      </c>
      <c r="R391">
        <f t="shared" si="275"/>
        <v>1.5649228528216494</v>
      </c>
      <c r="S391">
        <f t="shared" si="276"/>
        <v>0.27940728754328298</v>
      </c>
      <c r="T391">
        <f t="shared" si="277"/>
        <v>-1.2876195708541283</v>
      </c>
      <c r="U391">
        <f t="shared" si="278"/>
        <v>0.14638630826345506</v>
      </c>
      <c r="V391">
        <f t="shared" si="279"/>
        <v>-1.4238820942175998</v>
      </c>
      <c r="X391">
        <f t="shared" si="296"/>
        <v>-46.452660109409564</v>
      </c>
      <c r="Y391">
        <f t="shared" si="280"/>
        <v>-170.98628102329704</v>
      </c>
      <c r="Z391">
        <f t="shared" si="297"/>
        <v>9.0137189767029611</v>
      </c>
      <c r="AC391">
        <v>1</v>
      </c>
      <c r="AD391">
        <f t="shared" si="281"/>
        <v>376.17587470732508</v>
      </c>
      <c r="AE391">
        <f t="shared" si="282"/>
        <v>-0.31376560689982502</v>
      </c>
      <c r="AF391">
        <f t="shared" si="283"/>
        <v>4.6431168570675009E-2</v>
      </c>
      <c r="AG391">
        <f t="shared" si="315"/>
        <v>170.49420381154064</v>
      </c>
      <c r="AH391">
        <f t="shared" si="316"/>
        <v>-1173.6774888377156</v>
      </c>
      <c r="AJ391">
        <f t="shared" si="284"/>
        <v>20000</v>
      </c>
      <c r="AK391">
        <f t="shared" si="285"/>
        <v>68729.250722580007</v>
      </c>
      <c r="AL391">
        <v>1</v>
      </c>
      <c r="AM391">
        <f t="shared" si="286"/>
        <v>170.25503225112899</v>
      </c>
      <c r="AN391">
        <f t="shared" si="317"/>
        <v>404.36012737251065</v>
      </c>
      <c r="AO391">
        <f t="shared" si="318"/>
        <v>-115.09580429742363</v>
      </c>
      <c r="AQ391">
        <f t="shared" si="287"/>
        <v>3.1919297800983818E-3</v>
      </c>
      <c r="AR391">
        <f t="shared" si="288"/>
        <v>-5.6497157107741351</v>
      </c>
      <c r="AT391">
        <f t="shared" si="313"/>
        <v>-6630.3999425418961</v>
      </c>
      <c r="AU391">
        <f t="shared" si="314"/>
        <v>-966.99007799884089</v>
      </c>
      <c r="AV391">
        <f t="shared" si="302"/>
        <v>-2.9967717740880704</v>
      </c>
      <c r="AW391">
        <f t="shared" si="303"/>
        <v>-91.476431322781025</v>
      </c>
      <c r="AX391">
        <f t="shared" si="304"/>
        <v>-3703.3909662166006</v>
      </c>
      <c r="AY391">
        <f t="shared" si="312"/>
        <v>-1.5954920272825805</v>
      </c>
      <c r="BA391">
        <f t="shared" si="289"/>
        <v>1.8087476218993297</v>
      </c>
      <c r="BB391">
        <f t="shared" si="305"/>
        <v>5.147559462537151</v>
      </c>
      <c r="BC391">
        <f t="shared" si="306"/>
        <v>-1.4012797468054898</v>
      </c>
      <c r="BD391">
        <f t="shared" si="290"/>
        <v>-260.28741550085692</v>
      </c>
      <c r="BF391">
        <f t="shared" si="291"/>
        <v>-50.313070653873162</v>
      </c>
      <c r="BG391">
        <f t="shared" si="292"/>
        <v>-185.42725894098405</v>
      </c>
      <c r="BH391">
        <f t="shared" si="307"/>
        <v>-5.4272589409840464</v>
      </c>
      <c r="BI391">
        <f t="shared" si="308"/>
        <v>-5.4272589409840464</v>
      </c>
      <c r="BJ391">
        <f t="shared" si="293"/>
        <v>0</v>
      </c>
      <c r="BK391">
        <f t="shared" si="309"/>
        <v>0</v>
      </c>
      <c r="BM391">
        <f t="shared" si="310"/>
        <v>-55.460630116410314</v>
      </c>
      <c r="BN391">
        <f t="shared" si="294"/>
        <v>-105.13984344012717</v>
      </c>
      <c r="BQ391" s="66">
        <f t="shared" si="311"/>
        <v>22.049520262822288</v>
      </c>
      <c r="BR391" s="71"/>
      <c r="BS391" s="71"/>
      <c r="BT391" s="71">
        <v>645654.22900000005</v>
      </c>
      <c r="BU391" s="71">
        <v>9.9821899999999992</v>
      </c>
      <c r="BV391" s="71">
        <v>113.164</v>
      </c>
      <c r="BY391" s="71"/>
      <c r="BZ391" s="71"/>
      <c r="CA391" s="71"/>
      <c r="CC391" s="71"/>
    </row>
    <row r="392" spans="1:81" x14ac:dyDescent="0.15">
      <c r="A392">
        <f t="shared" si="319"/>
        <v>890000</v>
      </c>
      <c r="B392">
        <f t="shared" si="295"/>
        <v>890</v>
      </c>
      <c r="C392">
        <f t="shared" si="264"/>
        <v>3.823818016830796</v>
      </c>
      <c r="D392">
        <f t="shared" si="265"/>
        <v>1.3062009770830649</v>
      </c>
      <c r="F392">
        <f t="shared" si="266"/>
        <v>2.9225700350385249E-5</v>
      </c>
      <c r="G392">
        <f t="shared" si="267"/>
        <v>1.7707625823049908E-3</v>
      </c>
      <c r="H392">
        <f t="shared" si="268"/>
        <v>-3.1398218874176953</v>
      </c>
      <c r="J392">
        <f t="shared" si="269"/>
        <v>15</v>
      </c>
      <c r="M392">
        <f t="shared" si="270"/>
        <v>1.0708130476603402E-3</v>
      </c>
      <c r="N392">
        <f t="shared" si="271"/>
        <v>-1.5707963250000001</v>
      </c>
      <c r="O392">
        <f t="shared" si="272"/>
        <v>378.30248383103361</v>
      </c>
      <c r="P392">
        <f t="shared" si="273"/>
        <v>1.5681529363670583</v>
      </c>
      <c r="Q392">
        <f t="shared" si="274"/>
        <v>171.21984533584759</v>
      </c>
      <c r="R392">
        <f t="shared" si="275"/>
        <v>1.5649558491139497</v>
      </c>
      <c r="S392">
        <f t="shared" si="276"/>
        <v>0.27795917703241468</v>
      </c>
      <c r="T392">
        <f t="shared" si="277"/>
        <v>-1.2891274177917165</v>
      </c>
      <c r="U392">
        <f t="shared" si="278"/>
        <v>0.14558139125190758</v>
      </c>
      <c r="V392">
        <f t="shared" si="279"/>
        <v>-1.4246957277303174</v>
      </c>
      <c r="X392">
        <f t="shared" si="296"/>
        <v>-46.549055370271844</v>
      </c>
      <c r="Y392">
        <f t="shared" si="280"/>
        <v>-171.03544190161574</v>
      </c>
      <c r="Z392">
        <f t="shared" si="297"/>
        <v>8.9645580983842592</v>
      </c>
      <c r="AC392">
        <v>1</v>
      </c>
      <c r="AD392">
        <f t="shared" si="281"/>
        <v>378.30116213505005</v>
      </c>
      <c r="AE392">
        <f t="shared" si="282"/>
        <v>-0.31732099617013171</v>
      </c>
      <c r="AF392">
        <f t="shared" si="283"/>
        <v>4.6693491556950004E-2</v>
      </c>
      <c r="AG392">
        <f t="shared" si="315"/>
        <v>168.62440613227392</v>
      </c>
      <c r="AH392">
        <f t="shared" si="316"/>
        <v>-1167.3589340820431</v>
      </c>
      <c r="AJ392">
        <f t="shared" si="284"/>
        <v>20000</v>
      </c>
      <c r="AK392">
        <f t="shared" si="285"/>
        <v>69117.551574120007</v>
      </c>
      <c r="AL392">
        <v>1</v>
      </c>
      <c r="AM392">
        <f t="shared" si="286"/>
        <v>171.21692508870601</v>
      </c>
      <c r="AN392">
        <f t="shared" si="317"/>
        <v>404.35255323703478</v>
      </c>
      <c r="AO392">
        <f t="shared" si="318"/>
        <v>-114.44924289237545</v>
      </c>
      <c r="AQ392">
        <f t="shared" si="287"/>
        <v>3.1561661544735027E-3</v>
      </c>
      <c r="AR392">
        <f t="shared" si="288"/>
        <v>-5.6179757549628349</v>
      </c>
      <c r="AT392">
        <f t="shared" si="313"/>
        <v>-6557.6619823687233</v>
      </c>
      <c r="AU392">
        <f t="shared" si="314"/>
        <v>-951.01220410399321</v>
      </c>
      <c r="AV392">
        <f t="shared" si="302"/>
        <v>-2.9975736472593475</v>
      </c>
      <c r="AW392">
        <f t="shared" si="303"/>
        <v>-85.892563251722549</v>
      </c>
      <c r="AX392">
        <f t="shared" si="304"/>
        <v>-3682.7846573974484</v>
      </c>
      <c r="AY392">
        <f t="shared" si="312"/>
        <v>-1.59411482151733</v>
      </c>
      <c r="BA392">
        <f t="shared" si="289"/>
        <v>1.7987641657620057</v>
      </c>
      <c r="BB392">
        <f t="shared" si="305"/>
        <v>5.0994845429298818</v>
      </c>
      <c r="BC392">
        <f t="shared" si="306"/>
        <v>-1.4034588257420175</v>
      </c>
      <c r="BD392">
        <f t="shared" si="290"/>
        <v>-260.41226752728846</v>
      </c>
      <c r="BF392">
        <f t="shared" si="291"/>
        <v>-50.413447429367295</v>
      </c>
      <c r="BG392">
        <f t="shared" si="292"/>
        <v>-185.47100703644585</v>
      </c>
      <c r="BH392">
        <f t="shared" si="307"/>
        <v>-5.4710070364458545</v>
      </c>
      <c r="BI392">
        <f t="shared" si="308"/>
        <v>-5.4710070364458545</v>
      </c>
      <c r="BJ392">
        <f t="shared" si="293"/>
        <v>0</v>
      </c>
      <c r="BK392">
        <f t="shared" si="309"/>
        <v>0</v>
      </c>
      <c r="BM392">
        <f t="shared" si="310"/>
        <v>-55.512931972297174</v>
      </c>
      <c r="BN392">
        <f t="shared" si="294"/>
        <v>-105.05873950915738</v>
      </c>
      <c r="BQ392" s="66">
        <f t="shared" si="311"/>
        <v>22.001445343215021</v>
      </c>
      <c r="BR392" s="71"/>
      <c r="BS392" s="71"/>
      <c r="BT392" s="71">
        <v>660693.44799999997</v>
      </c>
      <c r="BU392" s="71">
        <v>9.7520900000000008</v>
      </c>
      <c r="BV392" s="71">
        <v>112.872</v>
      </c>
      <c r="BY392" s="71"/>
      <c r="BZ392" s="71"/>
      <c r="CA392" s="71"/>
      <c r="CC392" s="71"/>
    </row>
    <row r="393" spans="1:81" x14ac:dyDescent="0.15">
      <c r="A393">
        <f t="shared" si="319"/>
        <v>895000</v>
      </c>
      <c r="B393">
        <f t="shared" si="295"/>
        <v>895</v>
      </c>
      <c r="C393">
        <f t="shared" ref="C393:C456" si="320">SQRT((A393/Fesr)^2+1)</f>
        <v>3.8438347589304658</v>
      </c>
      <c r="D393">
        <f t="shared" ref="D393:D456" si="321">ATAN(A393/Fesr)</f>
        <v>1.3076116685096557</v>
      </c>
      <c r="F393">
        <f t="shared" ref="F393:F456" si="322">(Ro/(Ro+Rdcr))/SQRT((A393/(Q*Fo))^2+(1-(A393^2/Fo^2))^2)</f>
        <v>2.8900059287336645E-5</v>
      </c>
      <c r="G393">
        <f t="shared" ref="G393:G456" si="323">-ATAN(A393*Fo/(Q*(Fo^2-A393^2)))</f>
        <v>1.7608694916654403E-3</v>
      </c>
      <c r="H393">
        <f t="shared" ref="H393:H456" si="324">IF(G393&gt;0,G393-Pi,G393)</f>
        <v>-3.1398317805083349</v>
      </c>
      <c r="J393">
        <f t="shared" ref="J393:J456" si="325">Vin/Vramp</f>
        <v>15</v>
      </c>
      <c r="M393">
        <f t="shared" ref="M393:M456" si="326">1/(2*Pi*_Rfb1*(Cc1ea_u+Cc2ea_u)*A393)</f>
        <v>1.0648308518633551E-3</v>
      </c>
      <c r="N393">
        <f t="shared" ref="N393:N456" si="327">-Pi/2</f>
        <v>-1.5707963250000001</v>
      </c>
      <c r="O393">
        <f t="shared" ref="O393:O456" si="328">SQRT(1+(A393/Fz1_u)^2)</f>
        <v>380.42776387500771</v>
      </c>
      <c r="P393">
        <f t="shared" ref="P393:P456" si="329">ATAN2(Fz1_u,A393)</f>
        <v>1.568167703843131</v>
      </c>
      <c r="Q393">
        <f t="shared" ref="Q393:Q456" si="330">SQRT(1+(A393/Fz2_u)^2)</f>
        <v>172.18172185947066</v>
      </c>
      <c r="R393">
        <f t="shared" ref="R393:R456" si="331">ATAN2(Fz2_u,A393)</f>
        <v>1.5649884767450986</v>
      </c>
      <c r="S393">
        <f t="shared" ref="S393:S456" si="332">1/SQRT(1+(A393/Fp1_u)^2)</f>
        <v>0.27652538062780496</v>
      </c>
      <c r="T393">
        <f t="shared" ref="T393:T456" si="333">-ATAN2(Fp1_u,A393)</f>
        <v>-1.2906197122439074</v>
      </c>
      <c r="U393">
        <f t="shared" ref="U393:U456" si="334">1/SQRT(1+(A393/Fp2_u)^2)</f>
        <v>0.14478518335637836</v>
      </c>
      <c r="V393">
        <f t="shared" ref="V393:V456" si="335">-ATAN2(Fp2_u,A393)</f>
        <v>-1.425500461987492</v>
      </c>
      <c r="X393">
        <f t="shared" si="296"/>
        <v>-46.644926031252858</v>
      </c>
      <c r="Y393">
        <f t="shared" ref="Y393:Y456" si="336">(180/Pi)*(D393+H393+N393+P393+R393+T393+V393)</f>
        <v>-171.08407657992603</v>
      </c>
      <c r="Z393">
        <f t="shared" si="297"/>
        <v>8.9159234200739661</v>
      </c>
      <c r="AC393">
        <v>1</v>
      </c>
      <c r="AD393">
        <f t="shared" ref="AD393:AD456" si="337">Rcea1_u*Cc1ea_u*A393*2*Pi</f>
        <v>380.42644956277502</v>
      </c>
      <c r="AE393">
        <f t="shared" ref="AE393:AE456" si="338">-Rcea1_u*Cc1ea_u*Cc2ea_u*(A393*2*Pi)^2</f>
        <v>-0.32089641580252465</v>
      </c>
      <c r="AF393">
        <f t="shared" ref="AF393:AF456" si="339">(Cc2ea_u+Cc1ea_u)*A393*2*Pi</f>
        <v>4.6955814543225005E-2</v>
      </c>
      <c r="AG393">
        <f t="shared" si="315"/>
        <v>166.78498232318805</v>
      </c>
      <c r="AH393">
        <f t="shared" si="316"/>
        <v>-1161.1065331857815</v>
      </c>
      <c r="AJ393">
        <f t="shared" ref="AJ393:AJ456" si="340">_Rfb1</f>
        <v>20000</v>
      </c>
      <c r="AK393">
        <f t="shared" ref="AK393:AK456" si="341">_Rfb1*Rcea2_u*Cc3ea_u*A393*2*Pi</f>
        <v>69505.852425659992</v>
      </c>
      <c r="AL393">
        <v>1</v>
      </c>
      <c r="AM393">
        <f t="shared" ref="AM393:AM456" si="342">(_Rfb1+Rcea2_u)*Cc3ea_u*A393*2*Pi</f>
        <v>172.17881792628299</v>
      </c>
      <c r="AN393">
        <f t="shared" si="317"/>
        <v>404.34510568175142</v>
      </c>
      <c r="AO393">
        <f t="shared" si="318"/>
        <v>-113.80990490193733</v>
      </c>
      <c r="AQ393">
        <f t="shared" ref="AQ393:AQ456" si="343">Eadcg/(1+(Eadcg*A393/GBP)^2)</f>
        <v>3.1210002431259188E-3</v>
      </c>
      <c r="AR393">
        <f t="shared" ref="AR393:AR456" si="344">-(A393*Eadcg*Eadcg/GBP)/(1+(Eadcg*A393/GBP)^2)</f>
        <v>-5.5865904351953946</v>
      </c>
      <c r="AT393">
        <f t="shared" si="313"/>
        <v>-6486.1061165681904</v>
      </c>
      <c r="AU393">
        <f t="shared" si="314"/>
        <v>-935.38320075332319</v>
      </c>
      <c r="AV393">
        <f t="shared" si="302"/>
        <v>-2.9983667525743964</v>
      </c>
      <c r="AW393">
        <f t="shared" si="303"/>
        <v>-80.402794342646075</v>
      </c>
      <c r="AX393">
        <f t="shared" si="304"/>
        <v>-3662.4053895454199</v>
      </c>
      <c r="AY393">
        <f t="shared" si="312"/>
        <v>-1.5927463494152638</v>
      </c>
      <c r="BA393">
        <f t="shared" ref="BA393:BA456" si="345">SQRT(AT393^2+AU393^2)/SQRT(AW393^2+AX393^2)</f>
        <v>1.7888865650780394</v>
      </c>
      <c r="BB393">
        <f t="shared" si="305"/>
        <v>5.0516560486579998</v>
      </c>
      <c r="BC393">
        <f t="shared" si="306"/>
        <v>-1.4056204031591326</v>
      </c>
      <c r="BD393">
        <f t="shared" ref="BD393:BD456" si="346">BC393*180/Pi-180</f>
        <v>-260.53611679052148</v>
      </c>
      <c r="BF393">
        <f t="shared" ref="BF393:BF456" si="347">20*LOG(BA393*J393*F393*C393)</f>
        <v>-50.513249902585017</v>
      </c>
      <c r="BG393">
        <f t="shared" ref="BG393:BG456" si="348">(180/Pi)*(D393+H393+BC393)</f>
        <v>-185.51459646698819</v>
      </c>
      <c r="BH393">
        <f t="shared" si="307"/>
        <v>-5.5145964669881948</v>
      </c>
      <c r="BI393">
        <f t="shared" si="308"/>
        <v>-5.5145964669881948</v>
      </c>
      <c r="BJ393">
        <f t="shared" ref="BJ393:BJ456" si="349">SUM((BF394&lt;0)*(BF393&gt;0))*A393</f>
        <v>0</v>
      </c>
      <c r="BK393">
        <f t="shared" si="309"/>
        <v>0</v>
      </c>
      <c r="BM393">
        <f t="shared" si="310"/>
        <v>-55.564905951243027</v>
      </c>
      <c r="BN393">
        <f t="shared" ref="BN393:BN456" si="350">(H393+D393)*180/Pi</f>
        <v>-104.97847967646672</v>
      </c>
      <c r="BQ393" s="66">
        <f t="shared" si="311"/>
        <v>21.953616848943138</v>
      </c>
      <c r="BR393" s="71"/>
      <c r="BS393" s="71"/>
      <c r="BT393" s="71">
        <v>676082.97499999998</v>
      </c>
      <c r="BU393" s="71">
        <v>9.5117999999999991</v>
      </c>
      <c r="BV393" s="71">
        <v>110.592</v>
      </c>
      <c r="BY393" s="71"/>
      <c r="BZ393" s="71"/>
      <c r="CA393" s="71"/>
      <c r="CC393" s="71"/>
    </row>
    <row r="394" spans="1:81" x14ac:dyDescent="0.15">
      <c r="A394">
        <f t="shared" si="319"/>
        <v>900000</v>
      </c>
      <c r="B394">
        <f t="shared" ref="B394:B457" si="351">A394/1000</f>
        <v>900</v>
      </c>
      <c r="C394">
        <f t="shared" si="320"/>
        <v>3.8638590711900616</v>
      </c>
      <c r="D394">
        <f t="shared" si="321"/>
        <v>1.3090077409742333</v>
      </c>
      <c r="F394">
        <f t="shared" si="322"/>
        <v>2.8579830684387377E-5</v>
      </c>
      <c r="G394">
        <f t="shared" si="323"/>
        <v>1.7510863335483634E-3</v>
      </c>
      <c r="H394">
        <f t="shared" si="324"/>
        <v>-3.1398415636664518</v>
      </c>
      <c r="J394">
        <f t="shared" si="325"/>
        <v>15</v>
      </c>
      <c r="M394">
        <f t="shared" si="326"/>
        <v>1.0589151249085587E-3</v>
      </c>
      <c r="N394">
        <f t="shared" si="327"/>
        <v>-1.5707963250000001</v>
      </c>
      <c r="O394">
        <f t="shared" si="328"/>
        <v>382.55304400102312</v>
      </c>
      <c r="P394">
        <f t="shared" si="329"/>
        <v>1.5681823072372638</v>
      </c>
      <c r="Q394">
        <f t="shared" si="330"/>
        <v>173.14359856435536</v>
      </c>
      <c r="R394">
        <f t="shared" si="331"/>
        <v>1.5650207418591735</v>
      </c>
      <c r="S394">
        <f t="shared" si="332"/>
        <v>0.2751056969692286</v>
      </c>
      <c r="T394">
        <f t="shared" si="333"/>
        <v>-1.292096687052309</v>
      </c>
      <c r="U394">
        <f t="shared" si="334"/>
        <v>0.14399754552834085</v>
      </c>
      <c r="V394">
        <f t="shared" si="335"/>
        <v>-1.4262964411752754</v>
      </c>
      <c r="X394">
        <f t="shared" ref="X394:X457" si="352">20*LOG(C394*J394*O394*Q394*F394*M394*S394*U394)</f>
        <v>-46.740277700722004</v>
      </c>
      <c r="Y394">
        <f t="shared" si="336"/>
        <v>-171.13219335683308</v>
      </c>
      <c r="Z394">
        <f t="shared" ref="Z394:Z457" si="353">Y394+180</f>
        <v>8.8678066431669151</v>
      </c>
      <c r="AC394">
        <v>1</v>
      </c>
      <c r="AD394">
        <f t="shared" si="337"/>
        <v>382.55173699050005</v>
      </c>
      <c r="AE394">
        <f t="shared" si="338"/>
        <v>-0.32449186579700379</v>
      </c>
      <c r="AF394">
        <f t="shared" si="339"/>
        <v>4.72181375295E-2</v>
      </c>
      <c r="AG394">
        <f t="shared" si="315"/>
        <v>164.97528274877772</v>
      </c>
      <c r="AH394">
        <f t="shared" si="316"/>
        <v>-1154.9192781157242</v>
      </c>
      <c r="AJ394">
        <f t="shared" si="340"/>
        <v>20000</v>
      </c>
      <c r="AK394">
        <f t="shared" si="341"/>
        <v>69894.153277200006</v>
      </c>
      <c r="AL394">
        <v>1</v>
      </c>
      <c r="AM394">
        <f t="shared" si="342"/>
        <v>173.14071076386</v>
      </c>
      <c r="AN394">
        <f t="shared" si="317"/>
        <v>404.33778190175269</v>
      </c>
      <c r="AO394">
        <f t="shared" si="318"/>
        <v>-113.17766995206588</v>
      </c>
      <c r="AQ394">
        <f t="shared" si="343"/>
        <v>3.0864188004880245E-3</v>
      </c>
      <c r="AR394">
        <f t="shared" si="344"/>
        <v>-5.5555538408784439</v>
      </c>
      <c r="AT394">
        <f t="shared" si="313"/>
        <v>-6415.70704862608</v>
      </c>
      <c r="AU394">
        <f t="shared" si="314"/>
        <v>-920.0936302980017</v>
      </c>
      <c r="AV394">
        <f t="shared" ref="AV394:AV457" si="354">ATAN2(AT394,AU394)</f>
        <v>-2.9991512320294049</v>
      </c>
      <c r="AW394">
        <f t="shared" ref="AW394:AW457" si="355">AG394-AH394*AO394/_Rfb2+AG394*AN394/_Rfb2+AN394-AO394*AR394+AQ394*AN394</f>
        <v>-75.005018529991574</v>
      </c>
      <c r="AX394">
        <f t="shared" ref="AX394:AX457" si="356">AH394+AH394*AN394/_Rfb2+AG394*AO394/_Rfb2+AO394+AO394*AQ394+AN394*AR394</f>
        <v>-3642.249446051323</v>
      </c>
      <c r="AY394">
        <f t="shared" si="312"/>
        <v>-1.5913864647817211</v>
      </c>
      <c r="BA394">
        <f t="shared" si="345"/>
        <v>1.7791131667991082</v>
      </c>
      <c r="BB394">
        <f t="shared" ref="BB394:BB457" si="357">20*LOG(BA394)</f>
        <v>5.0040714760488978</v>
      </c>
      <c r="BC394">
        <f t="shared" ref="BC394:BC457" si="358">AV394-AY394</f>
        <v>-1.4077647672476838</v>
      </c>
      <c r="BD394">
        <f t="shared" si="346"/>
        <v>-260.65897980267528</v>
      </c>
      <c r="BF394">
        <f t="shared" si="347"/>
        <v>-50.61248475636625</v>
      </c>
      <c r="BG394">
        <f t="shared" si="348"/>
        <v>-185.55803095260691</v>
      </c>
      <c r="BH394">
        <f t="shared" ref="BH394:BH457" si="359">IF(BG394&gt;180,BG394-180,BG394+180)</f>
        <v>-5.5580309526069129</v>
      </c>
      <c r="BI394">
        <f t="shared" ref="BI394:BI457" si="360">IF(BH394&gt;180,BH394-360,BH394)</f>
        <v>-5.5580309526069129</v>
      </c>
      <c r="BJ394">
        <f t="shared" si="349"/>
        <v>0</v>
      </c>
      <c r="BK394">
        <f t="shared" ref="BK394:BK457" si="361">IF(BJ394&gt;0,BI394,0)</f>
        <v>0</v>
      </c>
      <c r="BM394">
        <f t="shared" ref="BM394:BM457" si="362">20*LOG(J394*F394*C394)</f>
        <v>-55.616556232415149</v>
      </c>
      <c r="BN394">
        <f t="shared" si="350"/>
        <v>-104.89905114993165</v>
      </c>
      <c r="BQ394" s="66">
        <f t="shared" ref="BQ394:BQ457" si="363">20*LOG(BA394*7)</f>
        <v>21.906032276334034</v>
      </c>
      <c r="BR394" s="71"/>
      <c r="BS394" s="71"/>
      <c r="BT394" s="71">
        <v>691830.97100000002</v>
      </c>
      <c r="BU394" s="71">
        <v>9.28308</v>
      </c>
      <c r="BV394" s="71">
        <v>111.01300000000001</v>
      </c>
      <c r="BY394" s="71"/>
      <c r="BZ394" s="71"/>
      <c r="CA394" s="71"/>
      <c r="CC394" s="71"/>
    </row>
    <row r="395" spans="1:81" x14ac:dyDescent="0.15">
      <c r="A395">
        <f t="shared" si="319"/>
        <v>905000</v>
      </c>
      <c r="B395">
        <f t="shared" si="351"/>
        <v>905</v>
      </c>
      <c r="C395">
        <f t="shared" si="320"/>
        <v>3.8838908365203668</v>
      </c>
      <c r="D395">
        <f t="shared" si="321"/>
        <v>1.3103894151910007</v>
      </c>
      <c r="F395">
        <f t="shared" si="322"/>
        <v>2.8264895254756185E-5</v>
      </c>
      <c r="G395">
        <f t="shared" si="323"/>
        <v>1.7414112856640707E-3</v>
      </c>
      <c r="H395">
        <f t="shared" si="324"/>
        <v>-3.139851238714336</v>
      </c>
      <c r="J395">
        <f t="shared" si="325"/>
        <v>15</v>
      </c>
      <c r="M395">
        <f t="shared" si="326"/>
        <v>1.0530647651024339E-3</v>
      </c>
      <c r="N395">
        <f t="shared" si="327"/>
        <v>-1.5707963250000001</v>
      </c>
      <c r="O395">
        <f t="shared" si="328"/>
        <v>384.67832420771992</v>
      </c>
      <c r="P395">
        <f t="shared" si="329"/>
        <v>1.5681967492690221</v>
      </c>
      <c r="Q395">
        <f t="shared" si="330"/>
        <v>174.10547544749738</v>
      </c>
      <c r="R395">
        <f t="shared" si="331"/>
        <v>1.5650526504644777</v>
      </c>
      <c r="S395">
        <f t="shared" si="332"/>
        <v>0.27369992824337852</v>
      </c>
      <c r="T395">
        <f t="shared" si="333"/>
        <v>-1.2935585705697308</v>
      </c>
      <c r="U395">
        <f t="shared" si="334"/>
        <v>0.1432183416301549</v>
      </c>
      <c r="V395">
        <f t="shared" si="335"/>
        <v>-1.427083806403848</v>
      </c>
      <c r="X395">
        <f t="shared" si="352"/>
        <v>-46.83511589857325</v>
      </c>
      <c r="Y395">
        <f t="shared" si="336"/>
        <v>-171.1798003593542</v>
      </c>
      <c r="Z395">
        <f t="shared" si="353"/>
        <v>8.8201996406457965</v>
      </c>
      <c r="AC395">
        <v>1</v>
      </c>
      <c r="AD395">
        <f t="shared" si="337"/>
        <v>384.67702441822507</v>
      </c>
      <c r="AE395">
        <f t="shared" si="338"/>
        <v>-0.32810734615356918</v>
      </c>
      <c r="AF395">
        <f t="shared" si="339"/>
        <v>4.7480460515775001E-2</v>
      </c>
      <c r="AG395">
        <f t="shared" si="315"/>
        <v>163.19467492265082</v>
      </c>
      <c r="AH395">
        <f t="shared" si="316"/>
        <v>-1148.796180633992</v>
      </c>
      <c r="AJ395">
        <f t="shared" si="340"/>
        <v>20000</v>
      </c>
      <c r="AK395">
        <f t="shared" si="341"/>
        <v>70282.454128740006</v>
      </c>
      <c r="AL395">
        <v>1</v>
      </c>
      <c r="AM395">
        <f t="shared" si="342"/>
        <v>174.10260360143698</v>
      </c>
      <c r="AN395">
        <f t="shared" si="317"/>
        <v>404.3305791693943</v>
      </c>
      <c r="AO395">
        <f t="shared" si="318"/>
        <v>-112.55242032847389</v>
      </c>
      <c r="AQ395">
        <f t="shared" si="343"/>
        <v>3.0524089458780421E-3</v>
      </c>
      <c r="AR395">
        <f t="shared" si="344"/>
        <v>-5.5248601920392568</v>
      </c>
      <c r="AT395">
        <f t="shared" si="313"/>
        <v>-6346.4401502658284</v>
      </c>
      <c r="AU395">
        <f t="shared" si="314"/>
        <v>-905.13435877169843</v>
      </c>
      <c r="AV395">
        <f t="shared" si="354"/>
        <v>-2.9999272245929873</v>
      </c>
      <c r="AW395">
        <f t="shared" si="355"/>
        <v>-69.697188427438348</v>
      </c>
      <c r="AX395">
        <f t="shared" si="356"/>
        <v>-3622.3131906908511</v>
      </c>
      <c r="AY395">
        <f t="shared" ref="AY395:AY458" si="364">ATAN2(AW395,AX395)</f>
        <v>-1.5900350247202146</v>
      </c>
      <c r="BA395">
        <f t="shared" si="345"/>
        <v>1.7694423513758455</v>
      </c>
      <c r="BB395">
        <f t="shared" si="357"/>
        <v>4.9567283568518459</v>
      </c>
      <c r="BC395">
        <f t="shared" si="358"/>
        <v>-1.4098921998727727</v>
      </c>
      <c r="BD395">
        <f t="shared" si="346"/>
        <v>-260.7808727134306</v>
      </c>
      <c r="BF395">
        <f t="shared" si="347"/>
        <v>-50.71115855841299</v>
      </c>
      <c r="BG395">
        <f t="shared" si="348"/>
        <v>-185.60131410139991</v>
      </c>
      <c r="BH395">
        <f t="shared" si="359"/>
        <v>-5.6013141013999075</v>
      </c>
      <c r="BI395">
        <f t="shared" si="360"/>
        <v>-5.6013141013999075</v>
      </c>
      <c r="BJ395">
        <f t="shared" si="349"/>
        <v>0</v>
      </c>
      <c r="BK395">
        <f t="shared" si="361"/>
        <v>0</v>
      </c>
      <c r="BM395">
        <f t="shared" si="362"/>
        <v>-55.667886915264837</v>
      </c>
      <c r="BN395">
        <f t="shared" si="350"/>
        <v>-104.82044138796935</v>
      </c>
      <c r="BQ395" s="66">
        <f t="shared" si="363"/>
        <v>21.858689157136983</v>
      </c>
      <c r="BR395" s="71"/>
      <c r="BS395" s="71"/>
      <c r="BT395" s="71">
        <v>707945.78399999999</v>
      </c>
      <c r="BU395" s="71">
        <v>9.1002899999999993</v>
      </c>
      <c r="BV395" s="71">
        <v>109.21</v>
      </c>
      <c r="BY395" s="71"/>
      <c r="BZ395" s="71"/>
      <c r="CA395" s="71"/>
      <c r="CC395" s="71"/>
    </row>
    <row r="396" spans="1:81" x14ac:dyDescent="0.15">
      <c r="A396">
        <f t="shared" si="319"/>
        <v>910000</v>
      </c>
      <c r="B396">
        <f t="shared" si="351"/>
        <v>910</v>
      </c>
      <c r="C396">
        <f t="shared" si="320"/>
        <v>3.9039299401922518</v>
      </c>
      <c r="D396">
        <f t="shared" si="321"/>
        <v>1.3117569075648348</v>
      </c>
      <c r="F396">
        <f t="shared" si="322"/>
        <v>2.7955136979920417E-5</v>
      </c>
      <c r="G396">
        <f t="shared" si="323"/>
        <v>1.7318425657787437E-3</v>
      </c>
      <c r="H396">
        <f t="shared" si="324"/>
        <v>-3.1398608074342214</v>
      </c>
      <c r="J396">
        <f t="shared" si="325"/>
        <v>15</v>
      </c>
      <c r="M396">
        <f t="shared" si="326"/>
        <v>1.0472786949645085E-3</v>
      </c>
      <c r="N396">
        <f t="shared" si="327"/>
        <v>-1.5707963250000001</v>
      </c>
      <c r="O396">
        <f t="shared" si="328"/>
        <v>386.80360449376838</v>
      </c>
      <c r="P396">
        <f t="shared" si="329"/>
        <v>1.5682110325982013</v>
      </c>
      <c r="Q396">
        <f t="shared" si="330"/>
        <v>175.06735250595855</v>
      </c>
      <c r="R396">
        <f t="shared" si="331"/>
        <v>1.5650842084372718</v>
      </c>
      <c r="S396">
        <f t="shared" si="332"/>
        <v>0.27230788011198781</v>
      </c>
      <c r="T396">
        <f t="shared" si="333"/>
        <v>-1.2950055867642918</v>
      </c>
      <c r="U396">
        <f t="shared" si="334"/>
        <v>0.14244743836020271</v>
      </c>
      <c r="V396">
        <f t="shared" si="335"/>
        <v>-1.4278626957884162</v>
      </c>
      <c r="X396">
        <f t="shared" si="352"/>
        <v>-46.929446058058907</v>
      </c>
      <c r="Y396">
        <f t="shared" si="336"/>
        <v>-171.22690554728402</v>
      </c>
      <c r="Z396">
        <f t="shared" si="353"/>
        <v>8.7730944527159807</v>
      </c>
      <c r="AC396">
        <v>1</v>
      </c>
      <c r="AD396">
        <f t="shared" si="337"/>
        <v>386.80231184595004</v>
      </c>
      <c r="AE396">
        <f t="shared" si="338"/>
        <v>-0.33174285687222077</v>
      </c>
      <c r="AF396">
        <f t="shared" si="339"/>
        <v>4.7742783502050003E-2</v>
      </c>
      <c r="AG396">
        <f t="shared" si="315"/>
        <v>161.44254297121066</v>
      </c>
      <c r="AH396">
        <f t="shared" si="316"/>
        <v>-1142.7362718313873</v>
      </c>
      <c r="AJ396">
        <f t="shared" si="340"/>
        <v>20000</v>
      </c>
      <c r="AK396">
        <f t="shared" si="341"/>
        <v>70670.754980280006</v>
      </c>
      <c r="AL396">
        <v>1</v>
      </c>
      <c r="AM396">
        <f t="shared" si="342"/>
        <v>175.06449643901399</v>
      </c>
      <c r="AN396">
        <f t="shared" si="317"/>
        <v>404.32349483175562</v>
      </c>
      <c r="AO396">
        <f t="shared" si="318"/>
        <v>-111.93404090357438</v>
      </c>
      <c r="AQ396">
        <f t="shared" si="343"/>
        <v>3.0189581515039999E-3</v>
      </c>
      <c r="AR396">
        <f t="shared" si="344"/>
        <v>-5.4945038357372793</v>
      </c>
      <c r="AT396">
        <f t="shared" si="313"/>
        <v>-6278.2814405325735</v>
      </c>
      <c r="AU396">
        <f t="shared" si="314"/>
        <v>-890.4965445893622</v>
      </c>
      <c r="AV396">
        <f t="shared" si="354"/>
        <v>-3.0006948662858495</v>
      </c>
      <c r="AW396">
        <f t="shared" si="355"/>
        <v>-64.477313374418088</v>
      </c>
      <c r="AX396">
        <f t="shared" si="356"/>
        <v>-3602.5930654698905</v>
      </c>
      <c r="AY396">
        <f t="shared" si="364"/>
        <v>-1.5886918895402797</v>
      </c>
      <c r="BA396">
        <f t="shared" si="345"/>
        <v>1.759872531936568</v>
      </c>
      <c r="BB396">
        <f t="shared" si="357"/>
        <v>4.9096242576313909</v>
      </c>
      <c r="BC396">
        <f t="shared" si="358"/>
        <v>-1.4120029767455697</v>
      </c>
      <c r="BD396">
        <f t="shared" si="346"/>
        <v>-260.90181131987384</v>
      </c>
      <c r="BF396">
        <f t="shared" si="347"/>
        <v>-50.809277763894592</v>
      </c>
      <c r="BG396">
        <f t="shared" si="348"/>
        <v>-185.64444941348208</v>
      </c>
      <c r="BH396">
        <f t="shared" si="359"/>
        <v>-5.6444494134820786</v>
      </c>
      <c r="BI396">
        <f t="shared" si="360"/>
        <v>-5.6444494134820786</v>
      </c>
      <c r="BJ396">
        <f t="shared" si="349"/>
        <v>0</v>
      </c>
      <c r="BK396">
        <f t="shared" si="361"/>
        <v>0</v>
      </c>
      <c r="BM396">
        <f t="shared" si="362"/>
        <v>-55.718902021525984</v>
      </c>
      <c r="BN396">
        <f t="shared" si="350"/>
        <v>-104.74263809360822</v>
      </c>
      <c r="BQ396" s="66">
        <f t="shared" si="363"/>
        <v>21.811585057916531</v>
      </c>
      <c r="BR396" s="71"/>
      <c r="BS396" s="71"/>
      <c r="BT396" s="71">
        <v>724435.96</v>
      </c>
      <c r="BU396" s="71">
        <v>8.7908299999999997</v>
      </c>
      <c r="BV396" s="71">
        <v>107.553</v>
      </c>
      <c r="BY396" s="71"/>
      <c r="BZ396" s="71"/>
      <c r="CA396" s="71"/>
      <c r="CC396" s="71"/>
    </row>
    <row r="397" spans="1:81" x14ac:dyDescent="0.15">
      <c r="A397">
        <f t="shared" si="319"/>
        <v>915000</v>
      </c>
      <c r="B397">
        <f t="shared" si="351"/>
        <v>915</v>
      </c>
      <c r="C397">
        <f t="shared" si="320"/>
        <v>3.923976269778596</v>
      </c>
      <c r="D397">
        <f t="shared" si="321"/>
        <v>1.3131104302930439</v>
      </c>
      <c r="F397">
        <f t="shared" si="322"/>
        <v>2.7650443002747192E-5</v>
      </c>
      <c r="G397">
        <f t="shared" si="323"/>
        <v>1.7223784306198346E-3</v>
      </c>
      <c r="H397">
        <f t="shared" si="324"/>
        <v>-3.1398702715693805</v>
      </c>
      <c r="J397">
        <f t="shared" si="325"/>
        <v>15</v>
      </c>
      <c r="M397">
        <f t="shared" si="326"/>
        <v>1.0415558605657953E-3</v>
      </c>
      <c r="N397">
        <f t="shared" si="327"/>
        <v>-1.5707963250000001</v>
      </c>
      <c r="O397">
        <f t="shared" si="328"/>
        <v>388.92888485786744</v>
      </c>
      <c r="P397">
        <f t="shared" si="329"/>
        <v>1.56822515982646</v>
      </c>
      <c r="Q397">
        <f t="shared" si="330"/>
        <v>176.02922973686489</v>
      </c>
      <c r="R397">
        <f t="shared" si="331"/>
        <v>1.5651154215253804</v>
      </c>
      <c r="S397">
        <f t="shared" si="332"/>
        <v>0.27092936164148995</v>
      </c>
      <c r="T397">
        <f t="shared" si="333"/>
        <v>-1.296437955320753</v>
      </c>
      <c r="U397">
        <f t="shared" si="334"/>
        <v>0.14168470518029427</v>
      </c>
      <c r="V397">
        <f t="shared" si="335"/>
        <v>-1.4286332445276824</v>
      </c>
      <c r="X397">
        <f t="shared" si="352"/>
        <v>-47.023273527576492</v>
      </c>
      <c r="Y397">
        <f t="shared" si="336"/>
        <v>-171.27351671742917</v>
      </c>
      <c r="Z397">
        <f t="shared" si="353"/>
        <v>8.7264832825708254</v>
      </c>
      <c r="AC397">
        <v>1</v>
      </c>
      <c r="AD397">
        <f t="shared" si="337"/>
        <v>388.92759927367507</v>
      </c>
      <c r="AE397">
        <f t="shared" si="338"/>
        <v>-0.33539839795295867</v>
      </c>
      <c r="AF397">
        <f t="shared" si="339"/>
        <v>4.8005106488325004E-2</v>
      </c>
      <c r="AG397">
        <f t="shared" si="315"/>
        <v>159.71828711665233</v>
      </c>
      <c r="AH397">
        <f t="shared" si="316"/>
        <v>-1136.7386016732883</v>
      </c>
      <c r="AJ397">
        <f t="shared" si="340"/>
        <v>20000</v>
      </c>
      <c r="AK397">
        <f t="shared" si="341"/>
        <v>71059.055831820006</v>
      </c>
      <c r="AL397">
        <v>1</v>
      </c>
      <c r="AM397">
        <f t="shared" si="342"/>
        <v>176.026389276591</v>
      </c>
      <c r="AN397">
        <f t="shared" si="317"/>
        <v>404.31652630819752</v>
      </c>
      <c r="AO397">
        <f t="shared" si="318"/>
        <v>-111.32241906581984</v>
      </c>
      <c r="AQ397">
        <f t="shared" si="343"/>
        <v>2.9860542309253094E-3</v>
      </c>
      <c r="AR397">
        <f t="shared" si="344"/>
        <v>-5.4644792425933169</v>
      </c>
      <c r="AT397">
        <f t="shared" si="313"/>
        <v>-6211.2075656312354</v>
      </c>
      <c r="AU397">
        <f t="shared" si="314"/>
        <v>-876.17162772248889</v>
      </c>
      <c r="AV397">
        <f t="shared" si="354"/>
        <v>-3.0014542902579748</v>
      </c>
      <c r="AW397">
        <f t="shared" si="355"/>
        <v>-59.343457558159315</v>
      </c>
      <c r="AX397">
        <f t="shared" si="356"/>
        <v>-3583.0855885385986</v>
      </c>
      <c r="AY397">
        <f t="shared" si="364"/>
        <v>-1.5873569226683841</v>
      </c>
      <c r="BA397">
        <f t="shared" si="345"/>
        <v>1.7504021534891905</v>
      </c>
      <c r="BB397">
        <f t="shared" si="357"/>
        <v>4.8627567791715904</v>
      </c>
      <c r="BC397">
        <f t="shared" si="358"/>
        <v>-1.4140973675895907</v>
      </c>
      <c r="BD397">
        <f t="shared" si="346"/>
        <v>-261.02181107602422</v>
      </c>
      <c r="BF397">
        <f t="shared" si="347"/>
        <v>-50.906848717980822</v>
      </c>
      <c r="BG397">
        <f t="shared" si="348"/>
        <v>-185.68744028474438</v>
      </c>
      <c r="BH397">
        <f t="shared" si="359"/>
        <v>-5.6874402847443832</v>
      </c>
      <c r="BI397">
        <f t="shared" si="360"/>
        <v>-5.6874402847443832</v>
      </c>
      <c r="BJ397">
        <f t="shared" si="349"/>
        <v>0</v>
      </c>
      <c r="BK397">
        <f t="shared" si="361"/>
        <v>0</v>
      </c>
      <c r="BM397">
        <f t="shared" si="362"/>
        <v>-55.769605497152412</v>
      </c>
      <c r="BN397">
        <f t="shared" si="350"/>
        <v>-104.66562920872016</v>
      </c>
      <c r="BQ397" s="66">
        <f t="shared" si="363"/>
        <v>21.764717579456729</v>
      </c>
      <c r="BR397" s="71"/>
      <c r="BS397" s="71"/>
      <c r="BT397" s="71">
        <v>741310.24100000004</v>
      </c>
      <c r="BU397" s="71">
        <v>8.6150300000000009</v>
      </c>
      <c r="BV397" s="71">
        <v>107.324</v>
      </c>
      <c r="BY397" s="71"/>
      <c r="BZ397" s="71"/>
      <c r="CA397" s="71"/>
      <c r="CC397" s="71"/>
    </row>
    <row r="398" spans="1:81" x14ac:dyDescent="0.15">
      <c r="A398">
        <f t="shared" si="319"/>
        <v>920000</v>
      </c>
      <c r="B398">
        <f t="shared" si="351"/>
        <v>920</v>
      </c>
      <c r="C398">
        <f t="shared" si="320"/>
        <v>3.94402971509788</v>
      </c>
      <c r="D398">
        <f t="shared" si="321"/>
        <v>1.3144501914643445</v>
      </c>
      <c r="F398">
        <f t="shared" si="322"/>
        <v>2.7350703524679333E-5</v>
      </c>
      <c r="G398">
        <f t="shared" si="323"/>
        <v>1.7130171748171619E-3</v>
      </c>
      <c r="H398">
        <f t="shared" si="324"/>
        <v>-3.139879632825183</v>
      </c>
      <c r="J398">
        <f t="shared" si="325"/>
        <v>15</v>
      </c>
      <c r="M398">
        <f t="shared" si="326"/>
        <v>1.0358952308888074E-3</v>
      </c>
      <c r="N398">
        <f t="shared" si="327"/>
        <v>-1.5707963250000001</v>
      </c>
      <c r="O398">
        <f t="shared" si="328"/>
        <v>391.05416529874481</v>
      </c>
      <c r="P398">
        <f t="shared" si="329"/>
        <v>1.5682391334988994</v>
      </c>
      <c r="Q398">
        <f t="shared" si="330"/>
        <v>176.99110713740487</v>
      </c>
      <c r="R398">
        <f t="shared" si="331"/>
        <v>1.5651462953516819</v>
      </c>
      <c r="S398">
        <f t="shared" si="332"/>
        <v>0.26956418523418757</v>
      </c>
      <c r="T398">
        <f t="shared" si="333"/>
        <v>-1.2978558917391614</v>
      </c>
      <c r="U398">
        <f t="shared" si="334"/>
        <v>0.1409300142452625</v>
      </c>
      <c r="V398">
        <f t="shared" si="335"/>
        <v>-1.4293955849798787</v>
      </c>
      <c r="X398">
        <f t="shared" si="352"/>
        <v>-47.116603572410142</v>
      </c>
      <c r="Y398">
        <f t="shared" si="336"/>
        <v>-171.31964150771535</v>
      </c>
      <c r="Z398">
        <f t="shared" si="353"/>
        <v>8.6803584922846539</v>
      </c>
      <c r="AC398">
        <v>1</v>
      </c>
      <c r="AD398">
        <f t="shared" si="337"/>
        <v>391.05288670140004</v>
      </c>
      <c r="AE398">
        <f t="shared" si="338"/>
        <v>-0.33907396939578277</v>
      </c>
      <c r="AF398">
        <f t="shared" si="339"/>
        <v>4.8267429474600006E-2</v>
      </c>
      <c r="AG398">
        <f t="shared" si="315"/>
        <v>158.0213231784889</v>
      </c>
      <c r="AH398">
        <f t="shared" si="316"/>
        <v>-1130.8022385577092</v>
      </c>
      <c r="AJ398">
        <f t="shared" si="340"/>
        <v>20000</v>
      </c>
      <c r="AK398">
        <f t="shared" si="341"/>
        <v>71447.356683359991</v>
      </c>
      <c r="AL398">
        <v>1</v>
      </c>
      <c r="AM398">
        <f t="shared" si="342"/>
        <v>176.98828211416799</v>
      </c>
      <c r="AN398">
        <f t="shared" si="317"/>
        <v>404.30967108801087</v>
      </c>
      <c r="AO398">
        <f t="shared" si="318"/>
        <v>-110.71744465134478</v>
      </c>
      <c r="AQ398">
        <f t="shared" si="343"/>
        <v>2.9536853279521127E-3</v>
      </c>
      <c r="AR398">
        <f t="shared" si="344"/>
        <v>-5.4347810034318869</v>
      </c>
      <c r="AT398">
        <f t="shared" si="313"/>
        <v>-6145.1957794879145</v>
      </c>
      <c r="AU398">
        <f t="shared" si="314"/>
        <v>-862.15131932846566</v>
      </c>
      <c r="AV398">
        <f t="shared" si="354"/>
        <v>-3.0022056268634119</v>
      </c>
      <c r="AW398">
        <f t="shared" si="355"/>
        <v>-54.293738207943363</v>
      </c>
      <c r="AX398">
        <f t="shared" si="356"/>
        <v>-3563.7873521716801</v>
      </c>
      <c r="AY398">
        <f t="shared" si="364"/>
        <v>-1.5860299905617876</v>
      </c>
      <c r="BA398">
        <f t="shared" si="345"/>
        <v>1.741029692145599</v>
      </c>
      <c r="BB398">
        <f t="shared" si="357"/>
        <v>4.8161235558909059</v>
      </c>
      <c r="BC398">
        <f t="shared" si="358"/>
        <v>-1.4161756363016242</v>
      </c>
      <c r="BD398">
        <f t="shared" si="346"/>
        <v>-261.14088710205391</v>
      </c>
      <c r="BF398">
        <f t="shared" si="347"/>
        <v>-51.003877658305086</v>
      </c>
      <c r="BG398">
        <f t="shared" si="348"/>
        <v>-185.73029001046436</v>
      </c>
      <c r="BH398">
        <f t="shared" si="359"/>
        <v>-5.7302900104643584</v>
      </c>
      <c r="BI398">
        <f t="shared" si="360"/>
        <v>-5.7302900104643584</v>
      </c>
      <c r="BJ398">
        <f t="shared" si="349"/>
        <v>0</v>
      </c>
      <c r="BK398">
        <f t="shared" si="361"/>
        <v>0</v>
      </c>
      <c r="BM398">
        <f t="shared" si="362"/>
        <v>-55.820001214195997</v>
      </c>
      <c r="BN398">
        <f t="shared" si="350"/>
        <v>-104.58940290841046</v>
      </c>
      <c r="BQ398" s="66">
        <f t="shared" si="363"/>
        <v>21.718084356176043</v>
      </c>
      <c r="BR398" s="71"/>
      <c r="BS398" s="71"/>
      <c r="BT398" s="71">
        <v>758577.57499999995</v>
      </c>
      <c r="BU398" s="71">
        <v>8.3056699999999992</v>
      </c>
      <c r="BV398" s="71">
        <v>105.50700000000001</v>
      </c>
      <c r="BY398" s="71"/>
      <c r="BZ398" s="71"/>
      <c r="CA398" s="71"/>
      <c r="CC398" s="71"/>
    </row>
    <row r="399" spans="1:81" x14ac:dyDescent="0.15">
      <c r="A399">
        <f t="shared" si="319"/>
        <v>925000</v>
      </c>
      <c r="B399">
        <f t="shared" si="351"/>
        <v>925</v>
      </c>
      <c r="C399">
        <f t="shared" si="320"/>
        <v>3.964090168159403</v>
      </c>
      <c r="D399">
        <f t="shared" si="321"/>
        <v>1.3157763951551467</v>
      </c>
      <c r="F399">
        <f t="shared" si="322"/>
        <v>2.7055811706801381E-5</v>
      </c>
      <c r="G399">
        <f t="shared" si="323"/>
        <v>1.703757129878357E-3</v>
      </c>
      <c r="H399">
        <f t="shared" si="324"/>
        <v>-3.1398888928701219</v>
      </c>
      <c r="J399">
        <f t="shared" si="325"/>
        <v>15</v>
      </c>
      <c r="M399">
        <f t="shared" si="326"/>
        <v>1.0302957972083274E-3</v>
      </c>
      <c r="N399">
        <f t="shared" si="327"/>
        <v>-1.5707963250000001</v>
      </c>
      <c r="O399">
        <f t="shared" si="328"/>
        <v>393.17944581515519</v>
      </c>
      <c r="P399">
        <f t="shared" si="329"/>
        <v>1.5682529561055922</v>
      </c>
      <c r="Q399">
        <f t="shared" si="330"/>
        <v>177.95298470482777</v>
      </c>
      <c r="R399">
        <f t="shared" si="331"/>
        <v>1.565176835417486</v>
      </c>
      <c r="S399">
        <f t="shared" si="332"/>
        <v>0.2682121665608998</v>
      </c>
      <c r="T399">
        <f t="shared" si="333"/>
        <v>-1.2992596074308802</v>
      </c>
      <c r="U399">
        <f t="shared" si="334"/>
        <v>0.14018324033467303</v>
      </c>
      <c r="V399">
        <f t="shared" si="335"/>
        <v>-1.4301498467364522</v>
      </c>
      <c r="X399">
        <f t="shared" si="352"/>
        <v>-47.209441376427854</v>
      </c>
      <c r="Y399">
        <f t="shared" si="336"/>
        <v>-171.36528740117251</v>
      </c>
      <c r="Z399">
        <f t="shared" si="353"/>
        <v>8.6347125988274911</v>
      </c>
      <c r="AC399">
        <v>1</v>
      </c>
      <c r="AD399">
        <f t="shared" si="337"/>
        <v>393.17817412912501</v>
      </c>
      <c r="AE399">
        <f t="shared" si="338"/>
        <v>-0.34276957120069307</v>
      </c>
      <c r="AF399">
        <f t="shared" si="339"/>
        <v>4.8529752460875007E-2</v>
      </c>
      <c r="AG399">
        <f t="shared" si="315"/>
        <v>156.35108209285855</v>
      </c>
      <c r="AH399">
        <f t="shared" si="316"/>
        <v>-1124.9262688851798</v>
      </c>
      <c r="AJ399">
        <f t="shared" si="340"/>
        <v>20000</v>
      </c>
      <c r="AK399">
        <f t="shared" si="341"/>
        <v>71835.657534900005</v>
      </c>
      <c r="AL399">
        <v>1</v>
      </c>
      <c r="AM399">
        <f t="shared" si="342"/>
        <v>177.950174951745</v>
      </c>
      <c r="AN399">
        <f t="shared" si="317"/>
        <v>404.30292672815557</v>
      </c>
      <c r="AO399">
        <f t="shared" si="318"/>
        <v>-110.11900987782472</v>
      </c>
      <c r="AQ399">
        <f t="shared" si="343"/>
        <v>2.9218399059635046E-3</v>
      </c>
      <c r="AR399">
        <f t="shared" si="344"/>
        <v>-5.405403826032483</v>
      </c>
      <c r="AT399">
        <f t="shared" si="313"/>
        <v>-6080.2239250053963</v>
      </c>
      <c r="AU399">
        <f t="shared" si="314"/>
        <v>-848.42759181275176</v>
      </c>
      <c r="AV399">
        <f t="shared" si="354"/>
        <v>-3.0029490037327582</v>
      </c>
      <c r="AW399">
        <f t="shared" si="355"/>
        <v>-49.326323858409133</v>
      </c>
      <c r="AX399">
        <f t="shared" si="356"/>
        <v>-3544.6950208124504</v>
      </c>
      <c r="AY399">
        <f t="shared" si="364"/>
        <v>-1.5847109626252343</v>
      </c>
      <c r="BA399">
        <f t="shared" si="345"/>
        <v>1.7317536543677956</v>
      </c>
      <c r="BB399">
        <f t="shared" si="357"/>
        <v>4.7697222552676841</v>
      </c>
      <c r="BC399">
        <f t="shared" si="358"/>
        <v>-1.4182380411075239</v>
      </c>
      <c r="BD399">
        <f t="shared" si="346"/>
        <v>-261.25905419321447</v>
      </c>
      <c r="BF399">
        <f t="shared" si="347"/>
        <v>-51.1003707173601</v>
      </c>
      <c r="BG399">
        <f t="shared" si="348"/>
        <v>-185.77300178877417</v>
      </c>
      <c r="BH399">
        <f t="shared" si="359"/>
        <v>-5.7730017887741667</v>
      </c>
      <c r="BI399">
        <f t="shared" si="360"/>
        <v>-5.7730017887741667</v>
      </c>
      <c r="BJ399">
        <f t="shared" si="349"/>
        <v>0</v>
      </c>
      <c r="BK399">
        <f t="shared" si="361"/>
        <v>0</v>
      </c>
      <c r="BM399">
        <f t="shared" si="362"/>
        <v>-55.870092972627788</v>
      </c>
      <c r="BN399">
        <f t="shared" si="350"/>
        <v>-104.5139475955597</v>
      </c>
      <c r="BQ399" s="66">
        <f t="shared" si="363"/>
        <v>21.671683055552823</v>
      </c>
      <c r="BR399" s="71"/>
      <c r="BS399" s="71"/>
      <c r="BT399" s="71">
        <v>776247.11699999997</v>
      </c>
      <c r="BU399" s="71">
        <v>7.9999099999999999</v>
      </c>
      <c r="BV399" s="71">
        <v>105.28700000000001</v>
      </c>
      <c r="BY399" s="71"/>
      <c r="BZ399" s="71"/>
      <c r="CA399" s="71"/>
      <c r="CC399" s="71"/>
    </row>
    <row r="400" spans="1:81" x14ac:dyDescent="0.15">
      <c r="A400">
        <f t="shared" si="319"/>
        <v>930000</v>
      </c>
      <c r="B400">
        <f t="shared" si="351"/>
        <v>930</v>
      </c>
      <c r="C400">
        <f t="shared" si="320"/>
        <v>3.984157523110059</v>
      </c>
      <c r="D400">
        <f t="shared" si="321"/>
        <v>1.3170892415232247</v>
      </c>
      <c r="F400">
        <f t="shared" si="322"/>
        <v>2.6765663574619005E-5</v>
      </c>
      <c r="G400">
        <f t="shared" si="323"/>
        <v>1.6945966631973677E-3</v>
      </c>
      <c r="H400">
        <f t="shared" si="324"/>
        <v>-3.1398980533368031</v>
      </c>
      <c r="J400">
        <f t="shared" si="325"/>
        <v>15</v>
      </c>
      <c r="M400">
        <f t="shared" si="326"/>
        <v>1.0247565724921534E-3</v>
      </c>
      <c r="N400">
        <f t="shared" si="327"/>
        <v>-1.5707963250000001</v>
      </c>
      <c r="O400">
        <f t="shared" si="328"/>
        <v>395.3047264058805</v>
      </c>
      <c r="P400">
        <f t="shared" si="329"/>
        <v>1.5682666300830619</v>
      </c>
      <c r="Q400">
        <f t="shared" si="330"/>
        <v>178.91486243644201</v>
      </c>
      <c r="R400">
        <f t="shared" si="331"/>
        <v>1.5652070471057999</v>
      </c>
      <c r="S400">
        <f t="shared" si="332"/>
        <v>0.26687312449505957</v>
      </c>
      <c r="T400">
        <f t="shared" si="333"/>
        <v>-1.3006493098120857</v>
      </c>
      <c r="U400">
        <f t="shared" si="334"/>
        <v>0.13944426078657604</v>
      </c>
      <c r="V400">
        <f t="shared" si="335"/>
        <v>-1.4308961566934832</v>
      </c>
      <c r="X400">
        <f t="shared" si="352"/>
        <v>-47.301792043736114</v>
      </c>
      <c r="Y400">
        <f t="shared" si="336"/>
        <v>-171.41046172980171</v>
      </c>
      <c r="Z400">
        <f t="shared" si="353"/>
        <v>8.5895382701982896</v>
      </c>
      <c r="AC400">
        <v>1</v>
      </c>
      <c r="AD400">
        <f t="shared" si="337"/>
        <v>395.30346155685004</v>
      </c>
      <c r="AE400">
        <f t="shared" si="338"/>
        <v>-0.34648520336768962</v>
      </c>
      <c r="AF400">
        <f t="shared" si="339"/>
        <v>4.8792075447150009E-2</v>
      </c>
      <c r="AG400">
        <f t="shared" si="315"/>
        <v>154.70700944889694</v>
      </c>
      <c r="AH400">
        <f t="shared" si="316"/>
        <v>-1119.1097966400932</v>
      </c>
      <c r="AJ400">
        <f t="shared" si="340"/>
        <v>20000</v>
      </c>
      <c r="AK400">
        <f t="shared" si="341"/>
        <v>72223.958386440005</v>
      </c>
      <c r="AL400">
        <v>1</v>
      </c>
      <c r="AM400">
        <f t="shared" si="342"/>
        <v>178.91206778932198</v>
      </c>
      <c r="AN400">
        <f t="shared" si="317"/>
        <v>404.29629085108348</v>
      </c>
      <c r="AO400">
        <f t="shared" si="318"/>
        <v>-109.52700928046872</v>
      </c>
      <c r="AQ400">
        <f t="shared" si="343"/>
        <v>2.8905067376266799E-3</v>
      </c>
      <c r="AR400">
        <f t="shared" si="344"/>
        <v>-5.3763425319856246</v>
      </c>
      <c r="AT400">
        <f t="shared" si="313"/>
        <v>-6016.2704159847463</v>
      </c>
      <c r="AU400">
        <f t="shared" si="314"/>
        <v>-834.99266930373869</v>
      </c>
      <c r="AV400">
        <f t="shared" si="354"/>
        <v>-3.0036845458434134</v>
      </c>
      <c r="AW400">
        <f t="shared" si="355"/>
        <v>-44.439432678907856</v>
      </c>
      <c r="AX400">
        <f t="shared" si="356"/>
        <v>-3525.8053291783453</v>
      </c>
      <c r="AY400">
        <f t="shared" si="364"/>
        <v>-1.5833997111303713</v>
      </c>
      <c r="BA400">
        <f t="shared" si="345"/>
        <v>1.7225725762351276</v>
      </c>
      <c r="BB400">
        <f t="shared" si="357"/>
        <v>4.7235505772760273</v>
      </c>
      <c r="BC400">
        <f t="shared" si="358"/>
        <v>-1.4202848347130421</v>
      </c>
      <c r="BD400">
        <f t="shared" si="346"/>
        <v>-261.37632682847902</v>
      </c>
      <c r="BF400">
        <f t="shared" si="347"/>
        <v>-51.196333924828117</v>
      </c>
      <c r="BG400">
        <f t="shared" si="348"/>
        <v>-185.81557872399264</v>
      </c>
      <c r="BH400">
        <f t="shared" si="359"/>
        <v>-5.815578723992644</v>
      </c>
      <c r="BI400">
        <f t="shared" si="360"/>
        <v>-5.815578723992644</v>
      </c>
      <c r="BJ400">
        <f t="shared" si="349"/>
        <v>0</v>
      </c>
      <c r="BK400">
        <f t="shared" si="361"/>
        <v>0</v>
      </c>
      <c r="BM400">
        <f t="shared" si="362"/>
        <v>-55.919884502104146</v>
      </c>
      <c r="BN400">
        <f t="shared" si="350"/>
        <v>-104.43925189551359</v>
      </c>
      <c r="BQ400" s="66">
        <f t="shared" si="363"/>
        <v>21.625511377561164</v>
      </c>
      <c r="BR400" s="71"/>
      <c r="BS400" s="71"/>
      <c r="BT400" s="71">
        <v>794328.23499999999</v>
      </c>
      <c r="BU400" s="71">
        <v>7.7399399999999998</v>
      </c>
      <c r="BV400" s="71">
        <v>105.286</v>
      </c>
      <c r="BY400" s="71"/>
      <c r="BZ400" s="71"/>
      <c r="CA400" s="71"/>
      <c r="CC400" s="71"/>
    </row>
    <row r="401" spans="1:81" x14ac:dyDescent="0.15">
      <c r="A401">
        <f t="shared" si="319"/>
        <v>935000</v>
      </c>
      <c r="B401">
        <f t="shared" si="351"/>
        <v>935</v>
      </c>
      <c r="C401">
        <f t="shared" si="320"/>
        <v>4.0042316761826333</v>
      </c>
      <c r="D401">
        <f t="shared" si="321"/>
        <v>1.3183889268988573</v>
      </c>
      <c r="F401">
        <f t="shared" si="322"/>
        <v>2.6480157926393619E-5</v>
      </c>
      <c r="G401">
        <f t="shared" si="323"/>
        <v>1.6855341770947783E-3</v>
      </c>
      <c r="H401">
        <f t="shared" si="324"/>
        <v>-3.1399071158229055</v>
      </c>
      <c r="J401">
        <f t="shared" si="325"/>
        <v>15</v>
      </c>
      <c r="M401">
        <f t="shared" si="326"/>
        <v>1.0192765908210726E-3</v>
      </c>
      <c r="N401">
        <f t="shared" si="327"/>
        <v>-1.5707963250000001</v>
      </c>
      <c r="O401">
        <f t="shared" si="328"/>
        <v>397.43000706972839</v>
      </c>
      <c r="P401">
        <f t="shared" si="329"/>
        <v>1.5682801578157139</v>
      </c>
      <c r="Q401">
        <f t="shared" si="330"/>
        <v>179.87674032961354</v>
      </c>
      <c r="R401">
        <f t="shared" si="331"/>
        <v>1.5652369356844931</v>
      </c>
      <c r="S401">
        <f t="shared" si="332"/>
        <v>0.26554688104823154</v>
      </c>
      <c r="T401">
        <f t="shared" si="333"/>
        <v>-1.3020252023948022</v>
      </c>
      <c r="U401">
        <f t="shared" si="334"/>
        <v>0.13871295543322967</v>
      </c>
      <c r="V401">
        <f t="shared" si="335"/>
        <v>-1.4316346391209214</v>
      </c>
      <c r="X401">
        <f t="shared" si="352"/>
        <v>-47.393660600292861</v>
      </c>
      <c r="Y401">
        <f t="shared" si="336"/>
        <v>-171.45517167832742</v>
      </c>
      <c r="Z401">
        <f t="shared" si="353"/>
        <v>8.5448283216725827</v>
      </c>
      <c r="AC401">
        <v>1</v>
      </c>
      <c r="AD401">
        <f t="shared" si="337"/>
        <v>397.42874898457507</v>
      </c>
      <c r="AE401">
        <f t="shared" si="338"/>
        <v>-0.35022086589677232</v>
      </c>
      <c r="AF401">
        <f t="shared" si="339"/>
        <v>4.9054398433425003E-2</v>
      </c>
      <c r="AG401">
        <f t="shared" si="315"/>
        <v>153.08856504149156</v>
      </c>
      <c r="AH401">
        <f t="shared" si="316"/>
        <v>-1113.3519429831949</v>
      </c>
      <c r="AJ401">
        <f t="shared" si="340"/>
        <v>20000</v>
      </c>
      <c r="AK401">
        <f t="shared" si="341"/>
        <v>72612.259237980004</v>
      </c>
      <c r="AL401">
        <v>1</v>
      </c>
      <c r="AM401">
        <f t="shared" si="342"/>
        <v>179.87396062689899</v>
      </c>
      <c r="AN401">
        <f t="shared" si="317"/>
        <v>404.28976114264248</v>
      </c>
      <c r="AO401">
        <f t="shared" si="318"/>
        <v>-108.94133965006463</v>
      </c>
      <c r="AQ401">
        <f t="shared" si="343"/>
        <v>2.8596748949998871E-3</v>
      </c>
      <c r="AR401">
        <f t="shared" si="344"/>
        <v>-5.3475920536497892</v>
      </c>
      <c r="AT401">
        <f t="shared" si="313"/>
        <v>-5953.3142196863264</v>
      </c>
      <c r="AU401">
        <f t="shared" si="314"/>
        <v>-821.83901852117754</v>
      </c>
      <c r="AV401">
        <f t="shared" si="354"/>
        <v>-3.0044123755876861</v>
      </c>
      <c r="AW401">
        <f t="shared" si="355"/>
        <v>-39.631330866047207</v>
      </c>
      <c r="AX401">
        <f t="shared" si="356"/>
        <v>-3507.1150804256395</v>
      </c>
      <c r="AY401">
        <f t="shared" si="364"/>
        <v>-1.5820961111377925</v>
      </c>
      <c r="BA401">
        <f t="shared" si="345"/>
        <v>1.7134850227319562</v>
      </c>
      <c r="BB401">
        <f t="shared" si="357"/>
        <v>4.6776062538319501</v>
      </c>
      <c r="BC401">
        <f t="shared" si="358"/>
        <v>-1.4223162644498937</v>
      </c>
      <c r="BD401">
        <f t="shared" si="346"/>
        <v>-261.49271917891099</v>
      </c>
      <c r="BF401">
        <f t="shared" si="347"/>
        <v>-51.291773209847875</v>
      </c>
      <c r="BG401">
        <f t="shared" si="348"/>
        <v>-185.85802382982703</v>
      </c>
      <c r="BH401">
        <f t="shared" si="359"/>
        <v>-5.8580238298270331</v>
      </c>
      <c r="BI401">
        <f t="shared" si="360"/>
        <v>-5.8580238298270331</v>
      </c>
      <c r="BJ401">
        <f t="shared" si="349"/>
        <v>0</v>
      </c>
      <c r="BK401">
        <f t="shared" si="361"/>
        <v>0</v>
      </c>
      <c r="BM401">
        <f t="shared" si="362"/>
        <v>-55.969379463679829</v>
      </c>
      <c r="BN401">
        <f t="shared" si="350"/>
        <v>-104.36530465091603</v>
      </c>
      <c r="BQ401" s="66">
        <f t="shared" si="363"/>
        <v>21.579567054117085</v>
      </c>
      <c r="BR401" s="71"/>
      <c r="BS401" s="71"/>
      <c r="BT401" s="71">
        <v>812830.51599999995</v>
      </c>
      <c r="BU401" s="71">
        <v>7.5259600000000004</v>
      </c>
      <c r="BV401" s="71">
        <v>105.187</v>
      </c>
      <c r="BY401" s="71"/>
      <c r="BZ401" s="71"/>
      <c r="CA401" s="71"/>
      <c r="CC401" s="71"/>
    </row>
    <row r="402" spans="1:81" x14ac:dyDescent="0.15">
      <c r="A402">
        <f t="shared" si="319"/>
        <v>940000</v>
      </c>
      <c r="B402">
        <f t="shared" si="351"/>
        <v>940</v>
      </c>
      <c r="C402">
        <f t="shared" si="320"/>
        <v>4.0243125256455583</v>
      </c>
      <c r="D402">
        <f t="shared" si="321"/>
        <v>1.3196756438735098</v>
      </c>
      <c r="F402">
        <f t="shared" si="322"/>
        <v>2.6199196244881102E-5</v>
      </c>
      <c r="G402">
        <f t="shared" si="323"/>
        <v>1.6765681078887657E-3</v>
      </c>
      <c r="H402">
        <f t="shared" si="324"/>
        <v>-3.1399160818921112</v>
      </c>
      <c r="J402">
        <f t="shared" si="325"/>
        <v>15</v>
      </c>
      <c r="M402">
        <f t="shared" si="326"/>
        <v>1.0138549068273433E-3</v>
      </c>
      <c r="N402">
        <f t="shared" si="327"/>
        <v>-1.5707963250000001</v>
      </c>
      <c r="O402">
        <f t="shared" si="328"/>
        <v>399.55528780553209</v>
      </c>
      <c r="P402">
        <f t="shared" si="329"/>
        <v>1.568293541637223</v>
      </c>
      <c r="Q402">
        <f t="shared" si="330"/>
        <v>180.83861838176449</v>
      </c>
      <c r="R402">
        <f t="shared" si="331"/>
        <v>1.5652665063093583</v>
      </c>
      <c r="S402">
        <f t="shared" si="332"/>
        <v>0.26423326130702235</v>
      </c>
      <c r="T402">
        <f t="shared" si="333"/>
        <v>-1.3033874848755467</v>
      </c>
      <c r="U402">
        <f t="shared" si="334"/>
        <v>0.13798920653872826</v>
      </c>
      <c r="V402">
        <f t="shared" si="335"/>
        <v>-1.4323654157297105</v>
      </c>
      <c r="X402">
        <f t="shared" si="352"/>
        <v>-47.485051995480305</v>
      </c>
      <c r="Y402">
        <f t="shared" si="336"/>
        <v>-171.49942428784007</v>
      </c>
      <c r="Z402">
        <f t="shared" si="353"/>
        <v>8.5005757121599288</v>
      </c>
      <c r="AC402">
        <v>1</v>
      </c>
      <c r="AD402">
        <f t="shared" si="337"/>
        <v>399.55403641230004</v>
      </c>
      <c r="AE402">
        <f t="shared" si="338"/>
        <v>-0.35397655878794138</v>
      </c>
      <c r="AF402">
        <f t="shared" si="339"/>
        <v>4.9316721419700005E-2</v>
      </c>
      <c r="AG402">
        <f t="shared" si="315"/>
        <v>151.49522243976503</v>
      </c>
      <c r="AH402">
        <f t="shared" si="316"/>
        <v>-1107.6518458548828</v>
      </c>
      <c r="AJ402">
        <f t="shared" si="340"/>
        <v>20000</v>
      </c>
      <c r="AK402">
        <f t="shared" si="341"/>
        <v>73000.560089520004</v>
      </c>
      <c r="AL402">
        <v>1</v>
      </c>
      <c r="AM402">
        <f t="shared" si="342"/>
        <v>180.835853464476</v>
      </c>
      <c r="AN402">
        <f t="shared" si="317"/>
        <v>404.2833353500597</v>
      </c>
      <c r="AO402">
        <f t="shared" si="318"/>
        <v>-108.3618999730017</v>
      </c>
      <c r="AQ402">
        <f t="shared" si="343"/>
        <v>2.829333740002903E-3</v>
      </c>
      <c r="AR402">
        <f t="shared" si="344"/>
        <v>-5.3191474312054572</v>
      </c>
      <c r="AT402">
        <f t="shared" si="313"/>
        <v>-5891.3348400046843</v>
      </c>
      <c r="AU402">
        <f t="shared" si="314"/>
        <v>-808.95934002002923</v>
      </c>
      <c r="AV402">
        <f t="shared" si="354"/>
        <v>-3.0051326128388292</v>
      </c>
      <c r="AW402">
        <f t="shared" si="355"/>
        <v>-34.900331096704278</v>
      </c>
      <c r="AX402">
        <f t="shared" si="356"/>
        <v>-3488.6211443712364</v>
      </c>
      <c r="AY402">
        <f t="shared" si="364"/>
        <v>-1.5808000404216025</v>
      </c>
      <c r="BA402">
        <f t="shared" si="345"/>
        <v>1.7044895870551242</v>
      </c>
      <c r="BB402">
        <f t="shared" si="357"/>
        <v>4.6318870482496397</v>
      </c>
      <c r="BC402">
        <f t="shared" si="358"/>
        <v>-1.4243325724172267</v>
      </c>
      <c r="BD402">
        <f t="shared" si="346"/>
        <v>-261.60824511576982</v>
      </c>
      <c r="BF402">
        <f t="shared" si="347"/>
        <v>-51.386694403220233</v>
      </c>
      <c r="BG402">
        <f t="shared" si="348"/>
        <v>-185.90034003245106</v>
      </c>
      <c r="BH402">
        <f t="shared" si="359"/>
        <v>-5.9003400324510551</v>
      </c>
      <c r="BI402">
        <f t="shared" si="360"/>
        <v>-5.9003400324510551</v>
      </c>
      <c r="BJ402">
        <f t="shared" si="349"/>
        <v>0</v>
      </c>
      <c r="BK402">
        <f t="shared" si="361"/>
        <v>0</v>
      </c>
      <c r="BM402">
        <f t="shared" si="362"/>
        <v>-56.018581451469878</v>
      </c>
      <c r="BN402">
        <f t="shared" si="350"/>
        <v>-104.29209491668126</v>
      </c>
      <c r="BQ402" s="66">
        <f t="shared" si="363"/>
        <v>21.533847848534776</v>
      </c>
      <c r="BR402" s="71"/>
      <c r="BS402" s="71"/>
      <c r="BT402" s="71">
        <v>831763.77099999995</v>
      </c>
      <c r="BU402" s="71">
        <v>7.3913599999999997</v>
      </c>
      <c r="BV402" s="71">
        <v>104.541</v>
      </c>
      <c r="BY402" s="71"/>
      <c r="BZ402" s="71"/>
      <c r="CA402" s="71"/>
      <c r="CC402" s="71"/>
    </row>
    <row r="403" spans="1:81" x14ac:dyDescent="0.15">
      <c r="A403">
        <f t="shared" si="319"/>
        <v>945000</v>
      </c>
      <c r="B403">
        <f t="shared" si="351"/>
        <v>945</v>
      </c>
      <c r="C403">
        <f t="shared" si="320"/>
        <v>4.044399971754097</v>
      </c>
      <c r="D403">
        <f t="shared" si="321"/>
        <v>1.3209495813861367</v>
      </c>
      <c r="F403">
        <f t="shared" si="322"/>
        <v>2.5922682612331009E-5</v>
      </c>
      <c r="G403">
        <f t="shared" si="323"/>
        <v>1.667696924995553E-3</v>
      </c>
      <c r="H403">
        <f t="shared" si="324"/>
        <v>-3.1399249530750049</v>
      </c>
      <c r="J403">
        <f t="shared" si="325"/>
        <v>15</v>
      </c>
      <c r="M403">
        <f t="shared" si="326"/>
        <v>1.0084905951510082E-3</v>
      </c>
      <c r="N403">
        <f t="shared" si="327"/>
        <v>-1.5707963250000001</v>
      </c>
      <c r="O403">
        <f t="shared" si="328"/>
        <v>401.68056861214944</v>
      </c>
      <c r="P403">
        <f t="shared" si="329"/>
        <v>1.5683067838318736</v>
      </c>
      <c r="Q403">
        <f t="shared" si="330"/>
        <v>181.80049659037141</v>
      </c>
      <c r="R403">
        <f t="shared" si="331"/>
        <v>1.5652957640270762</v>
      </c>
      <c r="S403">
        <f t="shared" si="332"/>
        <v>0.26293209337135504</v>
      </c>
      <c r="T403">
        <f t="shared" si="333"/>
        <v>-1.3047363532216567</v>
      </c>
      <c r="U403">
        <f t="shared" si="334"/>
        <v>0.13727289873847073</v>
      </c>
      <c r="V403">
        <f t="shared" si="335"/>
        <v>-1.4330886057368803</v>
      </c>
      <c r="X403">
        <f t="shared" si="352"/>
        <v>-47.575971103638608</v>
      </c>
      <c r="Y403">
        <f t="shared" si="336"/>
        <v>-171.54322645933166</v>
      </c>
      <c r="Z403">
        <f t="shared" si="353"/>
        <v>8.4567735406683369</v>
      </c>
      <c r="AC403">
        <v>1</v>
      </c>
      <c r="AD403">
        <f t="shared" si="337"/>
        <v>401.67932384002506</v>
      </c>
      <c r="AE403">
        <f t="shared" si="338"/>
        <v>-0.35775228204119663</v>
      </c>
      <c r="AF403">
        <f t="shared" si="339"/>
        <v>4.9579044405975006E-2</v>
      </c>
      <c r="AG403">
        <f t="shared" si="315"/>
        <v>149.92646857066347</v>
      </c>
      <c r="AH403">
        <f t="shared" si="316"/>
        <v>-1102.0086595890116</v>
      </c>
      <c r="AJ403">
        <f t="shared" si="340"/>
        <v>20000</v>
      </c>
      <c r="AK403">
        <f t="shared" si="341"/>
        <v>73388.860941060004</v>
      </c>
      <c r="AL403">
        <v>1</v>
      </c>
      <c r="AM403">
        <f t="shared" si="342"/>
        <v>181.79774630205299</v>
      </c>
      <c r="AN403">
        <f t="shared" si="317"/>
        <v>404.27701127999757</v>
      </c>
      <c r="AO403">
        <f t="shared" si="318"/>
        <v>-107.78859137319633</v>
      </c>
      <c r="AQ403">
        <f t="shared" si="343"/>
        <v>2.7994729152395186E-3</v>
      </c>
      <c r="AR403">
        <f t="shared" si="344"/>
        <v>-5.2910038098026906</v>
      </c>
      <c r="AT403">
        <f t="shared" si="313"/>
        <v>-5830.3123012329761</v>
      </c>
      <c r="AU403">
        <f t="shared" si="314"/>
        <v>-796.34655979252273</v>
      </c>
      <c r="AV403">
        <f t="shared" si="354"/>
        <v>-3.0058453750150727</v>
      </c>
      <c r="AW403">
        <f t="shared" si="355"/>
        <v>-30.244791038924866</v>
      </c>
      <c r="AX403">
        <f t="shared" si="356"/>
        <v>-3470.3204557694708</v>
      </c>
      <c r="AY403">
        <f t="shared" si="364"/>
        <v>-1.5795113793964164</v>
      </c>
      <c r="BA403">
        <f t="shared" si="345"/>
        <v>1.6955848899406272</v>
      </c>
      <c r="BB403">
        <f t="shared" si="357"/>
        <v>4.586390754707744</v>
      </c>
      <c r="BC403">
        <f t="shared" si="358"/>
        <v>-1.4263339956186563</v>
      </c>
      <c r="BD403">
        <f t="shared" si="346"/>
        <v>-261.72291821836234</v>
      </c>
      <c r="BF403">
        <f t="shared" si="347"/>
        <v>-51.481103239554393</v>
      </c>
      <c r="BG403">
        <f t="shared" si="348"/>
        <v>-185.94253017346293</v>
      </c>
      <c r="BH403">
        <f t="shared" si="359"/>
        <v>-5.9425301734629272</v>
      </c>
      <c r="BI403">
        <f t="shared" si="360"/>
        <v>-5.9425301734629272</v>
      </c>
      <c r="BJ403">
        <f t="shared" si="349"/>
        <v>0</v>
      </c>
      <c r="BK403">
        <f t="shared" si="361"/>
        <v>0</v>
      </c>
      <c r="BM403">
        <f t="shared" si="362"/>
        <v>-56.067493994262136</v>
      </c>
      <c r="BN403">
        <f t="shared" si="350"/>
        <v>-104.21961195510062</v>
      </c>
      <c r="BQ403" s="66">
        <f t="shared" si="363"/>
        <v>21.488351554992882</v>
      </c>
      <c r="BR403" s="71"/>
      <c r="BS403" s="71"/>
      <c r="BT403" s="71">
        <v>851138.03799999994</v>
      </c>
      <c r="BU403" s="71">
        <v>7.3125499999999999</v>
      </c>
      <c r="BV403" s="71">
        <v>103.205</v>
      </c>
      <c r="BY403" s="71"/>
      <c r="BZ403" s="71"/>
      <c r="CA403" s="71"/>
      <c r="CC403" s="71"/>
    </row>
    <row r="404" spans="1:81" x14ac:dyDescent="0.15">
      <c r="A404">
        <f t="shared" si="319"/>
        <v>950000</v>
      </c>
      <c r="B404">
        <f t="shared" si="351"/>
        <v>950</v>
      </c>
      <c r="C404">
        <f t="shared" si="320"/>
        <v>4.0644939167028911</v>
      </c>
      <c r="D404">
        <f t="shared" si="321"/>
        <v>1.3222109248071723</v>
      </c>
      <c r="F404">
        <f t="shared" si="322"/>
        <v>2.5650523628609334E-5</v>
      </c>
      <c r="G404">
        <f t="shared" si="323"/>
        <v>1.6589191300582741E-3</v>
      </c>
      <c r="H404">
        <f t="shared" si="324"/>
        <v>-3.139933730869942</v>
      </c>
      <c r="J404">
        <f t="shared" si="325"/>
        <v>15</v>
      </c>
      <c r="M404">
        <f t="shared" si="326"/>
        <v>1.0031827499133712E-3</v>
      </c>
      <c r="N404">
        <f t="shared" si="327"/>
        <v>-1.5707963250000001</v>
      </c>
      <c r="O404">
        <f t="shared" si="328"/>
        <v>403.80584948846234</v>
      </c>
      <c r="P404">
        <f t="shared" si="329"/>
        <v>1.568319886635861</v>
      </c>
      <c r="Q404">
        <f t="shared" si="330"/>
        <v>182.76237495296397</v>
      </c>
      <c r="R404">
        <f t="shared" si="331"/>
        <v>1.5653247137780875</v>
      </c>
      <c r="S404">
        <f t="shared" si="332"/>
        <v>0.26164320829407828</v>
      </c>
      <c r="T404">
        <f t="shared" si="333"/>
        <v>-1.3060719997553636</v>
      </c>
      <c r="U404">
        <f t="shared" si="334"/>
        <v>0.13656391898040668</v>
      </c>
      <c r="V404">
        <f t="shared" si="335"/>
        <v>-1.4338043259286763</v>
      </c>
      <c r="X404">
        <f t="shared" si="352"/>
        <v>-47.666422725561759</v>
      </c>
      <c r="Y404">
        <f t="shared" si="336"/>
        <v>-171.58658495712834</v>
      </c>
      <c r="Z404">
        <f t="shared" si="353"/>
        <v>8.4134150428716623</v>
      </c>
      <c r="AC404">
        <v>1</v>
      </c>
      <c r="AD404">
        <f t="shared" si="337"/>
        <v>403.80461126775003</v>
      </c>
      <c r="AE404">
        <f t="shared" si="338"/>
        <v>-0.36154803565653809</v>
      </c>
      <c r="AF404">
        <f t="shared" si="339"/>
        <v>4.9841367392250008E-2</v>
      </c>
      <c r="AG404">
        <f t="shared" si="315"/>
        <v>148.38180331705215</v>
      </c>
      <c r="AH404">
        <f t="shared" si="316"/>
        <v>-1096.4215545368895</v>
      </c>
      <c r="AJ404">
        <f t="shared" si="340"/>
        <v>20000</v>
      </c>
      <c r="AK404">
        <f t="shared" si="341"/>
        <v>73777.161792600004</v>
      </c>
      <c r="AL404">
        <v>1</v>
      </c>
      <c r="AM404">
        <f t="shared" si="342"/>
        <v>182.75963913963</v>
      </c>
      <c r="AN404">
        <f t="shared" si="317"/>
        <v>404.27078679668176</v>
      </c>
      <c r="AO404">
        <f t="shared" si="318"/>
        <v>-107.22131705585173</v>
      </c>
      <c r="AQ404">
        <f t="shared" si="343"/>
        <v>2.770082335157248E-3</v>
      </c>
      <c r="AR404">
        <f t="shared" si="344"/>
        <v>-5.2631564367987709</v>
      </c>
      <c r="AT404">
        <f t="shared" si="313"/>
        <v>-5770.2271323935165</v>
      </c>
      <c r="AU404">
        <f t="shared" si="314"/>
        <v>-783.99382121206042</v>
      </c>
      <c r="AV404">
        <f t="shared" si="354"/>
        <v>-3.0065507771417326</v>
      </c>
      <c r="AW404">
        <f t="shared" si="355"/>
        <v>-25.663111918239139</v>
      </c>
      <c r="AX404">
        <f t="shared" si="356"/>
        <v>-3452.2100126419436</v>
      </c>
      <c r="AY404">
        <f t="shared" si="364"/>
        <v>-1.5782300110466931</v>
      </c>
      <c r="BA404">
        <f t="shared" si="345"/>
        <v>1.6867695790088755</v>
      </c>
      <c r="BB404">
        <f t="shared" si="357"/>
        <v>4.5411151977254365</v>
      </c>
      <c r="BC404">
        <f t="shared" si="358"/>
        <v>-1.4283207660950394</v>
      </c>
      <c r="BD404">
        <f t="shared" si="346"/>
        <v>-261.83675178165032</v>
      </c>
      <c r="BF404">
        <f t="shared" si="347"/>
        <v>-51.57500535935668</v>
      </c>
      <c r="BG404">
        <f t="shared" si="348"/>
        <v>-185.98459701273035</v>
      </c>
      <c r="BH404">
        <f t="shared" si="359"/>
        <v>-5.9845970127303474</v>
      </c>
      <c r="BI404">
        <f t="shared" si="360"/>
        <v>-5.9845970127303474</v>
      </c>
      <c r="BJ404">
        <f t="shared" si="349"/>
        <v>0</v>
      </c>
      <c r="BK404">
        <f t="shared" si="361"/>
        <v>0</v>
      </c>
      <c r="BM404">
        <f t="shared" si="362"/>
        <v>-56.116120557082112</v>
      </c>
      <c r="BN404">
        <f t="shared" si="350"/>
        <v>-104.14784523108003</v>
      </c>
      <c r="BQ404" s="66">
        <f t="shared" si="363"/>
        <v>21.443075998010571</v>
      </c>
      <c r="BR404" s="71"/>
      <c r="BS404" s="71"/>
      <c r="BT404" s="71">
        <v>870963.59</v>
      </c>
      <c r="BU404" s="71">
        <v>7.1463099999999997</v>
      </c>
      <c r="BV404" s="71">
        <v>103.91</v>
      </c>
      <c r="BY404" s="71"/>
      <c r="BZ404" s="71"/>
      <c r="CA404" s="71"/>
      <c r="CC404" s="71"/>
    </row>
    <row r="405" spans="1:81" x14ac:dyDescent="0.15">
      <c r="A405">
        <f t="shared" si="319"/>
        <v>955000</v>
      </c>
      <c r="B405">
        <f t="shared" si="351"/>
        <v>955</v>
      </c>
      <c r="C405">
        <f t="shared" si="320"/>
        <v>4.0845942645798416</v>
      </c>
      <c r="D405">
        <f t="shared" si="321"/>
        <v>1.3234598560202806</v>
      </c>
      <c r="F405">
        <f t="shared" si="322"/>
        <v>2.5382628332314295E-5</v>
      </c>
      <c r="G405">
        <f t="shared" si="323"/>
        <v>1.6502332561032108E-3</v>
      </c>
      <c r="H405">
        <f t="shared" si="324"/>
        <v>-3.1399424167438972</v>
      </c>
      <c r="J405">
        <f t="shared" si="325"/>
        <v>15</v>
      </c>
      <c r="M405">
        <f t="shared" si="326"/>
        <v>9.9793048420701862E-4</v>
      </c>
      <c r="N405">
        <f t="shared" si="327"/>
        <v>-1.5707963250000001</v>
      </c>
      <c r="O405">
        <f t="shared" si="328"/>
        <v>405.9311304333761</v>
      </c>
      <c r="P405">
        <f t="shared" si="329"/>
        <v>1.5683328522385493</v>
      </c>
      <c r="Q405">
        <f t="shared" si="330"/>
        <v>183.72425346712367</v>
      </c>
      <c r="R405">
        <f t="shared" si="331"/>
        <v>1.5653533603993728</v>
      </c>
      <c r="S405">
        <f t="shared" si="332"/>
        <v>0.26036644002188453</v>
      </c>
      <c r="T405">
        <f t="shared" si="333"/>
        <v>-1.3073946132356802</v>
      </c>
      <c r="U405">
        <f t="shared" si="334"/>
        <v>0.13586215646800046</v>
      </c>
      <c r="V405">
        <f t="shared" si="335"/>
        <v>-1.4345126907217924</v>
      </c>
      <c r="X405">
        <f t="shared" si="352"/>
        <v>-47.7564115899565</v>
      </c>
      <c r="Y405">
        <f t="shared" si="336"/>
        <v>-171.62950641222375</v>
      </c>
      <c r="Z405">
        <f t="shared" si="353"/>
        <v>8.3704935877762523</v>
      </c>
      <c r="AC405">
        <v>1</v>
      </c>
      <c r="AD405">
        <f t="shared" si="337"/>
        <v>405.929898695475</v>
      </c>
      <c r="AE405">
        <f t="shared" si="338"/>
        <v>-0.36536381963396586</v>
      </c>
      <c r="AF405">
        <f t="shared" si="339"/>
        <v>5.0103690378525009E-2</v>
      </c>
      <c r="AG405">
        <f t="shared" si="315"/>
        <v>146.86073912974922</v>
      </c>
      <c r="AH405">
        <f t="shared" si="316"/>
        <v>-1090.8897167011764</v>
      </c>
      <c r="AJ405">
        <f t="shared" si="340"/>
        <v>20000</v>
      </c>
      <c r="AK405">
        <f t="shared" si="341"/>
        <v>74165.462644140003</v>
      </c>
      <c r="AL405">
        <v>1</v>
      </c>
      <c r="AM405">
        <f t="shared" si="342"/>
        <v>183.72153197720701</v>
      </c>
      <c r="AN405">
        <f t="shared" si="317"/>
        <v>404.26465982009876</v>
      </c>
      <c r="AO405">
        <f t="shared" si="318"/>
        <v>-106.65998225298382</v>
      </c>
      <c r="AQ405">
        <f t="shared" si="343"/>
        <v>2.7411521775301726E-3</v>
      </c>
      <c r="AR405">
        <f t="shared" si="344"/>
        <v>-5.2356006590826292</v>
      </c>
      <c r="AT405">
        <f t="shared" si="313"/>
        <v>-5711.060352112283</v>
      </c>
      <c r="AU405">
        <f t="shared" si="314"/>
        <v>-771.89447730345773</v>
      </c>
      <c r="AV405">
        <f t="shared" si="354"/>
        <v>-3.0072489319114504</v>
      </c>
      <c r="AW405">
        <f t="shared" si="355"/>
        <v>-21.153737137050882</v>
      </c>
      <c r="AX405">
        <f t="shared" si="356"/>
        <v>-3434.2868746585218</v>
      </c>
      <c r="AY405">
        <f t="shared" si="364"/>
        <v>-1.5769558208583265</v>
      </c>
      <c r="BA405">
        <f t="shared" si="345"/>
        <v>1.6780423281279939</v>
      </c>
      <c r="BB405">
        <f t="shared" si="357"/>
        <v>4.4960582316481918</v>
      </c>
      <c r="BC405">
        <f t="shared" si="358"/>
        <v>-1.4302931110531238</v>
      </c>
      <c r="BD405">
        <f t="shared" si="346"/>
        <v>-261.94975882362161</v>
      </c>
      <c r="BF405">
        <f t="shared" si="347"/>
        <v>-51.668406311063649</v>
      </c>
      <c r="BG405">
        <f t="shared" si="348"/>
        <v>-186.02654323112617</v>
      </c>
      <c r="BH405">
        <f t="shared" si="359"/>
        <v>-6.0265432311261691</v>
      </c>
      <c r="BI405">
        <f t="shared" si="360"/>
        <v>-6.0265432311261691</v>
      </c>
      <c r="BJ405">
        <f t="shared" si="349"/>
        <v>0</v>
      </c>
      <c r="BK405">
        <f t="shared" si="361"/>
        <v>0</v>
      </c>
      <c r="BM405">
        <f t="shared" si="362"/>
        <v>-56.164464542711848</v>
      </c>
      <c r="BN405">
        <f t="shared" si="350"/>
        <v>-104.07678440750456</v>
      </c>
      <c r="BQ405" s="66">
        <f t="shared" si="363"/>
        <v>21.39801903193333</v>
      </c>
      <c r="BR405" s="71"/>
      <c r="BS405" s="71"/>
      <c r="BT405" s="71">
        <v>891250.93799999997</v>
      </c>
      <c r="BU405" s="71">
        <v>6.8612700000000002</v>
      </c>
      <c r="BV405" s="71">
        <v>102.337</v>
      </c>
      <c r="BY405" s="71"/>
      <c r="BZ405" s="71"/>
      <c r="CA405" s="71"/>
      <c r="CC405" s="71"/>
    </row>
    <row r="406" spans="1:81" x14ac:dyDescent="0.15">
      <c r="A406">
        <f t="shared" si="319"/>
        <v>960000</v>
      </c>
      <c r="B406">
        <f t="shared" si="351"/>
        <v>960</v>
      </c>
      <c r="C406">
        <f t="shared" si="320"/>
        <v>4.1047009213212746</v>
      </c>
      <c r="D406">
        <f t="shared" si="321"/>
        <v>1.3246965535019324</v>
      </c>
      <c r="F406">
        <f t="shared" si="322"/>
        <v>2.5118908124760811E-5</v>
      </c>
      <c r="G406">
        <f t="shared" si="323"/>
        <v>1.6416378667224011E-3</v>
      </c>
      <c r="H406">
        <f t="shared" si="324"/>
        <v>-3.1399510121332779</v>
      </c>
      <c r="J406">
        <f t="shared" si="325"/>
        <v>15</v>
      </c>
      <c r="M406">
        <f t="shared" si="326"/>
        <v>9.9273292960177367E-4</v>
      </c>
      <c r="N406">
        <f t="shared" si="327"/>
        <v>-1.5707963250000001</v>
      </c>
      <c r="O406">
        <f t="shared" si="328"/>
        <v>408.05641144581887</v>
      </c>
      <c r="P406">
        <f t="shared" si="329"/>
        <v>1.5683456827836919</v>
      </c>
      <c r="Q406">
        <f t="shared" si="330"/>
        <v>184.68613213048235</v>
      </c>
      <c r="R406">
        <f t="shared" si="331"/>
        <v>1.5653817086271475</v>
      </c>
      <c r="S406">
        <f t="shared" si="332"/>
        <v>0.25910162533750841</v>
      </c>
      <c r="T406">
        <f t="shared" si="333"/>
        <v>-1.3087043789381649</v>
      </c>
      <c r="U406">
        <f t="shared" si="334"/>
        <v>0.13516750260485597</v>
      </c>
      <c r="V406">
        <f t="shared" si="335"/>
        <v>-1.4352138122227764</v>
      </c>
      <c r="X406">
        <f t="shared" si="352"/>
        <v>-47.84594235486562</v>
      </c>
      <c r="Y406">
        <f t="shared" si="336"/>
        <v>-171.67199732551592</v>
      </c>
      <c r="Z406">
        <f t="shared" si="353"/>
        <v>8.3280026744840825</v>
      </c>
      <c r="AC406">
        <v>1</v>
      </c>
      <c r="AD406">
        <f t="shared" si="337"/>
        <v>408.05518612320003</v>
      </c>
      <c r="AE406">
        <f t="shared" si="338"/>
        <v>-0.36919963397347982</v>
      </c>
      <c r="AF406">
        <f t="shared" si="339"/>
        <v>5.0366013364800004E-2</v>
      </c>
      <c r="AG406">
        <f t="shared" si="315"/>
        <v>145.36280065295153</v>
      </c>
      <c r="AH406">
        <f t="shared" si="316"/>
        <v>-1085.4123473793964</v>
      </c>
      <c r="AJ406">
        <f t="shared" si="340"/>
        <v>20000</v>
      </c>
      <c r="AK406">
        <f t="shared" si="341"/>
        <v>74553.763495680003</v>
      </c>
      <c r="AL406">
        <v>1</v>
      </c>
      <c r="AM406">
        <f t="shared" si="342"/>
        <v>184.68342481478399</v>
      </c>
      <c r="AN406">
        <f t="shared" si="317"/>
        <v>404.25862832425713</v>
      </c>
      <c r="AO406">
        <f t="shared" si="318"/>
        <v>-106.10449417064902</v>
      </c>
      <c r="AQ406">
        <f t="shared" si="343"/>
        <v>2.7126728752514986E-3</v>
      </c>
      <c r="AR406">
        <f t="shared" si="344"/>
        <v>-5.2083319204828777</v>
      </c>
      <c r="AT406">
        <f t="shared" ref="AT406:AT469" si="365">-AR406*AH406+AG406*AQ406</f>
        <v>-5652.7934540159576</v>
      </c>
      <c r="AU406">
        <f t="shared" ref="AU406:AU469" si="366">AQ406*AH406+AG406*AR406</f>
        <v>-760.04208332475594</v>
      </c>
      <c r="AV406">
        <f t="shared" si="354"/>
        <v>-3.0079399497426391</v>
      </c>
      <c r="AW406">
        <f t="shared" si="355"/>
        <v>-16.715150944862916</v>
      </c>
      <c r="AX406">
        <f t="shared" si="356"/>
        <v>-3416.5481615676599</v>
      </c>
      <c r="AY406">
        <f t="shared" si="364"/>
        <v>-1.5756886967524015</v>
      </c>
      <c r="BA406">
        <f t="shared" si="345"/>
        <v>1.6694018367945958</v>
      </c>
      <c r="BB406">
        <f t="shared" si="357"/>
        <v>4.451217740143079</v>
      </c>
      <c r="BC406">
        <f t="shared" si="358"/>
        <v>-1.4322512529902376</v>
      </c>
      <c r="BD406">
        <f t="shared" si="346"/>
        <v>-262.06195209243401</v>
      </c>
      <c r="BF406">
        <f t="shared" si="347"/>
        <v>-51.761311553021194</v>
      </c>
      <c r="BG406">
        <f t="shared" si="348"/>
        <v>-186.06837143315985</v>
      </c>
      <c r="BH406">
        <f t="shared" si="359"/>
        <v>-6.0683714331598537</v>
      </c>
      <c r="BI406">
        <f t="shared" si="360"/>
        <v>-6.0683714331598537</v>
      </c>
      <c r="BJ406">
        <f t="shared" si="349"/>
        <v>0</v>
      </c>
      <c r="BK406">
        <f t="shared" si="361"/>
        <v>0</v>
      </c>
      <c r="BM406">
        <f t="shared" si="362"/>
        <v>-56.212529293164273</v>
      </c>
      <c r="BN406">
        <f t="shared" si="350"/>
        <v>-104.00641934072584</v>
      </c>
      <c r="BQ406" s="66">
        <f t="shared" si="363"/>
        <v>21.353178540428214</v>
      </c>
      <c r="BR406" s="71"/>
      <c r="BS406" s="71"/>
      <c r="BT406" s="71">
        <v>912010.83900000004</v>
      </c>
      <c r="BU406" s="71">
        <v>6.4708399999999999</v>
      </c>
      <c r="BV406" s="71">
        <v>100.33499999999999</v>
      </c>
      <c r="BY406" s="71"/>
      <c r="BZ406" s="71"/>
      <c r="CA406" s="71"/>
      <c r="CC406" s="71"/>
    </row>
    <row r="407" spans="1:81" x14ac:dyDescent="0.15">
      <c r="A407">
        <f t="shared" si="319"/>
        <v>965000</v>
      </c>
      <c r="B407">
        <f t="shared" si="351"/>
        <v>965</v>
      </c>
      <c r="C407">
        <f t="shared" si="320"/>
        <v>4.1248137946683565</v>
      </c>
      <c r="D407">
        <f t="shared" si="321"/>
        <v>1.325921192398873</v>
      </c>
      <c r="F407">
        <f t="shared" si="322"/>
        <v>2.4859276696714955E-5</v>
      </c>
      <c r="G407">
        <f t="shared" si="323"/>
        <v>1.6331315552816615E-3</v>
      </c>
      <c r="H407">
        <f t="shared" si="324"/>
        <v>-3.1399595184447184</v>
      </c>
      <c r="J407">
        <f t="shared" si="325"/>
        <v>15</v>
      </c>
      <c r="M407">
        <f t="shared" si="326"/>
        <v>9.8758923566601327E-4</v>
      </c>
      <c r="N407">
        <f t="shared" si="327"/>
        <v>-1.5707963250000001</v>
      </c>
      <c r="O407">
        <f t="shared" si="328"/>
        <v>410.18169252474098</v>
      </c>
      <c r="P407">
        <f t="shared" si="329"/>
        <v>1.5683583803706118</v>
      </c>
      <c r="Q407">
        <f t="shared" si="330"/>
        <v>185.64801094072089</v>
      </c>
      <c r="R407">
        <f t="shared" si="331"/>
        <v>1.5654097630994719</v>
      </c>
      <c r="S407">
        <f t="shared" si="332"/>
        <v>0.25784860380317876</v>
      </c>
      <c r="T407">
        <f t="shared" si="333"/>
        <v>-1.3100014787326242</v>
      </c>
      <c r="U407">
        <f t="shared" si="334"/>
        <v>0.13447985094094589</v>
      </c>
      <c r="V407">
        <f t="shared" si="335"/>
        <v>-1.4359078002856673</v>
      </c>
      <c r="X407">
        <f t="shared" si="352"/>
        <v>-47.935019609056582</v>
      </c>
      <c r="Y407">
        <f t="shared" si="336"/>
        <v>-171.71406407095122</v>
      </c>
      <c r="Z407">
        <f t="shared" si="353"/>
        <v>8.285935929048776</v>
      </c>
      <c r="AC407">
        <v>1</v>
      </c>
      <c r="AD407">
        <f t="shared" si="337"/>
        <v>410.18047355092506</v>
      </c>
      <c r="AE407">
        <f t="shared" si="338"/>
        <v>-0.37305547867508004</v>
      </c>
      <c r="AF407">
        <f t="shared" si="339"/>
        <v>5.0628336351075005E-2</v>
      </c>
      <c r="AG407">
        <f t="shared" si="315"/>
        <v>143.88752436253017</v>
      </c>
      <c r="AH407">
        <f t="shared" si="316"/>
        <v>-1079.9886628167853</v>
      </c>
      <c r="AJ407">
        <f t="shared" si="340"/>
        <v>20000</v>
      </c>
      <c r="AK407">
        <f t="shared" si="341"/>
        <v>74942.064347220003</v>
      </c>
      <c r="AL407">
        <v>1</v>
      </c>
      <c r="AM407">
        <f t="shared" si="342"/>
        <v>185.645317652361</v>
      </c>
      <c r="AN407">
        <f t="shared" si="317"/>
        <v>404.25269033551291</v>
      </c>
      <c r="AO407">
        <f t="shared" si="318"/>
        <v>-105.55476193781219</v>
      </c>
      <c r="AQ407">
        <f t="shared" si="343"/>
        <v>2.6846351084230157E-3</v>
      </c>
      <c r="AR407">
        <f t="shared" si="344"/>
        <v>-5.1813457592564207</v>
      </c>
      <c r="AT407">
        <f t="shared" si="365"/>
        <v>-5595.4083926311951</v>
      </c>
      <c r="AU407">
        <f t="shared" si="366"/>
        <v>-748.4303896465974</v>
      </c>
      <c r="AV407">
        <f t="shared" si="354"/>
        <v>-3.0086239388361897</v>
      </c>
      <c r="AW407">
        <f t="shared" si="355"/>
        <v>-12.345877157208792</v>
      </c>
      <c r="AX407">
        <f t="shared" si="356"/>
        <v>-3398.9910516743203</v>
      </c>
      <c r="AY407">
        <f t="shared" si="364"/>
        <v>-1.5744285290210447</v>
      </c>
      <c r="BA407">
        <f t="shared" si="345"/>
        <v>1.6608468295315002</v>
      </c>
      <c r="BB407">
        <f t="shared" si="357"/>
        <v>4.4065916357034247</v>
      </c>
      <c r="BC407">
        <f t="shared" si="358"/>
        <v>-1.434195409815145</v>
      </c>
      <c r="BD407">
        <f t="shared" si="346"/>
        <v>-262.17334407333999</v>
      </c>
      <c r="BF407">
        <f t="shared" si="347"/>
        <v>-51.853726455411426</v>
      </c>
      <c r="BG407">
        <f t="shared" si="348"/>
        <v>-186.11008414950876</v>
      </c>
      <c r="BH407">
        <f t="shared" si="359"/>
        <v>-6.110084149508765</v>
      </c>
      <c r="BI407">
        <f t="shared" si="360"/>
        <v>-6.110084149508765</v>
      </c>
      <c r="BJ407">
        <f t="shared" si="349"/>
        <v>0</v>
      </c>
      <c r="BK407">
        <f t="shared" si="361"/>
        <v>0</v>
      </c>
      <c r="BM407">
        <f t="shared" si="362"/>
        <v>-56.260318091114847</v>
      </c>
      <c r="BN407">
        <f t="shared" si="350"/>
        <v>-103.93674007616875</v>
      </c>
      <c r="BQ407" s="66">
        <f t="shared" si="363"/>
        <v>21.30855243598856</v>
      </c>
      <c r="BR407" s="71"/>
      <c r="BS407" s="71"/>
      <c r="BT407" s="71">
        <v>933254.30099999998</v>
      </c>
      <c r="BU407" s="71">
        <v>6.2453099999999999</v>
      </c>
      <c r="BV407" s="71">
        <v>100.20399999999999</v>
      </c>
      <c r="BY407" s="71"/>
      <c r="BZ407" s="71"/>
      <c r="CA407" s="71"/>
      <c r="CC407" s="71"/>
    </row>
    <row r="408" spans="1:81" x14ac:dyDescent="0.15">
      <c r="A408">
        <f t="shared" si="319"/>
        <v>970000</v>
      </c>
      <c r="B408">
        <f t="shared" si="351"/>
        <v>970</v>
      </c>
      <c r="C408">
        <f t="shared" si="320"/>
        <v>4.1449327941247089</v>
      </c>
      <c r="D408">
        <f t="shared" si="321"/>
        <v>1.3271339446035431</v>
      </c>
      <c r="F408">
        <f t="shared" si="322"/>
        <v>2.4603649957765392E-5</v>
      </c>
      <c r="G408">
        <f t="shared" si="323"/>
        <v>1.6247129441531105E-3</v>
      </c>
      <c r="H408">
        <f t="shared" si="324"/>
        <v>-3.1399679370558471</v>
      </c>
      <c r="J408">
        <f t="shared" si="325"/>
        <v>15</v>
      </c>
      <c r="M408">
        <f t="shared" si="326"/>
        <v>9.8249856950278634E-4</v>
      </c>
      <c r="N408">
        <f t="shared" si="327"/>
        <v>-1.5707963250000001</v>
      </c>
      <c r="O408">
        <f t="shared" si="328"/>
        <v>412.30697366911426</v>
      </c>
      <c r="P408">
        <f t="shared" si="329"/>
        <v>1.5683709470553477</v>
      </c>
      <c r="Q408">
        <f t="shared" si="330"/>
        <v>186.60988989556807</v>
      </c>
      <c r="R408">
        <f t="shared" si="331"/>
        <v>1.5654375283587807</v>
      </c>
      <c r="S408">
        <f t="shared" si="332"/>
        <v>0.25660721770529826</v>
      </c>
      <c r="T408">
        <f t="shared" si="333"/>
        <v>-1.3112860911588116</v>
      </c>
      <c r="U408">
        <f t="shared" si="334"/>
        <v>0.13379909712039328</v>
      </c>
      <c r="V408">
        <f t="shared" si="335"/>
        <v>-1.4365947625679287</v>
      </c>
      <c r="X408">
        <f t="shared" si="352"/>
        <v>-48.023647873376369</v>
      </c>
      <c r="Y408">
        <f t="shared" si="336"/>
        <v>-171.75571289857865</v>
      </c>
      <c r="Z408">
        <f t="shared" si="353"/>
        <v>8.2442871014213495</v>
      </c>
      <c r="AC408">
        <v>1</v>
      </c>
      <c r="AD408">
        <f t="shared" si="337"/>
        <v>412.30576097865008</v>
      </c>
      <c r="AE408">
        <f t="shared" si="338"/>
        <v>-0.37693135373876646</v>
      </c>
      <c r="AF408">
        <f t="shared" si="339"/>
        <v>5.0890659337350007E-2</v>
      </c>
      <c r="AG408">
        <f t="shared" si="315"/>
        <v>142.43445821669687</v>
      </c>
      <c r="AH408">
        <f t="shared" si="316"/>
        <v>-1074.617893868204</v>
      </c>
      <c r="AJ408">
        <f t="shared" si="340"/>
        <v>20000</v>
      </c>
      <c r="AK408">
        <f t="shared" si="341"/>
        <v>75330.365198760002</v>
      </c>
      <c r="AL408">
        <v>1</v>
      </c>
      <c r="AM408">
        <f t="shared" si="342"/>
        <v>186.60721048993801</v>
      </c>
      <c r="AN408">
        <f t="shared" si="317"/>
        <v>404.24684393095487</v>
      </c>
      <c r="AO408">
        <f t="shared" si="318"/>
        <v>-105.01069655679603</v>
      </c>
      <c r="AQ408">
        <f t="shared" si="343"/>
        <v>2.6570297967292494E-3</v>
      </c>
      <c r="AR408">
        <f t="shared" si="344"/>
        <v>-5.1546378056547439</v>
      </c>
      <c r="AT408">
        <f t="shared" si="365"/>
        <v>-5538.887569766559</v>
      </c>
      <c r="AU408">
        <f t="shared" si="366"/>
        <v>-737.05333491584292</v>
      </c>
      <c r="AV408">
        <f t="shared" si="354"/>
        <v>-3.009301005230502</v>
      </c>
      <c r="AW408">
        <f t="shared" si="355"/>
        <v>-8.0444779212645052</v>
      </c>
      <c r="AX408">
        <f t="shared" si="356"/>
        <v>-3381.612780363821</v>
      </c>
      <c r="AY408">
        <f t="shared" si="364"/>
        <v>-1.5731752102652843</v>
      </c>
      <c r="BA408">
        <f t="shared" si="345"/>
        <v>1.6523760553018727</v>
      </c>
      <c r="BB408">
        <f t="shared" si="357"/>
        <v>4.3621778591626983</v>
      </c>
      <c r="BC408">
        <f t="shared" si="358"/>
        <v>-1.4361257949652178</v>
      </c>
      <c r="BD408">
        <f t="shared" si="346"/>
        <v>-262.2839469954003</v>
      </c>
      <c r="BF408">
        <f t="shared" si="347"/>
        <v>-51.945656302128882</v>
      </c>
      <c r="BG408">
        <f t="shared" si="348"/>
        <v>-186.15168383945442</v>
      </c>
      <c r="BH408">
        <f t="shared" si="359"/>
        <v>-6.1516838394544209</v>
      </c>
      <c r="BI408">
        <f t="shared" si="360"/>
        <v>-6.1516838394544209</v>
      </c>
      <c r="BJ408">
        <f t="shared" si="349"/>
        <v>0</v>
      </c>
      <c r="BK408">
        <f t="shared" si="361"/>
        <v>0</v>
      </c>
      <c r="BM408">
        <f t="shared" si="362"/>
        <v>-56.307834161291581</v>
      </c>
      <c r="BN408">
        <f t="shared" si="350"/>
        <v>-103.86773684405414</v>
      </c>
      <c r="BQ408" s="66">
        <f t="shared" si="363"/>
        <v>21.264138659447834</v>
      </c>
      <c r="BR408" s="71"/>
      <c r="BS408" s="71"/>
      <c r="BT408" s="71">
        <v>954992.58600000001</v>
      </c>
      <c r="BU408" s="71">
        <v>6.1328699999999996</v>
      </c>
      <c r="BV408" s="71">
        <v>99.956599999999995</v>
      </c>
      <c r="BY408" s="71"/>
      <c r="BZ408" s="71"/>
      <c r="CA408" s="71"/>
      <c r="CC408" s="71"/>
    </row>
    <row r="409" spans="1:81" x14ac:dyDescent="0.15">
      <c r="A409">
        <f t="shared" si="319"/>
        <v>975000</v>
      </c>
      <c r="B409">
        <f t="shared" si="351"/>
        <v>975</v>
      </c>
      <c r="C409">
        <f t="shared" si="320"/>
        <v>4.1650578309151989</v>
      </c>
      <c r="D409">
        <f t="shared" si="321"/>
        <v>1.3283349788275163</v>
      </c>
      <c r="F409">
        <f t="shared" si="322"/>
        <v>2.4351945968223819E-5</v>
      </c>
      <c r="G409">
        <f t="shared" si="323"/>
        <v>1.6163806839713086E-3</v>
      </c>
      <c r="H409">
        <f t="shared" si="324"/>
        <v>-3.1399762693160289</v>
      </c>
      <c r="J409">
        <f t="shared" si="325"/>
        <v>15</v>
      </c>
      <c r="M409">
        <f t="shared" si="326"/>
        <v>9.7746011530020806E-4</v>
      </c>
      <c r="N409">
        <f t="shared" si="327"/>
        <v>-1.5707963250000001</v>
      </c>
      <c r="O409">
        <f t="shared" si="328"/>
        <v>414.432254877932</v>
      </c>
      <c r="P409">
        <f t="shared" si="329"/>
        <v>1.5683833848517637</v>
      </c>
      <c r="Q409">
        <f t="shared" si="330"/>
        <v>187.57176899279915</v>
      </c>
      <c r="R409">
        <f t="shared" si="331"/>
        <v>1.5654650088543349</v>
      </c>
      <c r="S409">
        <f t="shared" si="332"/>
        <v>0.25537731200032326</v>
      </c>
      <c r="T409">
        <f t="shared" si="333"/>
        <v>-1.3125583915001819</v>
      </c>
      <c r="U409">
        <f t="shared" si="334"/>
        <v>0.13312513883075286</v>
      </c>
      <c r="V409">
        <f t="shared" si="335"/>
        <v>-1.4372748045847323</v>
      </c>
      <c r="X409">
        <f t="shared" si="352"/>
        <v>-48.111831602073693</v>
      </c>
      <c r="Y409">
        <f t="shared" si="336"/>
        <v>-171.7969499375163</v>
      </c>
      <c r="Z409">
        <f t="shared" si="353"/>
        <v>8.2030500624836975</v>
      </c>
      <c r="AC409">
        <v>1</v>
      </c>
      <c r="AD409">
        <f t="shared" si="337"/>
        <v>414.43104840637511</v>
      </c>
      <c r="AE409">
        <f t="shared" si="338"/>
        <v>-0.38082725916453913</v>
      </c>
      <c r="AF409">
        <f t="shared" si="339"/>
        <v>5.1152982323625008E-2</v>
      </c>
      <c r="AG409">
        <f t="shared" si="315"/>
        <v>141.00316131856383</v>
      </c>
      <c r="AH409">
        <f t="shared" si="316"/>
        <v>-1069.2992856688597</v>
      </c>
      <c r="AJ409">
        <f t="shared" si="340"/>
        <v>20000</v>
      </c>
      <c r="AK409">
        <f t="shared" si="341"/>
        <v>75718.666050300002</v>
      </c>
      <c r="AL409">
        <v>1</v>
      </c>
      <c r="AM409">
        <f t="shared" si="342"/>
        <v>187.56910332751499</v>
      </c>
      <c r="AN409">
        <f t="shared" si="317"/>
        <v>404.24108723684753</v>
      </c>
      <c r="AO409">
        <f t="shared" si="318"/>
        <v>-104.47221085525445</v>
      </c>
      <c r="AQ409">
        <f t="shared" si="343"/>
        <v>2.6298480920846569E-3</v>
      </c>
      <c r="AR409">
        <f t="shared" si="344"/>
        <v>-5.128203779565081</v>
      </c>
      <c r="AT409">
        <f t="shared" si="365"/>
        <v>-5483.2138213585167</v>
      </c>
      <c r="AU409">
        <f t="shared" si="366"/>
        <v>-725.90503949076765</v>
      </c>
      <c r="AV409">
        <f t="shared" si="354"/>
        <v>-3.0099712528548959</v>
      </c>
      <c r="AW409">
        <f t="shared" si="355"/>
        <v>-3.8095525261993775</v>
      </c>
      <c r="AX409">
        <f t="shared" si="356"/>
        <v>-3364.4106386699923</v>
      </c>
      <c r="AY409">
        <f t="shared" si="364"/>
        <v>-1.5719286353348554</v>
      </c>
      <c r="BA409">
        <f t="shared" si="345"/>
        <v>1.6439882869392937</v>
      </c>
      <c r="BB409">
        <f t="shared" si="357"/>
        <v>4.3179743792174632</v>
      </c>
      <c r="BC409">
        <f t="shared" si="358"/>
        <v>-1.4380426175200405</v>
      </c>
      <c r="BD409">
        <f t="shared" si="346"/>
        <v>-262.39377283799263</v>
      </c>
      <c r="BF409">
        <f t="shared" si="347"/>
        <v>-52.037106292607717</v>
      </c>
      <c r="BG409">
        <f t="shared" si="348"/>
        <v>-186.19317289322646</v>
      </c>
      <c r="BH409">
        <f t="shared" si="359"/>
        <v>-6.1931728932264605</v>
      </c>
      <c r="BI409">
        <f t="shared" si="360"/>
        <v>-6.1931728932264605</v>
      </c>
      <c r="BJ409">
        <f t="shared" si="349"/>
        <v>0</v>
      </c>
      <c r="BK409">
        <f t="shared" si="361"/>
        <v>0</v>
      </c>
      <c r="BM409">
        <f t="shared" si="362"/>
        <v>-56.355080671825171</v>
      </c>
      <c r="BN409">
        <f t="shared" si="350"/>
        <v>-103.79940005523385</v>
      </c>
      <c r="BQ409" s="66">
        <f t="shared" si="363"/>
        <v>21.219935179502599</v>
      </c>
      <c r="BR409" s="71"/>
      <c r="BS409" s="71"/>
      <c r="BT409" s="71">
        <v>977237.22100000002</v>
      </c>
      <c r="BU409" s="71">
        <v>5.7547600000000001</v>
      </c>
      <c r="BV409" s="71">
        <v>98.699600000000004</v>
      </c>
      <c r="BY409" s="71"/>
      <c r="BZ409" s="71"/>
      <c r="CA409" s="71"/>
      <c r="CC409" s="71"/>
    </row>
    <row r="410" spans="1:81" x14ac:dyDescent="0.15">
      <c r="A410">
        <f t="shared" si="319"/>
        <v>980000</v>
      </c>
      <c r="B410">
        <f t="shared" si="351"/>
        <v>980</v>
      </c>
      <c r="C410">
        <f t="shared" si="320"/>
        <v>4.1851888179458578</v>
      </c>
      <c r="D410">
        <f t="shared" si="321"/>
        <v>1.3295244606730074</v>
      </c>
      <c r="F410">
        <f t="shared" si="322"/>
        <v>2.4104084873451442E-5</v>
      </c>
      <c r="G410">
        <f t="shared" si="323"/>
        <v>1.6081334529121738E-3</v>
      </c>
      <c r="H410">
        <f t="shared" si="324"/>
        <v>-3.1399845165470879</v>
      </c>
      <c r="J410">
        <f t="shared" si="325"/>
        <v>15</v>
      </c>
      <c r="M410">
        <f t="shared" si="326"/>
        <v>9.7247307389561506E-4</v>
      </c>
      <c r="N410">
        <f t="shared" si="327"/>
        <v>-1.5707963250000001</v>
      </c>
      <c r="O410">
        <f t="shared" si="328"/>
        <v>416.55753615020762</v>
      </c>
      <c r="P410">
        <f t="shared" si="329"/>
        <v>1.5683956957326248</v>
      </c>
      <c r="Q410">
        <f t="shared" si="330"/>
        <v>188.53364823023486</v>
      </c>
      <c r="R410">
        <f t="shared" si="331"/>
        <v>1.5654922089445988</v>
      </c>
      <c r="S410">
        <f t="shared" si="332"/>
        <v>0.25415873426181917</v>
      </c>
      <c r="T410">
        <f t="shared" si="333"/>
        <v>-1.313818551855757</v>
      </c>
      <c r="U410">
        <f t="shared" si="334"/>
        <v>0.13245787575374354</v>
      </c>
      <c r="V410">
        <f t="shared" si="335"/>
        <v>-1.4379480297616525</v>
      </c>
      <c r="X410">
        <f t="shared" si="352"/>
        <v>-48.199575184089397</v>
      </c>
      <c r="Y410">
        <f t="shared" si="336"/>
        <v>-171.83778119883488</v>
      </c>
      <c r="Z410">
        <f t="shared" si="353"/>
        <v>8.1622188011651247</v>
      </c>
      <c r="AC410">
        <v>1</v>
      </c>
      <c r="AD410">
        <f t="shared" si="337"/>
        <v>416.55633583410008</v>
      </c>
      <c r="AE410">
        <f t="shared" si="338"/>
        <v>-0.38474319495239806</v>
      </c>
      <c r="AF410">
        <f t="shared" si="339"/>
        <v>5.141530530990001E-2</v>
      </c>
      <c r="AG410">
        <f t="shared" si="315"/>
        <v>139.59320359013924</v>
      </c>
      <c r="AH410">
        <f t="shared" si="316"/>
        <v>-1064.0320973135756</v>
      </c>
      <c r="AJ410">
        <f t="shared" si="340"/>
        <v>20000</v>
      </c>
      <c r="AK410">
        <f t="shared" si="341"/>
        <v>76106.966901840002</v>
      </c>
      <c r="AL410">
        <v>1</v>
      </c>
      <c r="AM410">
        <f t="shared" si="342"/>
        <v>188.53099616509198</v>
      </c>
      <c r="AN410">
        <f t="shared" si="317"/>
        <v>404.23541842713007</v>
      </c>
      <c r="AO410">
        <f t="shared" si="318"/>
        <v>-103.93921943961584</v>
      </c>
      <c r="AQ410">
        <f t="shared" si="343"/>
        <v>2.6030813715427498E-3</v>
      </c>
      <c r="AR410">
        <f t="shared" si="344"/>
        <v>-5.1020394882237898</v>
      </c>
      <c r="AT410">
        <f t="shared" si="365"/>
        <v>-5428.370404763582</v>
      </c>
      <c r="AU410">
        <f t="shared" si="366"/>
        <v>-714.97979913579388</v>
      </c>
      <c r="AV410">
        <f t="shared" si="354"/>
        <v>-3.010634783581458</v>
      </c>
      <c r="AW410">
        <f t="shared" si="355"/>
        <v>0.36026374357740432</v>
      </c>
      <c r="AX410">
        <f t="shared" si="356"/>
        <v>-3347.3819718861132</v>
      </c>
      <c r="AY410">
        <f t="shared" si="364"/>
        <v>-1.5706887012698707</v>
      </c>
      <c r="BA410">
        <f t="shared" si="345"/>
        <v>1.6356823205932656</v>
      </c>
      <c r="BB410">
        <f t="shared" si="357"/>
        <v>4.2739791919592438</v>
      </c>
      <c r="BC410">
        <f t="shared" si="358"/>
        <v>-1.4399460823115873</v>
      </c>
      <c r="BD410">
        <f t="shared" si="346"/>
        <v>-262.50283333712463</v>
      </c>
      <c r="BF410">
        <f t="shared" si="347"/>
        <v>-52.128081543601176</v>
      </c>
      <c r="BG410">
        <f t="shared" si="348"/>
        <v>-186.23455363425938</v>
      </c>
      <c r="BH410">
        <f t="shared" si="359"/>
        <v>-6.2345536342593846</v>
      </c>
      <c r="BI410">
        <f t="shared" si="360"/>
        <v>-6.2345536342593846</v>
      </c>
      <c r="BJ410">
        <f t="shared" si="349"/>
        <v>0</v>
      </c>
      <c r="BK410">
        <f t="shared" si="361"/>
        <v>0</v>
      </c>
      <c r="BM410">
        <f t="shared" si="362"/>
        <v>-56.402060735560411</v>
      </c>
      <c r="BN410">
        <f t="shared" si="350"/>
        <v>-103.73172029713479</v>
      </c>
      <c r="BQ410" s="66">
        <f t="shared" si="363"/>
        <v>21.175939992244381</v>
      </c>
    </row>
    <row r="411" spans="1:81" x14ac:dyDescent="0.15">
      <c r="A411">
        <f t="shared" si="319"/>
        <v>985000</v>
      </c>
      <c r="B411">
        <f t="shared" si="351"/>
        <v>985</v>
      </c>
      <c r="C411">
        <f t="shared" si="320"/>
        <v>4.2053256697648891</v>
      </c>
      <c r="D411">
        <f t="shared" si="321"/>
        <v>1.3307025527025136</v>
      </c>
      <c r="F411">
        <f t="shared" si="322"/>
        <v>2.3859988840513229E-5</v>
      </c>
      <c r="G411">
        <f t="shared" si="323"/>
        <v>1.5999699559938645E-3</v>
      </c>
      <c r="H411">
        <f t="shared" si="324"/>
        <v>-3.1399926800440063</v>
      </c>
      <c r="J411">
        <f t="shared" si="325"/>
        <v>15</v>
      </c>
      <c r="M411">
        <f t="shared" si="326"/>
        <v>9.6753666235299771E-4</v>
      </c>
      <c r="N411">
        <f t="shared" si="327"/>
        <v>-1.5707963250000001</v>
      </c>
      <c r="O411">
        <f t="shared" si="328"/>
        <v>418.68281748497492</v>
      </c>
      <c r="P411">
        <f t="shared" si="329"/>
        <v>1.5684078816306408</v>
      </c>
      <c r="Q411">
        <f t="shared" si="330"/>
        <v>189.49552760574019</v>
      </c>
      <c r="R411">
        <f t="shared" si="331"/>
        <v>1.5655191328995439</v>
      </c>
      <c r="S411">
        <f t="shared" si="332"/>
        <v>0.25295133462866543</v>
      </c>
      <c r="T411">
        <f t="shared" si="333"/>
        <v>-1.3150667412101551</v>
      </c>
      <c r="U411">
        <f t="shared" si="334"/>
        <v>0.13179720951738402</v>
      </c>
      <c r="V411">
        <f t="shared" si="335"/>
        <v>-1.4386145394858201</v>
      </c>
      <c r="X411">
        <f t="shared" si="352"/>
        <v>-48.286882944315991</v>
      </c>
      <c r="Y411">
        <f t="shared" si="336"/>
        <v>-171.87821257835921</v>
      </c>
      <c r="Z411">
        <f t="shared" si="353"/>
        <v>8.1217874216407893</v>
      </c>
      <c r="AC411">
        <v>1</v>
      </c>
      <c r="AD411">
        <f t="shared" si="337"/>
        <v>418.681623261825</v>
      </c>
      <c r="AE411">
        <f t="shared" si="338"/>
        <v>-0.38867916110234324</v>
      </c>
      <c r="AF411">
        <f t="shared" si="339"/>
        <v>5.1677628296175011E-2</v>
      </c>
      <c r="AG411">
        <f t="shared" si="315"/>
        <v>138.20416545732078</v>
      </c>
      <c r="AH411">
        <f t="shared" si="316"/>
        <v>-1058.8156015443697</v>
      </c>
      <c r="AJ411">
        <f t="shared" si="340"/>
        <v>20000</v>
      </c>
      <c r="AK411">
        <f t="shared" si="341"/>
        <v>76495.267753380002</v>
      </c>
      <c r="AL411">
        <v>1</v>
      </c>
      <c r="AM411">
        <f t="shared" si="342"/>
        <v>189.49288900266902</v>
      </c>
      <c r="AN411">
        <f t="shared" si="317"/>
        <v>404.22983572196762</v>
      </c>
      <c r="AO411">
        <f t="shared" si="318"/>
        <v>-103.41163864994439</v>
      </c>
      <c r="AQ411">
        <f t="shared" si="343"/>
        <v>2.5767212304565359E-3</v>
      </c>
      <c r="AR411">
        <f t="shared" si="344"/>
        <v>-5.0761408239993751</v>
      </c>
      <c r="AT411">
        <f t="shared" si="365"/>
        <v>-5374.3409864795594</v>
      </c>
      <c r="AU411">
        <f t="shared" si="366"/>
        <v>-704.27207896430832</v>
      </c>
      <c r="AV411">
        <f t="shared" si="354"/>
        <v>-3.0112916972753738</v>
      </c>
      <c r="AW411">
        <f t="shared" si="355"/>
        <v>4.4663007140298543</v>
      </c>
      <c r="AX411">
        <f t="shared" si="356"/>
        <v>-3330.5241782171511</v>
      </c>
      <c r="AY411">
        <f t="shared" si="364"/>
        <v>-1.569455307244298</v>
      </c>
      <c r="BA411">
        <f t="shared" si="345"/>
        <v>1.6274569751896912</v>
      </c>
      <c r="BB411">
        <f t="shared" si="357"/>
        <v>4.2301903204151374</v>
      </c>
      <c r="BC411">
        <f t="shared" si="358"/>
        <v>-1.4418363900310758</v>
      </c>
      <c r="BD411">
        <f t="shared" si="346"/>
        <v>-262.61113999155606</v>
      </c>
      <c r="BF411">
        <f t="shared" si="347"/>
        <v>-52.218587090915143</v>
      </c>
      <c r="BG411">
        <f t="shared" si="348"/>
        <v>-186.27582832136505</v>
      </c>
      <c r="BH411">
        <f t="shared" si="359"/>
        <v>-6.2758283213650543</v>
      </c>
      <c r="BI411">
        <f t="shared" si="360"/>
        <v>-6.2758283213650543</v>
      </c>
      <c r="BJ411">
        <f t="shared" si="349"/>
        <v>0</v>
      </c>
      <c r="BK411">
        <f t="shared" si="361"/>
        <v>0</v>
      </c>
      <c r="BM411">
        <f t="shared" si="362"/>
        <v>-56.448777411330283</v>
      </c>
      <c r="BN411">
        <f t="shared" si="350"/>
        <v>-103.66468832980898</v>
      </c>
      <c r="BQ411" s="66">
        <f t="shared" si="363"/>
        <v>21.132151120700271</v>
      </c>
    </row>
    <row r="412" spans="1:81" x14ac:dyDescent="0.15">
      <c r="A412">
        <f t="shared" si="319"/>
        <v>990000</v>
      </c>
      <c r="B412">
        <f t="shared" si="351"/>
        <v>990</v>
      </c>
      <c r="C412">
        <f t="shared" si="320"/>
        <v>4.2254683025247566</v>
      </c>
      <c r="D412">
        <f t="shared" si="321"/>
        <v>1.3318694145066392</v>
      </c>
      <c r="F412">
        <f t="shared" si="322"/>
        <v>2.3619581997066129E-5</v>
      </c>
      <c r="G412">
        <f t="shared" si="323"/>
        <v>1.5918889243988475E-3</v>
      </c>
      <c r="H412">
        <f t="shared" si="324"/>
        <v>-3.1400007610756013</v>
      </c>
      <c r="J412">
        <f t="shared" si="325"/>
        <v>15</v>
      </c>
      <c r="M412">
        <f t="shared" si="326"/>
        <v>9.6265011355323507E-4</v>
      </c>
      <c r="N412">
        <f t="shared" si="327"/>
        <v>-1.5707963250000001</v>
      </c>
      <c r="O412">
        <f t="shared" si="328"/>
        <v>420.80809888128687</v>
      </c>
      <c r="P412">
        <f t="shared" si="329"/>
        <v>1.5684199444394762</v>
      </c>
      <c r="Q412">
        <f t="shared" si="330"/>
        <v>190.45740711722323</v>
      </c>
      <c r="R412">
        <f t="shared" si="331"/>
        <v>1.5655457849028838</v>
      </c>
      <c r="S412">
        <f t="shared" si="332"/>
        <v>0.25175496575438527</v>
      </c>
      <c r="T412">
        <f t="shared" si="333"/>
        <v>-1.316303125501838</v>
      </c>
      <c r="U412">
        <f t="shared" si="334"/>
        <v>0.13114304364948587</v>
      </c>
      <c r="V412">
        <f t="shared" si="335"/>
        <v>-1.4392744331555931</v>
      </c>
      <c r="X412">
        <f t="shared" si="352"/>
        <v>-48.373759144827169</v>
      </c>
      <c r="Y412">
        <f t="shared" si="336"/>
        <v>-171.9182498593909</v>
      </c>
      <c r="Z412">
        <f t="shared" si="353"/>
        <v>8.0817501406091026</v>
      </c>
      <c r="AC412">
        <v>1</v>
      </c>
      <c r="AD412">
        <f t="shared" si="337"/>
        <v>420.80691068955002</v>
      </c>
      <c r="AE412">
        <f t="shared" si="338"/>
        <v>-0.39263515761437462</v>
      </c>
      <c r="AF412">
        <f t="shared" si="339"/>
        <v>5.1939951282449999E-2</v>
      </c>
      <c r="AG412">
        <f t="shared" si="315"/>
        <v>136.83563754546836</v>
      </c>
      <c r="AH412">
        <f t="shared" si="316"/>
        <v>-1053.6490844460986</v>
      </c>
      <c r="AJ412">
        <f t="shared" si="340"/>
        <v>20000</v>
      </c>
      <c r="AK412">
        <f t="shared" si="341"/>
        <v>76883.568604920001</v>
      </c>
      <c r="AL412">
        <v>1</v>
      </c>
      <c r="AM412">
        <f t="shared" si="342"/>
        <v>190.454781840246</v>
      </c>
      <c r="AN412">
        <f t="shared" si="317"/>
        <v>404.2243373863547</v>
      </c>
      <c r="AO412">
        <f t="shared" si="318"/>
        <v>-102.88938651616864</v>
      </c>
      <c r="AQ412">
        <f t="shared" si="343"/>
        <v>2.5507594758801457E-3</v>
      </c>
      <c r="AR412">
        <f t="shared" si="344"/>
        <v>-5.0505037622426894</v>
      </c>
      <c r="AT412">
        <f t="shared" si="365"/>
        <v>-5321.1096302794786</v>
      </c>
      <c r="AU412">
        <f t="shared" si="366"/>
        <v>-693.77650761866823</v>
      </c>
      <c r="AV412">
        <f t="shared" si="354"/>
        <v>-3.0119420918438014</v>
      </c>
      <c r="AW412">
        <f t="shared" si="355"/>
        <v>8.5098543876552455</v>
      </c>
      <c r="AX412">
        <f t="shared" si="356"/>
        <v>-3313.8347074718567</v>
      </c>
      <c r="AY412">
        <f t="shared" si="364"/>
        <v>-1.5682283545111755</v>
      </c>
      <c r="BA412">
        <f t="shared" si="345"/>
        <v>1.6193110919058751</v>
      </c>
      <c r="BB412">
        <f t="shared" si="357"/>
        <v>4.1866058140970495</v>
      </c>
      <c r="BC412">
        <f t="shared" si="358"/>
        <v>-1.4437137373326259</v>
      </c>
      <c r="BD412">
        <f t="shared" si="346"/>
        <v>-262.71870406873808</v>
      </c>
      <c r="BF412">
        <f t="shared" si="347"/>
        <v>-52.308627891096798</v>
      </c>
      <c r="BG412">
        <f t="shared" si="348"/>
        <v>-186.31699915082427</v>
      </c>
      <c r="BH412">
        <f t="shared" si="359"/>
        <v>-6.3169991508242731</v>
      </c>
      <c r="BI412">
        <f t="shared" si="360"/>
        <v>-6.3169991508242731</v>
      </c>
      <c r="BJ412">
        <f t="shared" si="349"/>
        <v>0</v>
      </c>
      <c r="BK412">
        <f t="shared" si="361"/>
        <v>0</v>
      </c>
      <c r="BM412">
        <f t="shared" si="362"/>
        <v>-56.495233705193854</v>
      </c>
      <c r="BN412">
        <f t="shared" si="350"/>
        <v>-103.59829508208621</v>
      </c>
      <c r="BQ412" s="66">
        <f t="shared" si="363"/>
        <v>21.088566614382188</v>
      </c>
    </row>
    <row r="413" spans="1:81" x14ac:dyDescent="0.15">
      <c r="A413">
        <f t="shared" si="319"/>
        <v>995000</v>
      </c>
      <c r="B413">
        <f t="shared" si="351"/>
        <v>995</v>
      </c>
      <c r="C413">
        <f t="shared" si="320"/>
        <v>4.2456166339452786</v>
      </c>
      <c r="D413">
        <f t="shared" si="321"/>
        <v>1.3330252027701603</v>
      </c>
      <c r="F413">
        <f t="shared" si="322"/>
        <v>2.338279037239163E-5</v>
      </c>
      <c r="G413">
        <f t="shared" si="323"/>
        <v>1.5838891148164146E-3</v>
      </c>
      <c r="H413">
        <f t="shared" si="324"/>
        <v>-3.1400087608851837</v>
      </c>
      <c r="J413">
        <f t="shared" si="325"/>
        <v>15</v>
      </c>
      <c r="M413">
        <f t="shared" si="326"/>
        <v>9.5781267579668613E-4</v>
      </c>
      <c r="N413">
        <f t="shared" si="327"/>
        <v>-1.5707963250000001</v>
      </c>
      <c r="O413">
        <f t="shared" si="328"/>
        <v>422.9333803382159</v>
      </c>
      <c r="P413">
        <f t="shared" si="329"/>
        <v>1.5684318860147333</v>
      </c>
      <c r="Q413">
        <f t="shared" si="330"/>
        <v>191.41928676263407</v>
      </c>
      <c r="R413">
        <f t="shared" si="331"/>
        <v>1.5655721690542408</v>
      </c>
      <c r="S413">
        <f t="shared" si="332"/>
        <v>0.25056948275757562</v>
      </c>
      <c r="T413">
        <f t="shared" si="333"/>
        <v>-1.3175278676896267</v>
      </c>
      <c r="U413">
        <f t="shared" si="334"/>
        <v>0.1304952835324597</v>
      </c>
      <c r="V413">
        <f t="shared" si="335"/>
        <v>-1.439927808228789</v>
      </c>
      <c r="X413">
        <f t="shared" si="352"/>
        <v>-48.460207986078231</v>
      </c>
      <c r="Y413">
        <f t="shared" si="336"/>
        <v>-171.95789871535496</v>
      </c>
      <c r="Z413">
        <f t="shared" si="353"/>
        <v>8.0421012846450424</v>
      </c>
      <c r="AC413">
        <v>1</v>
      </c>
      <c r="AD413">
        <f t="shared" si="337"/>
        <v>422.93219811727505</v>
      </c>
      <c r="AE413">
        <f t="shared" si="338"/>
        <v>-0.39661118448849225</v>
      </c>
      <c r="AF413">
        <f t="shared" si="339"/>
        <v>5.2202274268725E-2</v>
      </c>
      <c r="AG413">
        <f t="shared" si="315"/>
        <v>135.48722038515433</v>
      </c>
      <c r="AH413">
        <f t="shared" si="316"/>
        <v>-1048.53184514994</v>
      </c>
      <c r="AJ413">
        <f t="shared" si="340"/>
        <v>20000</v>
      </c>
      <c r="AK413">
        <f t="shared" si="341"/>
        <v>77271.869456460001</v>
      </c>
      <c r="AL413">
        <v>1</v>
      </c>
      <c r="AM413">
        <f t="shared" si="342"/>
        <v>191.41667467782298</v>
      </c>
      <c r="AN413">
        <f t="shared" si="317"/>
        <v>404.21892172876613</v>
      </c>
      <c r="AO413">
        <f t="shared" si="318"/>
        <v>-102.37238271562946</v>
      </c>
      <c r="AQ413">
        <f t="shared" si="343"/>
        <v>2.5251881202019849E-3</v>
      </c>
      <c r="AR413">
        <f t="shared" si="344"/>
        <v>-5.0251243592019499</v>
      </c>
      <c r="AT413">
        <f t="shared" si="365"/>
        <v>-5268.6607857425743</v>
      </c>
      <c r="AU413">
        <f t="shared" si="366"/>
        <v>-683.48787167702812</v>
      </c>
      <c r="AV413">
        <f t="shared" si="354"/>
        <v>-3.0125860632833326</v>
      </c>
      <c r="AW413">
        <f t="shared" si="355"/>
        <v>12.492187971787763</v>
      </c>
      <c r="AX413">
        <f t="shared" si="356"/>
        <v>-3297.3110597933801</v>
      </c>
      <c r="AY413">
        <f t="shared" si="364"/>
        <v>-1.5670077463495022</v>
      </c>
      <c r="BA413">
        <f t="shared" si="345"/>
        <v>1.6112435336596036</v>
      </c>
      <c r="BB413">
        <f t="shared" si="357"/>
        <v>4.1432237485593673</v>
      </c>
      <c r="BC413">
        <f t="shared" si="358"/>
        <v>-1.4455783169338303</v>
      </c>
      <c r="BD413">
        <f t="shared" si="346"/>
        <v>-262.82553661057534</v>
      </c>
      <c r="BF413">
        <f t="shared" si="347"/>
        <v>-52.398208823080026</v>
      </c>
      <c r="BG413">
        <f t="shared" si="348"/>
        <v>-186.35806825840189</v>
      </c>
      <c r="BH413">
        <f t="shared" si="359"/>
        <v>-6.3580682584018859</v>
      </c>
      <c r="BI413">
        <f t="shared" si="360"/>
        <v>-6.3580682584018859</v>
      </c>
      <c r="BJ413">
        <f t="shared" si="349"/>
        <v>0</v>
      </c>
      <c r="BK413">
        <f t="shared" si="361"/>
        <v>0</v>
      </c>
      <c r="BM413">
        <f t="shared" si="362"/>
        <v>-56.54143257163939</v>
      </c>
      <c r="BN413">
        <f t="shared" si="350"/>
        <v>-103.53253164782653</v>
      </c>
      <c r="BQ413" s="66">
        <f t="shared" si="363"/>
        <v>21.045184548844503</v>
      </c>
    </row>
    <row r="414" spans="1:81" x14ac:dyDescent="0.15">
      <c r="A414">
        <f t="shared" si="319"/>
        <v>1000000</v>
      </c>
      <c r="B414">
        <f t="shared" si="351"/>
        <v>1000</v>
      </c>
      <c r="C414">
        <f t="shared" si="320"/>
        <v>4.2657705832777371</v>
      </c>
      <c r="D414">
        <f t="shared" si="321"/>
        <v>1.3341700713363775</v>
      </c>
      <c r="F414">
        <f t="shared" si="322"/>
        <v>2.3149541840487169E-5</v>
      </c>
      <c r="G414">
        <f t="shared" si="323"/>
        <v>1.5759693088049204E-3</v>
      </c>
      <c r="H414">
        <f t="shared" si="324"/>
        <v>-3.1400166806911951</v>
      </c>
      <c r="J414">
        <f t="shared" si="325"/>
        <v>15</v>
      </c>
      <c r="M414">
        <f t="shared" si="326"/>
        <v>9.530236124177027E-4</v>
      </c>
      <c r="N414">
        <f t="shared" si="327"/>
        <v>-1.5707963250000001</v>
      </c>
      <c r="O414">
        <f t="shared" si="328"/>
        <v>425.05866185485257</v>
      </c>
      <c r="P414">
        <f t="shared" si="329"/>
        <v>1.5684437081749021</v>
      </c>
      <c r="Q414">
        <f t="shared" si="330"/>
        <v>192.38116653996389</v>
      </c>
      <c r="R414">
        <f t="shared" si="331"/>
        <v>1.565598289371249</v>
      </c>
      <c r="S414">
        <f t="shared" si="332"/>
        <v>0.24939474317341309</v>
      </c>
      <c r="T414">
        <f t="shared" si="333"/>
        <v>-1.3187411278175327</v>
      </c>
      <c r="U414">
        <f t="shared" si="334"/>
        <v>0.12985383635939202</v>
      </c>
      <c r="V414">
        <f t="shared" si="335"/>
        <v>-1.4405747602695298</v>
      </c>
      <c r="X414">
        <f t="shared" si="352"/>
        <v>-48.546233608078133</v>
      </c>
      <c r="Y414">
        <f t="shared" si="336"/>
        <v>-171.99716471237326</v>
      </c>
      <c r="Z414">
        <f t="shared" si="353"/>
        <v>8.0028352876267377</v>
      </c>
      <c r="AC414">
        <v>1</v>
      </c>
      <c r="AD414">
        <f t="shared" si="337"/>
        <v>425.05748554500008</v>
      </c>
      <c r="AE414">
        <f t="shared" si="338"/>
        <v>-0.40060724172469608</v>
      </c>
      <c r="AF414">
        <f t="shared" si="339"/>
        <v>5.2464597255000002E-2</v>
      </c>
      <c r="AG414">
        <f t="shared" si="315"/>
        <v>134.15852412770727</v>
      </c>
      <c r="AH414">
        <f t="shared" si="316"/>
        <v>-1043.4631955444884</v>
      </c>
      <c r="AJ414">
        <f t="shared" si="340"/>
        <v>20000</v>
      </c>
      <c r="AK414">
        <f t="shared" si="341"/>
        <v>77660.170308000001</v>
      </c>
      <c r="AL414">
        <v>1</v>
      </c>
      <c r="AM414">
        <f t="shared" si="342"/>
        <v>192.37856751539999</v>
      </c>
      <c r="AN414">
        <f t="shared" si="317"/>
        <v>404.21358709985719</v>
      </c>
      <c r="AO414">
        <f t="shared" si="318"/>
        <v>-101.86054853190177</v>
      </c>
      <c r="AQ414">
        <f t="shared" si="343"/>
        <v>2.4999993750001561E-3</v>
      </c>
      <c r="AR414">
        <f t="shared" si="344"/>
        <v>-4.9999987500003122</v>
      </c>
      <c r="AT414">
        <f t="shared" si="365"/>
        <v>-5216.9792771673028</v>
      </c>
      <c r="AU414">
        <f t="shared" si="366"/>
        <v>-673.40111027711998</v>
      </c>
      <c r="AV414">
        <f t="shared" si="354"/>
        <v>-3.0132237057260873</v>
      </c>
      <c r="AW414">
        <f t="shared" si="355"/>
        <v>16.414532870576711</v>
      </c>
      <c r="AX414">
        <f t="shared" si="356"/>
        <v>-3280.9507844270793</v>
      </c>
      <c r="AY414">
        <f t="shared" si="364"/>
        <v>-1.5657933880127479</v>
      </c>
      <c r="BA414">
        <f t="shared" si="345"/>
        <v>1.6032531846118836</v>
      </c>
      <c r="BB414">
        <f t="shared" si="357"/>
        <v>4.1000422249649446</v>
      </c>
      <c r="BC414">
        <f t="shared" si="358"/>
        <v>-1.4474303177133394</v>
      </c>
      <c r="BD414">
        <f t="shared" si="346"/>
        <v>-262.93164843901741</v>
      </c>
      <c r="BF414">
        <f t="shared" si="347"/>
        <v>-52.487334689788696</v>
      </c>
      <c r="BG414">
        <f t="shared" si="348"/>
        <v>-186.39903772128707</v>
      </c>
      <c r="BH414">
        <f t="shared" si="359"/>
        <v>-6.3990377212870726</v>
      </c>
      <c r="BI414">
        <f t="shared" si="360"/>
        <v>-6.3990377212870726</v>
      </c>
      <c r="BJ414">
        <f t="shared" si="349"/>
        <v>0</v>
      </c>
      <c r="BK414">
        <f t="shared" si="361"/>
        <v>0</v>
      </c>
      <c r="BM414">
        <f t="shared" si="362"/>
        <v>-56.587376914753648</v>
      </c>
      <c r="BN414">
        <f t="shared" si="350"/>
        <v>-103.46738928226965</v>
      </c>
      <c r="BQ414" s="66">
        <f t="shared" si="363"/>
        <v>21.002003025250083</v>
      </c>
    </row>
    <row r="415" spans="1:81" x14ac:dyDescent="0.15">
      <c r="A415">
        <f t="shared" si="319"/>
        <v>1005000</v>
      </c>
      <c r="B415">
        <f t="shared" si="351"/>
        <v>1005</v>
      </c>
      <c r="C415">
        <f t="shared" si="320"/>
        <v>4.2859300712699442</v>
      </c>
      <c r="D415">
        <f t="shared" si="321"/>
        <v>1.3353041712698122</v>
      </c>
      <c r="F415">
        <f t="shared" si="322"/>
        <v>2.291976606513453E-5</v>
      </c>
      <c r="G415">
        <f t="shared" si="323"/>
        <v>1.5681283121730678E-3</v>
      </c>
      <c r="H415">
        <f t="shared" si="324"/>
        <v>-3.1400245216878271</v>
      </c>
      <c r="J415">
        <f t="shared" si="325"/>
        <v>15</v>
      </c>
      <c r="M415">
        <f t="shared" si="326"/>
        <v>9.4828220141064939E-4</v>
      </c>
      <c r="N415">
        <f t="shared" si="327"/>
        <v>-1.5707963250000001</v>
      </c>
      <c r="O415">
        <f t="shared" si="328"/>
        <v>427.18394343030587</v>
      </c>
      <c r="P415">
        <f t="shared" si="329"/>
        <v>1.5684554127022843</v>
      </c>
      <c r="Q415">
        <f t="shared" si="330"/>
        <v>193.34304644724384</v>
      </c>
      <c r="R415">
        <f t="shared" si="331"/>
        <v>1.565624149791593</v>
      </c>
      <c r="S415">
        <f t="shared" si="332"/>
        <v>0.2482306069062126</v>
      </c>
      <c r="T415">
        <f t="shared" si="333"/>
        <v>-1.3199430630779556</v>
      </c>
      <c r="U415">
        <f t="shared" si="334"/>
        <v>0.12921861109135171</v>
      </c>
      <c r="V415">
        <f t="shared" si="335"/>
        <v>-1.4412153829937442</v>
      </c>
      <c r="X415">
        <f t="shared" si="352"/>
        <v>-48.631840091534009</v>
      </c>
      <c r="Y415">
        <f t="shared" si="336"/>
        <v>-172.0360533117655</v>
      </c>
      <c r="Z415">
        <f t="shared" si="353"/>
        <v>7.9639466882345005</v>
      </c>
      <c r="AC415">
        <v>1</v>
      </c>
      <c r="AD415">
        <f t="shared" si="337"/>
        <v>427.1827729727251</v>
      </c>
      <c r="AE415">
        <f t="shared" si="338"/>
        <v>-0.40462332932298611</v>
      </c>
      <c r="AF415">
        <f t="shared" si="339"/>
        <v>5.2726920241275003E-2</v>
      </c>
      <c r="AG415">
        <f t="shared" si="315"/>
        <v>132.84916827018043</v>
      </c>
      <c r="AH415">
        <f t="shared" si="316"/>
        <v>-1038.4424599942458</v>
      </c>
      <c r="AJ415">
        <f t="shared" si="340"/>
        <v>20000</v>
      </c>
      <c r="AK415">
        <f t="shared" si="341"/>
        <v>78048.47115954</v>
      </c>
      <c r="AL415">
        <v>1</v>
      </c>
      <c r="AM415">
        <f t="shared" si="342"/>
        <v>193.340460352977</v>
      </c>
      <c r="AN415">
        <f t="shared" si="317"/>
        <v>404.20833189120685</v>
      </c>
      <c r="AO415">
        <f t="shared" si="318"/>
        <v>-101.3538068148448</v>
      </c>
      <c r="AQ415">
        <f t="shared" si="343"/>
        <v>2.4751856451113476E-3</v>
      </c>
      <c r="AR415">
        <f t="shared" si="344"/>
        <v>-4.9751231466738082</v>
      </c>
      <c r="AT415">
        <f t="shared" si="365"/>
        <v>-5166.0502928519954</v>
      </c>
      <c r="AU415">
        <f t="shared" si="366"/>
        <v>-663.51130994759012</v>
      </c>
      <c r="AV415">
        <f t="shared" si="354"/>
        <v>-3.01385511148449</v>
      </c>
      <c r="AW415">
        <f t="shared" si="355"/>
        <v>20.278089642100472</v>
      </c>
      <c r="AX415">
        <f t="shared" si="356"/>
        <v>-3264.7514785242547</v>
      </c>
      <c r="AY415">
        <f t="shared" si="364"/>
        <v>-1.5645851866789224</v>
      </c>
      <c r="BA415">
        <f t="shared" si="345"/>
        <v>1.59533894968293</v>
      </c>
      <c r="BB415">
        <f t="shared" si="357"/>
        <v>4.0570593696592354</v>
      </c>
      <c r="BC415">
        <f t="shared" si="358"/>
        <v>-1.4492699248055676</v>
      </c>
      <c r="BD415">
        <f t="shared" si="346"/>
        <v>-263.0370501614849</v>
      </c>
      <c r="BF415">
        <f t="shared" si="347"/>
        <v>-52.576010219699249</v>
      </c>
      <c r="BG415">
        <f t="shared" si="348"/>
        <v>-186.4399095599631</v>
      </c>
      <c r="BH415">
        <f t="shared" si="359"/>
        <v>-6.4399095599630982</v>
      </c>
      <c r="BI415">
        <f t="shared" si="360"/>
        <v>-6.4399095599630982</v>
      </c>
      <c r="BJ415">
        <f t="shared" si="349"/>
        <v>0</v>
      </c>
      <c r="BK415">
        <f t="shared" si="361"/>
        <v>0</v>
      </c>
      <c r="BM415">
        <f t="shared" si="362"/>
        <v>-56.633069589358485</v>
      </c>
      <c r="BN415">
        <f t="shared" si="350"/>
        <v>-103.40285939847824</v>
      </c>
      <c r="BQ415" s="66">
        <f t="shared" si="363"/>
        <v>20.95902016994437</v>
      </c>
    </row>
    <row r="416" spans="1:81" x14ac:dyDescent="0.15">
      <c r="A416">
        <f t="shared" si="319"/>
        <v>1010000</v>
      </c>
      <c r="B416">
        <f t="shared" si="351"/>
        <v>1010</v>
      </c>
      <c r="C416">
        <f t="shared" si="320"/>
        <v>4.3060950201322497</v>
      </c>
      <c r="D416">
        <f t="shared" si="321"/>
        <v>1.3364276509172868</v>
      </c>
      <c r="F416">
        <f t="shared" si="322"/>
        <v>2.2693394446867273E-5</v>
      </c>
      <c r="G416">
        <f t="shared" si="323"/>
        <v>1.5603649543795687E-3</v>
      </c>
      <c r="H416">
        <f t="shared" si="324"/>
        <v>-3.1400322850456206</v>
      </c>
      <c r="J416">
        <f t="shared" si="325"/>
        <v>15</v>
      </c>
      <c r="M416">
        <f t="shared" si="326"/>
        <v>9.4358773506703249E-4</v>
      </c>
      <c r="N416">
        <f t="shared" si="327"/>
        <v>-1.5707963250000001</v>
      </c>
      <c r="O416">
        <f t="shared" si="328"/>
        <v>429.30922506370212</v>
      </c>
      <c r="P416">
        <f t="shared" si="329"/>
        <v>1.5684670013438886</v>
      </c>
      <c r="Q416">
        <f t="shared" si="330"/>
        <v>194.30492648254395</v>
      </c>
      <c r="R416">
        <f t="shared" si="331"/>
        <v>1.565649754174987</v>
      </c>
      <c r="S416">
        <f t="shared" si="332"/>
        <v>0.24707693618301479</v>
      </c>
      <c r="T416">
        <f t="shared" si="333"/>
        <v>-1.3211338278732916</v>
      </c>
      <c r="U416">
        <f t="shared" si="334"/>
        <v>0.12858951841588662</v>
      </c>
      <c r="V416">
        <f t="shared" si="335"/>
        <v>-1.4418497683133724</v>
      </c>
      <c r="X416">
        <f t="shared" si="352"/>
        <v>-48.71703145896894</v>
      </c>
      <c r="Y416">
        <f t="shared" si="336"/>
        <v>-172.07456987248233</v>
      </c>
      <c r="Z416">
        <f t="shared" si="353"/>
        <v>7.9254301275176715</v>
      </c>
      <c r="AC416">
        <v>1</v>
      </c>
      <c r="AD416">
        <f t="shared" si="337"/>
        <v>429.30806040045007</v>
      </c>
      <c r="AE416">
        <f t="shared" si="338"/>
        <v>-0.40865944728336245</v>
      </c>
      <c r="AF416">
        <f t="shared" si="339"/>
        <v>5.2989243227550005E-2</v>
      </c>
      <c r="AG416">
        <f t="shared" si="315"/>
        <v>131.55878138939249</v>
      </c>
      <c r="AH416">
        <f t="shared" si="316"/>
        <v>-1033.4689750652972</v>
      </c>
      <c r="AJ416">
        <f t="shared" si="340"/>
        <v>20000</v>
      </c>
      <c r="AK416">
        <f t="shared" si="341"/>
        <v>78436.77201108</v>
      </c>
      <c r="AL416">
        <v>1</v>
      </c>
      <c r="AM416">
        <f t="shared" si="342"/>
        <v>194.30235319055399</v>
      </c>
      <c r="AN416">
        <f t="shared" si="317"/>
        <v>404.20315453410547</v>
      </c>
      <c r="AO416">
        <f t="shared" si="318"/>
        <v>-100.85208194183899</v>
      </c>
      <c r="AQ416">
        <f t="shared" si="343"/>
        <v>2.4507395229047342E-3</v>
      </c>
      <c r="AR416">
        <f t="shared" si="344"/>
        <v>-4.9504938362675626</v>
      </c>
      <c r="AT416">
        <f t="shared" si="365"/>
        <v>-5115.8593747293726</v>
      </c>
      <c r="AU416">
        <f t="shared" si="366"/>
        <v>-653.81369963794759</v>
      </c>
      <c r="AV416">
        <f t="shared" si="354"/>
        <v>-3.0144803710947676</v>
      </c>
      <c r="AW416">
        <f t="shared" si="355"/>
        <v>24.084028922010528</v>
      </c>
      <c r="AX416">
        <f t="shared" si="356"/>
        <v>-3248.7107859805983</v>
      </c>
      <c r="AY416">
        <f t="shared" si="364"/>
        <v>-1.5633830514021496</v>
      </c>
      <c r="BA416">
        <f t="shared" si="345"/>
        <v>1.5874997540810014</v>
      </c>
      <c r="BB416">
        <f t="shared" si="357"/>
        <v>4.014273333752425</v>
      </c>
      <c r="BC416">
        <f t="shared" si="358"/>
        <v>-1.451097319692618</v>
      </c>
      <c r="BD416">
        <f t="shared" si="346"/>
        <v>-263.14175217613627</v>
      </c>
      <c r="BF416">
        <f t="shared" si="347"/>
        <v>-52.664240068363632</v>
      </c>
      <c r="BG416">
        <f t="shared" si="348"/>
        <v>-186.48068574000874</v>
      </c>
      <c r="BH416">
        <f t="shared" si="359"/>
        <v>-6.4806857400087381</v>
      </c>
      <c r="BI416">
        <f t="shared" si="360"/>
        <v>-6.4806857400087381</v>
      </c>
      <c r="BJ416">
        <f t="shared" si="349"/>
        <v>0</v>
      </c>
      <c r="BK416">
        <f t="shared" si="361"/>
        <v>0</v>
      </c>
      <c r="BM416">
        <f t="shared" si="362"/>
        <v>-56.67851340211606</v>
      </c>
      <c r="BN416">
        <f t="shared" si="350"/>
        <v>-103.33893356387247</v>
      </c>
      <c r="BQ416" s="66">
        <f t="shared" si="363"/>
        <v>20.916234134037563</v>
      </c>
    </row>
    <row r="417" spans="1:69" x14ac:dyDescent="0.15">
      <c r="A417">
        <f t="shared" si="319"/>
        <v>1015000</v>
      </c>
      <c r="B417">
        <f t="shared" si="351"/>
        <v>1015</v>
      </c>
      <c r="C417">
        <f t="shared" si="320"/>
        <v>4.3262653535044491</v>
      </c>
      <c r="D417">
        <f t="shared" si="321"/>
        <v>1.3375406559674441</v>
      </c>
      <c r="F417">
        <f t="shared" si="322"/>
        <v>2.2470360071762378E-5</v>
      </c>
      <c r="G417">
        <f t="shared" si="323"/>
        <v>1.5526780879505544E-3</v>
      </c>
      <c r="H417">
        <f t="shared" si="324"/>
        <v>-3.1400399719120498</v>
      </c>
      <c r="J417">
        <f t="shared" si="325"/>
        <v>15</v>
      </c>
      <c r="M417">
        <f t="shared" si="326"/>
        <v>9.3893951962335256E-4</v>
      </c>
      <c r="N417">
        <f t="shared" si="327"/>
        <v>-1.5707963250000001</v>
      </c>
      <c r="O417">
        <f t="shared" si="328"/>
        <v>431.43450675418518</v>
      </c>
      <c r="P417">
        <f t="shared" si="329"/>
        <v>1.5684784758123005</v>
      </c>
      <c r="Q417">
        <f t="shared" si="330"/>
        <v>195.26680664397233</v>
      </c>
      <c r="R417">
        <f t="shared" si="331"/>
        <v>1.5656751063050949</v>
      </c>
      <c r="S417">
        <f t="shared" si="332"/>
        <v>0.24593359550818036</v>
      </c>
      <c r="T417">
        <f t="shared" si="333"/>
        <v>-1.3223135738759968</v>
      </c>
      <c r="U417">
        <f t="shared" si="334"/>
        <v>0.12796647070667203</v>
      </c>
      <c r="V417">
        <f t="shared" si="335"/>
        <v>-1.4424780063793159</v>
      </c>
      <c r="X417">
        <f t="shared" si="352"/>
        <v>-48.801811675813703</v>
      </c>
      <c r="Y417">
        <f t="shared" si="336"/>
        <v>-172.11271965347069</v>
      </c>
      <c r="Z417">
        <f t="shared" si="353"/>
        <v>7.8872803465293089</v>
      </c>
      <c r="AC417">
        <v>1</v>
      </c>
      <c r="AD417">
        <f t="shared" si="337"/>
        <v>431.43334782817499</v>
      </c>
      <c r="AE417">
        <f t="shared" si="338"/>
        <v>-0.41271559560582488</v>
      </c>
      <c r="AF417">
        <f t="shared" si="339"/>
        <v>5.3251566213825006E-2</v>
      </c>
      <c r="AG417">
        <f t="shared" si="315"/>
        <v>130.28700088470265</v>
      </c>
      <c r="AH417">
        <f t="shared" si="316"/>
        <v>-1028.54208925797</v>
      </c>
      <c r="AJ417">
        <f t="shared" si="340"/>
        <v>20000</v>
      </c>
      <c r="AK417">
        <f t="shared" si="341"/>
        <v>78825.07286262</v>
      </c>
      <c r="AL417">
        <v>1</v>
      </c>
      <c r="AM417">
        <f t="shared" si="342"/>
        <v>195.264246028131</v>
      </c>
      <c r="AN417">
        <f t="shared" si="317"/>
        <v>404.1980534983843</v>
      </c>
      <c r="AO417">
        <f t="shared" si="318"/>
        <v>-100.35529978016825</v>
      </c>
      <c r="AQ417">
        <f t="shared" si="343"/>
        <v>2.4266537827528495E-3</v>
      </c>
      <c r="AR417">
        <f t="shared" si="344"/>
        <v>-4.9261071789882847</v>
      </c>
      <c r="AT417">
        <f t="shared" si="365"/>
        <v>-5066.3924083417551</v>
      </c>
      <c r="AU417">
        <f t="shared" si="366"/>
        <v>-644.30364593860509</v>
      </c>
      <c r="AV417">
        <f t="shared" si="354"/>
        <v>-3.0150995733592167</v>
      </c>
      <c r="AW417">
        <f t="shared" si="355"/>
        <v>27.833492315037368</v>
      </c>
      <c r="AX417">
        <f t="shared" si="356"/>
        <v>-3232.8263963082009</v>
      </c>
      <c r="AY417">
        <f t="shared" si="364"/>
        <v>-1.5621868930656955</v>
      </c>
      <c r="BA417">
        <f t="shared" si="345"/>
        <v>1.5797345428437113</v>
      </c>
      <c r="BB417">
        <f t="shared" si="357"/>
        <v>3.9716822927094486</v>
      </c>
      <c r="BC417">
        <f t="shared" si="358"/>
        <v>-1.4529126802935213</v>
      </c>
      <c r="BD417">
        <f t="shared" si="346"/>
        <v>-263.2457646769812</v>
      </c>
      <c r="BF417">
        <f t="shared" si="347"/>
        <v>-52.752028819893901</v>
      </c>
      <c r="BG417">
        <f t="shared" si="348"/>
        <v>-186.52136817383465</v>
      </c>
      <c r="BH417">
        <f t="shared" si="359"/>
        <v>-6.5213681738346452</v>
      </c>
      <c r="BI417">
        <f t="shared" si="360"/>
        <v>-6.5213681738346452</v>
      </c>
      <c r="BJ417">
        <f t="shared" si="349"/>
        <v>0</v>
      </c>
      <c r="BK417">
        <f t="shared" si="361"/>
        <v>0</v>
      </c>
      <c r="BM417">
        <f t="shared" si="362"/>
        <v>-56.723711112603354</v>
      </c>
      <c r="BN417">
        <f t="shared" si="350"/>
        <v>-103.27560349685342</v>
      </c>
      <c r="BQ417" s="66">
        <f t="shared" si="363"/>
        <v>20.873643092994584</v>
      </c>
    </row>
    <row r="418" spans="1:69" x14ac:dyDescent="0.15">
      <c r="A418">
        <f t="shared" si="319"/>
        <v>1020000</v>
      </c>
      <c r="B418">
        <f t="shared" si="351"/>
        <v>1020</v>
      </c>
      <c r="C418">
        <f t="shared" si="320"/>
        <v>4.3464409964235857</v>
      </c>
      <c r="D418">
        <f t="shared" si="321"/>
        <v>1.3386433295087443</v>
      </c>
      <c r="F418">
        <f t="shared" si="322"/>
        <v>2.225059766198488E-5</v>
      </c>
      <c r="G418">
        <f t="shared" si="323"/>
        <v>1.545066587914122E-3</v>
      </c>
      <c r="H418">
        <f t="shared" si="324"/>
        <v>-3.1400475834120862</v>
      </c>
      <c r="J418">
        <f t="shared" si="325"/>
        <v>15</v>
      </c>
      <c r="M418">
        <f t="shared" si="326"/>
        <v>9.3433687491931649E-4</v>
      </c>
      <c r="N418">
        <f t="shared" si="327"/>
        <v>-1.5707963250000001</v>
      </c>
      <c r="O418">
        <f t="shared" si="328"/>
        <v>433.55978850091543</v>
      </c>
      <c r="P418">
        <f t="shared" si="329"/>
        <v>1.5684898377865253</v>
      </c>
      <c r="Q418">
        <f t="shared" si="330"/>
        <v>196.22868692967432</v>
      </c>
      <c r="R418">
        <f t="shared" si="331"/>
        <v>1.5657002098913944</v>
      </c>
      <c r="S418">
        <f t="shared" si="332"/>
        <v>0.24480045161896752</v>
      </c>
      <c r="T418">
        <f t="shared" si="333"/>
        <v>-1.3234824500871505</v>
      </c>
      <c r="U418">
        <f t="shared" si="334"/>
        <v>0.12734938198427448</v>
      </c>
      <c r="V418">
        <f t="shared" si="335"/>
        <v>-1.4431001856231724</v>
      </c>
      <c r="X418">
        <f t="shared" si="352"/>
        <v>-48.886184651473208</v>
      </c>
      <c r="Y418">
        <f t="shared" si="336"/>
        <v>-172.15050781597483</v>
      </c>
      <c r="Z418">
        <f t="shared" si="353"/>
        <v>7.8494921840251664</v>
      </c>
      <c r="AC418">
        <v>1</v>
      </c>
      <c r="AD418">
        <f t="shared" si="337"/>
        <v>433.55863525590001</v>
      </c>
      <c r="AE418">
        <f t="shared" si="338"/>
        <v>-0.41679177429037367</v>
      </c>
      <c r="AF418">
        <f t="shared" si="339"/>
        <v>5.3513889200100008E-2</v>
      </c>
      <c r="AG418">
        <f t="shared" si="315"/>
        <v>129.03347272919456</v>
      </c>
      <c r="AH418">
        <f t="shared" si="316"/>
        <v>-1023.6611627462723</v>
      </c>
      <c r="AJ418">
        <f t="shared" si="340"/>
        <v>20000</v>
      </c>
      <c r="AK418">
        <f t="shared" si="341"/>
        <v>79213.37371416</v>
      </c>
      <c r="AL418">
        <v>1</v>
      </c>
      <c r="AM418">
        <f t="shared" si="342"/>
        <v>196.22613886570801</v>
      </c>
      <c r="AN418">
        <f t="shared" si="317"/>
        <v>404.19302729128458</v>
      </c>
      <c r="AO418">
        <f t="shared" si="318"/>
        <v>-99.863387650508514</v>
      </c>
      <c r="AQ418">
        <f t="shared" si="343"/>
        <v>2.402921375691711E-3</v>
      </c>
      <c r="AR418">
        <f t="shared" si="344"/>
        <v>-4.90195960641109</v>
      </c>
      <c r="AT418">
        <f t="shared" si="365"/>
        <v>-5017.6356131442344</v>
      </c>
      <c r="AU418">
        <f t="shared" si="366"/>
        <v>-634.97664848288707</v>
      </c>
      <c r="AV418">
        <f t="shared" si="354"/>
        <v>-3.0157128053872722</v>
      </c>
      <c r="AW418">
        <f t="shared" si="355"/>
        <v>31.527593255630666</v>
      </c>
      <c r="AX418">
        <f t="shared" si="356"/>
        <v>-3217.096043539977</v>
      </c>
      <c r="AY418">
        <f t="shared" si="364"/>
        <v>-1.5609966243363984</v>
      </c>
      <c r="BA418">
        <f t="shared" si="345"/>
        <v>1.5720422803914211</v>
      </c>
      <c r="BB418">
        <f t="shared" si="357"/>
        <v>3.9292844459476539</v>
      </c>
      <c r="BC418">
        <f t="shared" si="358"/>
        <v>-1.4547161810508737</v>
      </c>
      <c r="BD418">
        <f t="shared" si="346"/>
        <v>-263.34909765884424</v>
      </c>
      <c r="BF418">
        <f t="shared" si="347"/>
        <v>-52.839380988409566</v>
      </c>
      <c r="BG418">
        <f t="shared" si="348"/>
        <v>-186.56195872235656</v>
      </c>
      <c r="BH418">
        <f t="shared" si="359"/>
        <v>-6.5619587223565645</v>
      </c>
      <c r="BI418">
        <f t="shared" si="360"/>
        <v>-6.5619587223565645</v>
      </c>
      <c r="BJ418">
        <f t="shared" si="349"/>
        <v>0</v>
      </c>
      <c r="BK418">
        <f t="shared" si="361"/>
        <v>0</v>
      </c>
      <c r="BM418">
        <f t="shared" si="362"/>
        <v>-56.768665434357224</v>
      </c>
      <c r="BN418">
        <f t="shared" si="350"/>
        <v>-103.21286106351234</v>
      </c>
      <c r="BQ418" s="66">
        <f t="shared" si="363"/>
        <v>20.831245246232793</v>
      </c>
    </row>
    <row r="419" spans="1:69" x14ac:dyDescent="0.15">
      <c r="A419">
        <f t="shared" si="319"/>
        <v>1025000</v>
      </c>
      <c r="B419">
        <f t="shared" si="351"/>
        <v>1025</v>
      </c>
      <c r="C419">
        <f t="shared" si="320"/>
        <v>4.3666218752925925</v>
      </c>
      <c r="D419">
        <f t="shared" si="321"/>
        <v>1.3397358120859877</v>
      </c>
      <c r="F419">
        <f t="shared" si="322"/>
        <v>2.2034043528017141E-5</v>
      </c>
      <c r="G419">
        <f t="shared" si="323"/>
        <v>1.5375293512514359E-3</v>
      </c>
      <c r="H419">
        <f t="shared" si="324"/>
        <v>-3.1400551206487486</v>
      </c>
      <c r="J419">
        <f t="shared" si="325"/>
        <v>15</v>
      </c>
      <c r="M419">
        <f t="shared" si="326"/>
        <v>9.2977913406605149E-4</v>
      </c>
      <c r="N419">
        <f t="shared" si="327"/>
        <v>-1.5707963250000001</v>
      </c>
      <c r="O419">
        <f t="shared" si="328"/>
        <v>435.68507030306989</v>
      </c>
      <c r="P419">
        <f t="shared" si="329"/>
        <v>1.5685010889128082</v>
      </c>
      <c r="Q419">
        <f t="shared" si="330"/>
        <v>197.1905673378312</v>
      </c>
      <c r="R419">
        <f t="shared" si="331"/>
        <v>1.5657250685709863</v>
      </c>
      <c r="S419">
        <f t="shared" si="332"/>
        <v>0.24367737344207255</v>
      </c>
      <c r="T419">
        <f t="shared" si="333"/>
        <v>-1.3246406028935604</v>
      </c>
      <c r="U419">
        <f t="shared" si="334"/>
        <v>0.12673816787799547</v>
      </c>
      <c r="V419">
        <f t="shared" si="335"/>
        <v>-1.4437163927977976</v>
      </c>
      <c r="X419">
        <f t="shared" si="352"/>
        <v>-48.970154240368316</v>
      </c>
      <c r="Y419">
        <f t="shared" si="336"/>
        <v>-172.18793942577449</v>
      </c>
      <c r="Z419">
        <f t="shared" si="353"/>
        <v>7.8120605742255123</v>
      </c>
      <c r="AC419">
        <v>1</v>
      </c>
      <c r="AD419">
        <f t="shared" si="337"/>
        <v>435.68392268362504</v>
      </c>
      <c r="AE419">
        <f t="shared" si="338"/>
        <v>-0.42088798333700878</v>
      </c>
      <c r="AF419">
        <f t="shared" si="339"/>
        <v>5.3776212186375003E-2</v>
      </c>
      <c r="AG419">
        <f t="shared" si="315"/>
        <v>127.7978512289602</v>
      </c>
      <c r="AH419">
        <f t="shared" si="316"/>
        <v>-1018.8255671239265</v>
      </c>
      <c r="AJ419">
        <f t="shared" si="340"/>
        <v>20000</v>
      </c>
      <c r="AK419">
        <f t="shared" si="341"/>
        <v>79601.674565699999</v>
      </c>
      <c r="AL419">
        <v>1</v>
      </c>
      <c r="AM419">
        <f t="shared" si="342"/>
        <v>197.18803170328499</v>
      </c>
      <c r="AN419">
        <f t="shared" si="317"/>
        <v>404.18807445636543</v>
      </c>
      <c r="AO419">
        <f t="shared" si="318"/>
        <v>-99.376274291484734</v>
      </c>
      <c r="AQ419">
        <f t="shared" si="343"/>
        <v>2.3795354242628379E-3</v>
      </c>
      <c r="AR419">
        <f t="shared" si="344"/>
        <v>-4.8780476197388172</v>
      </c>
      <c r="AT419">
        <f t="shared" si="365"/>
        <v>-4969.575533123776</v>
      </c>
      <c r="AU419">
        <f t="shared" si="366"/>
        <v>-625.82833552328088</v>
      </c>
      <c r="AV419">
        <f t="shared" si="354"/>
        <v>-3.0163201526354255</v>
      </c>
      <c r="AW419">
        <f t="shared" si="355"/>
        <v>35.1674178389503</v>
      </c>
      <c r="AX419">
        <f t="shared" si="356"/>
        <v>-3201.5175051654442</v>
      </c>
      <c r="AY419">
        <f t="shared" si="364"/>
        <v>-1.5598121596204526</v>
      </c>
      <c r="BA419">
        <f t="shared" si="345"/>
        <v>1.5644219500923888</v>
      </c>
      <c r="BB419">
        <f t="shared" si="357"/>
        <v>3.8870780164421199</v>
      </c>
      <c r="BC419">
        <f t="shared" si="358"/>
        <v>-1.4565079930149729</v>
      </c>
      <c r="BD419">
        <f t="shared" si="346"/>
        <v>-263.45176092218549</v>
      </c>
      <c r="BF419">
        <f t="shared" si="347"/>
        <v>-52.926301019448758</v>
      </c>
      <c r="BG419">
        <f t="shared" si="348"/>
        <v>-186.60245919660909</v>
      </c>
      <c r="BH419">
        <f t="shared" si="359"/>
        <v>-6.6024591966090895</v>
      </c>
      <c r="BI419">
        <f t="shared" si="360"/>
        <v>-6.6024591966090895</v>
      </c>
      <c r="BJ419">
        <f t="shared" si="349"/>
        <v>0</v>
      </c>
      <c r="BK419">
        <f t="shared" si="361"/>
        <v>0</v>
      </c>
      <c r="BM419">
        <f t="shared" si="362"/>
        <v>-56.813379035890883</v>
      </c>
      <c r="BN419">
        <f t="shared" si="350"/>
        <v>-103.15069827442363</v>
      </c>
      <c r="BQ419" s="66">
        <f t="shared" si="363"/>
        <v>20.78903881672726</v>
      </c>
    </row>
    <row r="420" spans="1:69" x14ac:dyDescent="0.15">
      <c r="A420">
        <f t="shared" si="319"/>
        <v>1030000</v>
      </c>
      <c r="B420">
        <f t="shared" si="351"/>
        <v>1030</v>
      </c>
      <c r="C420">
        <f t="shared" si="320"/>
        <v>4.3868079178497652</v>
      </c>
      <c r="D420">
        <f t="shared" si="321"/>
        <v>1.3408182417554027</v>
      </c>
      <c r="F420">
        <f t="shared" si="322"/>
        <v>2.1820635522507559E-5</v>
      </c>
      <c r="G420">
        <f t="shared" si="323"/>
        <v>1.5300652963638134E-3</v>
      </c>
      <c r="H420">
        <f t="shared" si="324"/>
        <v>-3.1400625847036365</v>
      </c>
      <c r="J420">
        <f t="shared" si="325"/>
        <v>15</v>
      </c>
      <c r="M420">
        <f t="shared" si="326"/>
        <v>9.2526564312398331E-4</v>
      </c>
      <c r="N420">
        <f t="shared" si="327"/>
        <v>-1.5707963250000001</v>
      </c>
      <c r="O420">
        <f t="shared" si="328"/>
        <v>437.81035215984127</v>
      </c>
      <c r="P420">
        <f t="shared" si="329"/>
        <v>1.5685122308054278</v>
      </c>
      <c r="Q420">
        <f t="shared" si="330"/>
        <v>198.15244786665977</v>
      </c>
      <c r="R420">
        <f t="shared" si="331"/>
        <v>1.5657496859103512</v>
      </c>
      <c r="S420">
        <f t="shared" si="332"/>
        <v>0.24256423205111008</v>
      </c>
      <c r="T420">
        <f t="shared" si="333"/>
        <v>-1.3257881761234489</v>
      </c>
      <c r="U420">
        <f t="shared" si="334"/>
        <v>0.12613274558876067</v>
      </c>
      <c r="V420">
        <f t="shared" si="335"/>
        <v>-1.444326713016729</v>
      </c>
      <c r="X420">
        <f t="shared" si="352"/>
        <v>-49.053724242953756</v>
      </c>
      <c r="Y420">
        <f t="shared" si="336"/>
        <v>-172.22501945536249</v>
      </c>
      <c r="Z420">
        <f t="shared" si="353"/>
        <v>7.7749805446375149</v>
      </c>
      <c r="AC420">
        <v>1</v>
      </c>
      <c r="AD420">
        <f t="shared" si="337"/>
        <v>437.80921011135007</v>
      </c>
      <c r="AE420">
        <f t="shared" si="338"/>
        <v>-0.42500422274572996</v>
      </c>
      <c r="AF420">
        <f t="shared" si="339"/>
        <v>5.4038535172650004E-2</v>
      </c>
      <c r="AG420">
        <f t="shared" si="315"/>
        <v>126.57979879018433</v>
      </c>
      <c r="AH420">
        <f t="shared" si="316"/>
        <v>-1014.034685156807</v>
      </c>
      <c r="AJ420">
        <f t="shared" si="340"/>
        <v>20000</v>
      </c>
      <c r="AK420">
        <f t="shared" si="341"/>
        <v>79989.975417239999</v>
      </c>
      <c r="AL420">
        <v>1</v>
      </c>
      <c r="AM420">
        <f t="shared" si="342"/>
        <v>198.149924540862</v>
      </c>
      <c r="AN420">
        <f t="shared" si="317"/>
        <v>404.18319357244837</v>
      </c>
      <c r="AO420">
        <f t="shared" si="318"/>
        <v>-98.893889825259805</v>
      </c>
      <c r="AQ420">
        <f t="shared" si="343"/>
        <v>2.3564892175301118E-3</v>
      </c>
      <c r="AR420">
        <f t="shared" si="344"/>
        <v>-4.8543677881120306</v>
      </c>
      <c r="AT420">
        <f t="shared" si="365"/>
        <v>-4922.1990277225223</v>
      </c>
      <c r="AU420">
        <f t="shared" si="366"/>
        <v>-616.85445967454655</v>
      </c>
      <c r="AV420">
        <f t="shared" si="354"/>
        <v>-3.0169216989460215</v>
      </c>
      <c r="AW420">
        <f t="shared" si="355"/>
        <v>38.75402562337171</v>
      </c>
      <c r="AX420">
        <f t="shared" si="356"/>
        <v>-3186.0886010967997</v>
      </c>
      <c r="AY420">
        <f t="shared" si="364"/>
        <v>-1.5586334150205003</v>
      </c>
      <c r="BA420">
        <f t="shared" si="345"/>
        <v>1.5568725538392931</v>
      </c>
      <c r="BB420">
        <f t="shared" si="357"/>
        <v>3.8450612503383286</v>
      </c>
      <c r="BC420">
        <f t="shared" si="358"/>
        <v>-1.4582882839255211</v>
      </c>
      <c r="BD420">
        <f t="shared" si="346"/>
        <v>-263.55376407778192</v>
      </c>
      <c r="BF420">
        <f t="shared" si="347"/>
        <v>-53.012793291344366</v>
      </c>
      <c r="BG420">
        <f t="shared" si="348"/>
        <v>-186.6428713593011</v>
      </c>
      <c r="BH420">
        <f t="shared" si="359"/>
        <v>-6.6428713593010968</v>
      </c>
      <c r="BI420">
        <f t="shared" si="360"/>
        <v>-6.6428713593010968</v>
      </c>
      <c r="BJ420">
        <f t="shared" si="349"/>
        <v>0</v>
      </c>
      <c r="BK420">
        <f t="shared" si="361"/>
        <v>0</v>
      </c>
      <c r="BM420">
        <f t="shared" si="362"/>
        <v>-56.857854541682691</v>
      </c>
      <c r="BN420">
        <f t="shared" si="350"/>
        <v>-103.08910728151916</v>
      </c>
      <c r="BQ420" s="66">
        <f t="shared" si="363"/>
        <v>20.747022050623464</v>
      </c>
    </row>
    <row r="421" spans="1:69" x14ac:dyDescent="0.15">
      <c r="A421">
        <f t="shared" si="319"/>
        <v>1035000</v>
      </c>
      <c r="B421">
        <f t="shared" si="351"/>
        <v>1035</v>
      </c>
      <c r="C421">
        <f t="shared" si="320"/>
        <v>4.4069990531390451</v>
      </c>
      <c r="D421">
        <f t="shared" si="321"/>
        <v>1.3418907541383431</v>
      </c>
      <c r="F421">
        <f t="shared" si="322"/>
        <v>2.1610312995676237E-5</v>
      </c>
      <c r="G421">
        <f t="shared" si="323"/>
        <v>1.5226733625552666E-3</v>
      </c>
      <c r="H421">
        <f t="shared" si="324"/>
        <v>-3.1400699766374451</v>
      </c>
      <c r="J421">
        <f t="shared" si="325"/>
        <v>15</v>
      </c>
      <c r="M421">
        <f t="shared" si="326"/>
        <v>9.2079576079005104E-4</v>
      </c>
      <c r="N421">
        <f t="shared" si="327"/>
        <v>-1.5707963250000001</v>
      </c>
      <c r="O421">
        <f t="shared" si="328"/>
        <v>439.93563407043808</v>
      </c>
      <c r="P421">
        <f t="shared" si="329"/>
        <v>1.5685232650474699</v>
      </c>
      <c r="Q421">
        <f t="shared" si="330"/>
        <v>199.1143285144112</v>
      </c>
      <c r="R421">
        <f t="shared" si="331"/>
        <v>1.5657740654070549</v>
      </c>
      <c r="S421">
        <f t="shared" si="332"/>
        <v>0.24146090062501299</v>
      </c>
      <c r="T421">
        <f t="shared" si="333"/>
        <v>-1.3269253111007615</v>
      </c>
      <c r="U421">
        <f t="shared" si="334"/>
        <v>0.12553303385302209</v>
      </c>
      <c r="V421">
        <f t="shared" si="335"/>
        <v>-1.4449312297925123</v>
      </c>
      <c r="X421">
        <f t="shared" si="352"/>
        <v>-49.136898406712731</v>
      </c>
      <c r="Y421">
        <f t="shared" si="336"/>
        <v>-172.26175278606317</v>
      </c>
      <c r="Z421">
        <f t="shared" si="353"/>
        <v>7.7382472139368303</v>
      </c>
      <c r="AC421">
        <v>1</v>
      </c>
      <c r="AD421">
        <f t="shared" si="337"/>
        <v>439.9344975390751</v>
      </c>
      <c r="AE421">
        <f t="shared" si="338"/>
        <v>-0.42914049251653752</v>
      </c>
      <c r="AF421">
        <f t="shared" si="339"/>
        <v>5.4300858158925006E-2</v>
      </c>
      <c r="AG421">
        <f t="shared" si="315"/>
        <v>125.37898569374397</v>
      </c>
      <c r="AH421">
        <f t="shared" si="316"/>
        <v>-1009.2879105415998</v>
      </c>
      <c r="AJ421">
        <f t="shared" si="340"/>
        <v>20000</v>
      </c>
      <c r="AK421">
        <f t="shared" si="341"/>
        <v>80378.276268779999</v>
      </c>
      <c r="AL421">
        <v>1</v>
      </c>
      <c r="AM421">
        <f t="shared" si="342"/>
        <v>199.11181737843899</v>
      </c>
      <c r="AN421">
        <f t="shared" si="317"/>
        <v>404.17838325259851</v>
      </c>
      <c r="AO421">
        <f t="shared" si="318"/>
        <v>-98.416165724121157</v>
      </c>
      <c r="AQ421">
        <f t="shared" si="343"/>
        <v>2.3337762062647423E-3</v>
      </c>
      <c r="AR421">
        <f t="shared" si="344"/>
        <v>-4.8309167469680165</v>
      </c>
      <c r="AT421">
        <f t="shared" si="365"/>
        <v>-4875.4932630541944</v>
      </c>
      <c r="AU421">
        <f t="shared" si="366"/>
        <v>-608.0508938166638</v>
      </c>
      <c r="AV421">
        <f t="shared" si="354"/>
        <v>-3.0175175265849767</v>
      </c>
      <c r="AW421">
        <f t="shared" si="355"/>
        <v>42.288450405615016</v>
      </c>
      <c r="AX421">
        <f t="shared" si="356"/>
        <v>-3170.807192664317</v>
      </c>
      <c r="AY421">
        <f t="shared" si="364"/>
        <v>-1.5574603082939851</v>
      </c>
      <c r="BA421">
        <f t="shared" si="345"/>
        <v>1.5493931116368114</v>
      </c>
      <c r="BB421">
        <f t="shared" si="357"/>
        <v>3.8032324165721216</v>
      </c>
      <c r="BC421">
        <f t="shared" si="358"/>
        <v>-1.4600572182909917</v>
      </c>
      <c r="BD421">
        <f t="shared" si="346"/>
        <v>-263.65511655127489</v>
      </c>
      <c r="BF421">
        <f t="shared" si="347"/>
        <v>-53.09886211656611</v>
      </c>
      <c r="BG421">
        <f t="shared" si="348"/>
        <v>-186.68319692631593</v>
      </c>
      <c r="BH421">
        <f t="shared" si="359"/>
        <v>-6.6831969263159294</v>
      </c>
      <c r="BI421">
        <f t="shared" si="360"/>
        <v>-6.6831969263159294</v>
      </c>
      <c r="BJ421">
        <f t="shared" si="349"/>
        <v>0</v>
      </c>
      <c r="BK421">
        <f t="shared" si="361"/>
        <v>0</v>
      </c>
      <c r="BM421">
        <f t="shared" si="362"/>
        <v>-56.902094533138232</v>
      </c>
      <c r="BN421">
        <f t="shared" si="350"/>
        <v>-103.0280803750411</v>
      </c>
      <c r="BQ421" s="66">
        <f t="shared" si="363"/>
        <v>20.705193216857257</v>
      </c>
    </row>
    <row r="422" spans="1:69" x14ac:dyDescent="0.15">
      <c r="A422">
        <f t="shared" si="319"/>
        <v>1040000</v>
      </c>
      <c r="B422">
        <f t="shared" si="351"/>
        <v>1040</v>
      </c>
      <c r="C422">
        <f t="shared" si="320"/>
        <v>4.4271952114810738</v>
      </c>
      <c r="D422">
        <f t="shared" si="321"/>
        <v>1.3429534824736313</v>
      </c>
      <c r="F422">
        <f t="shared" si="322"/>
        <v>2.140301675221788E-5</v>
      </c>
      <c r="G422">
        <f t="shared" si="323"/>
        <v>1.5153525095299694E-3</v>
      </c>
      <c r="H422">
        <f t="shared" si="324"/>
        <v>-3.1400772974904703</v>
      </c>
      <c r="J422">
        <f t="shared" si="325"/>
        <v>15</v>
      </c>
      <c r="M422">
        <f t="shared" si="326"/>
        <v>9.1636885809394495E-4</v>
      </c>
      <c r="N422">
        <f t="shared" si="327"/>
        <v>-1.5707963250000001</v>
      </c>
      <c r="O422">
        <f t="shared" si="328"/>
        <v>442.06091603408396</v>
      </c>
      <c r="P422">
        <f t="shared" si="329"/>
        <v>1.5685341931915764</v>
      </c>
      <c r="Q422">
        <f t="shared" si="330"/>
        <v>200.07620927937023</v>
      </c>
      <c r="R422">
        <f t="shared" si="331"/>
        <v>1.5657982104914057</v>
      </c>
      <c r="S422">
        <f t="shared" si="332"/>
        <v>0.24036725440733142</v>
      </c>
      <c r="T422">
        <f t="shared" si="333"/>
        <v>-1.3280521466981356</v>
      </c>
      <c r="U422">
        <f t="shared" si="334"/>
        <v>0.12493895290764116</v>
      </c>
      <c r="V422">
        <f t="shared" si="335"/>
        <v>-1.4455300250739616</v>
      </c>
      <c r="X422">
        <f t="shared" si="352"/>
        <v>-49.2196804271289</v>
      </c>
      <c r="Y422">
        <f t="shared" si="336"/>
        <v>-172.29814421009411</v>
      </c>
      <c r="Z422">
        <f t="shared" si="353"/>
        <v>7.7018557899058919</v>
      </c>
      <c r="AC422">
        <v>1</v>
      </c>
      <c r="AD422">
        <f t="shared" si="337"/>
        <v>442.05978496680007</v>
      </c>
      <c r="AE422">
        <f t="shared" si="338"/>
        <v>-0.43329679264943122</v>
      </c>
      <c r="AF422">
        <f t="shared" si="339"/>
        <v>5.4563181145200007E-2</v>
      </c>
      <c r="AG422">
        <f t="shared" si="315"/>
        <v>124.19508987704948</v>
      </c>
      <c r="AH422">
        <f t="shared" si="316"/>
        <v>-1004.5846476705177</v>
      </c>
      <c r="AJ422">
        <f t="shared" si="340"/>
        <v>20000</v>
      </c>
      <c r="AK422">
        <f t="shared" si="341"/>
        <v>80766.577120319998</v>
      </c>
      <c r="AL422">
        <v>1</v>
      </c>
      <c r="AM422">
        <f t="shared" si="342"/>
        <v>200.073710216016</v>
      </c>
      <c r="AN422">
        <f t="shared" si="317"/>
        <v>404.17364214313847</v>
      </c>
      <c r="AO422">
        <f t="shared" si="318"/>
        <v>-97.943034778030565</v>
      </c>
      <c r="AQ422">
        <f t="shared" si="343"/>
        <v>2.3113899982918828E-3</v>
      </c>
      <c r="AR422">
        <f t="shared" si="344"/>
        <v>-4.8076911964471165</v>
      </c>
      <c r="AT422">
        <f t="shared" si="365"/>
        <v>-4829.4457034028974</v>
      </c>
      <c r="AU422">
        <f t="shared" si="366"/>
        <v>-599.41362715091236</v>
      </c>
      <c r="AV422">
        <f t="shared" si="354"/>
        <v>-3.0181077162784504</v>
      </c>
      <c r="AW422">
        <f t="shared" si="355"/>
        <v>45.771700969563064</v>
      </c>
      <c r="AX422">
        <f t="shared" si="356"/>
        <v>-3155.6711816400757</v>
      </c>
      <c r="AY422">
        <f t="shared" si="364"/>
        <v>-1.5562927588127253</v>
      </c>
      <c r="BA422">
        <f t="shared" si="345"/>
        <v>1.5419826611999368</v>
      </c>
      <c r="BB422">
        <f t="shared" si="357"/>
        <v>3.7615898064968638</v>
      </c>
      <c r="BC422">
        <f t="shared" si="358"/>
        <v>-1.4618149574657251</v>
      </c>
      <c r="BD422">
        <f t="shared" si="346"/>
        <v>-263.75582758758696</v>
      </c>
      <c r="BF422">
        <f t="shared" si="347"/>
        <v>-53.184511743029518</v>
      </c>
      <c r="BG422">
        <f t="shared" si="348"/>
        <v>-186.72343756815874</v>
      </c>
      <c r="BH422">
        <f t="shared" si="359"/>
        <v>-6.7234375681587437</v>
      </c>
      <c r="BI422">
        <f t="shared" si="360"/>
        <v>-6.7234375681587437</v>
      </c>
      <c r="BJ422">
        <f t="shared" si="349"/>
        <v>0</v>
      </c>
      <c r="BK422">
        <f t="shared" si="361"/>
        <v>0</v>
      </c>
      <c r="BM422">
        <f t="shared" si="362"/>
        <v>-56.946101549526382</v>
      </c>
      <c r="BN422">
        <f t="shared" si="350"/>
        <v>-102.96760998057181</v>
      </c>
      <c r="BQ422" s="66">
        <f t="shared" si="363"/>
        <v>20.663550606782</v>
      </c>
    </row>
    <row r="423" spans="1:69" x14ac:dyDescent="0.15">
      <c r="A423">
        <f t="shared" si="319"/>
        <v>1045000</v>
      </c>
      <c r="B423">
        <f t="shared" si="351"/>
        <v>1045</v>
      </c>
      <c r="C423">
        <f t="shared" si="320"/>
        <v>4.4473963244450028</v>
      </c>
      <c r="D423">
        <f t="shared" si="321"/>
        <v>1.3440065576685885</v>
      </c>
      <c r="F423">
        <f t="shared" si="322"/>
        <v>2.1198689009644789E-5</v>
      </c>
      <c r="G423">
        <f t="shared" si="323"/>
        <v>1.5081017169041508E-3</v>
      </c>
      <c r="H423">
        <f t="shared" si="324"/>
        <v>-3.1400845482830961</v>
      </c>
      <c r="J423">
        <f t="shared" si="325"/>
        <v>15</v>
      </c>
      <c r="M423">
        <f t="shared" si="326"/>
        <v>9.1198431810306485E-4</v>
      </c>
      <c r="N423">
        <f t="shared" si="327"/>
        <v>-1.5707963250000001</v>
      </c>
      <c r="O423">
        <f t="shared" si="328"/>
        <v>444.18619805001759</v>
      </c>
      <c r="P423">
        <f t="shared" si="329"/>
        <v>1.5685450167606738</v>
      </c>
      <c r="Q423">
        <f t="shared" si="330"/>
        <v>201.03809015985459</v>
      </c>
      <c r="R423">
        <f t="shared" si="331"/>
        <v>1.5658221245280619</v>
      </c>
      <c r="S423">
        <f t="shared" si="332"/>
        <v>0.23928317066640956</v>
      </c>
      <c r="T423">
        <f t="shared" si="333"/>
        <v>-1.3291688193885669</v>
      </c>
      <c r="U423">
        <f t="shared" si="334"/>
        <v>0.12435042445572214</v>
      </c>
      <c r="V423">
        <f t="shared" si="335"/>
        <v>-1.4461231792823912</v>
      </c>
      <c r="X423">
        <f t="shared" si="352"/>
        <v>-49.302073948636284</v>
      </c>
      <c r="Y423">
        <f t="shared" si="336"/>
        <v>-172.33419843257252</v>
      </c>
      <c r="Z423">
        <f t="shared" si="353"/>
        <v>7.6658015674274793</v>
      </c>
      <c r="AC423">
        <v>1</v>
      </c>
      <c r="AD423">
        <f t="shared" si="337"/>
        <v>444.18507239452509</v>
      </c>
      <c r="AE423">
        <f t="shared" si="338"/>
        <v>-0.43747312314441117</v>
      </c>
      <c r="AF423">
        <f t="shared" si="339"/>
        <v>5.4825504131475009E-2</v>
      </c>
      <c r="AG423">
        <f t="shared" si="315"/>
        <v>123.02779672286297</v>
      </c>
      <c r="AH423">
        <f t="shared" si="316"/>
        <v>-999.9243114018899</v>
      </c>
      <c r="AJ423">
        <f t="shared" si="340"/>
        <v>20000</v>
      </c>
      <c r="AK423">
        <f t="shared" si="341"/>
        <v>81154.877971859998</v>
      </c>
      <c r="AL423">
        <v>1</v>
      </c>
      <c r="AM423">
        <f t="shared" si="342"/>
        <v>201.03560305359301</v>
      </c>
      <c r="AN423">
        <f t="shared" si="317"/>
        <v>404.16896892269614</v>
      </c>
      <c r="AO423">
        <f t="shared" si="318"/>
        <v>-97.47443106310557</v>
      </c>
      <c r="AQ423">
        <f t="shared" si="343"/>
        <v>2.2893243539927307E-3</v>
      </c>
      <c r="AR423">
        <f t="shared" si="344"/>
        <v>-4.7846878998448066</v>
      </c>
      <c r="AT423">
        <f t="shared" si="365"/>
        <v>-4784.0441029940175</v>
      </c>
      <c r="AU423">
        <f t="shared" si="366"/>
        <v>-590.93876140269072</v>
      </c>
      <c r="AV423">
        <f t="shared" si="354"/>
        <v>-3.0186923472485012</v>
      </c>
      <c r="AW423">
        <f t="shared" si="355"/>
        <v>49.204761809782923</v>
      </c>
      <c r="AX423">
        <f t="shared" si="356"/>
        <v>-3140.6785092891141</v>
      </c>
      <c r="AY423">
        <f t="shared" si="364"/>
        <v>-1.5551306875236661</v>
      </c>
      <c r="BA423">
        <f t="shared" si="345"/>
        <v>1.5346402575626958</v>
      </c>
      <c r="BB423">
        <f t="shared" si="357"/>
        <v>3.7201317335175448</v>
      </c>
      <c r="BC423">
        <f t="shared" si="358"/>
        <v>-1.4635616597248351</v>
      </c>
      <c r="BD423">
        <f t="shared" si="346"/>
        <v>-263.85590625521434</v>
      </c>
      <c r="BF423">
        <f t="shared" si="347"/>
        <v>-53.269746355372824</v>
      </c>
      <c r="BG423">
        <f t="shared" si="348"/>
        <v>-186.76359491135224</v>
      </c>
      <c r="BH423">
        <f t="shared" si="359"/>
        <v>-6.7635949113522429</v>
      </c>
      <c r="BI423">
        <f t="shared" si="360"/>
        <v>-6.7635949113522429</v>
      </c>
      <c r="BJ423">
        <f t="shared" si="349"/>
        <v>0</v>
      </c>
      <c r="BK423">
        <f t="shared" si="361"/>
        <v>0</v>
      </c>
      <c r="BM423">
        <f t="shared" si="362"/>
        <v>-56.989878088890372</v>
      </c>
      <c r="BN423">
        <f t="shared" si="350"/>
        <v>-102.90768865613795</v>
      </c>
      <c r="BQ423" s="66">
        <f t="shared" si="363"/>
        <v>20.622092533802679</v>
      </c>
    </row>
    <row r="424" spans="1:69" x14ac:dyDescent="0.15">
      <c r="A424">
        <f t="shared" si="319"/>
        <v>1050000</v>
      </c>
      <c r="B424">
        <f t="shared" si="351"/>
        <v>1050</v>
      </c>
      <c r="C424">
        <f t="shared" si="320"/>
        <v>4.4676023248210388</v>
      </c>
      <c r="D424">
        <f t="shared" si="321"/>
        <v>1.3450501083487878</v>
      </c>
      <c r="F424">
        <f t="shared" si="322"/>
        <v>2.0997273358015107E-5</v>
      </c>
      <c r="G424">
        <f t="shared" si="323"/>
        <v>1.5009199837319428E-3</v>
      </c>
      <c r="H424">
        <f t="shared" si="324"/>
        <v>-3.1400917300162683</v>
      </c>
      <c r="J424">
        <f t="shared" si="325"/>
        <v>15</v>
      </c>
      <c r="M424">
        <f t="shared" si="326"/>
        <v>9.0764153563590742E-4</v>
      </c>
      <c r="N424">
        <f t="shared" si="327"/>
        <v>-1.5707963250000001</v>
      </c>
      <c r="O424">
        <f t="shared" si="328"/>
        <v>446.31148011749178</v>
      </c>
      <c r="P424">
        <f t="shared" si="329"/>
        <v>1.5685557372486807</v>
      </c>
      <c r="Q424">
        <f t="shared" si="330"/>
        <v>201.99997115421388</v>
      </c>
      <c r="R424">
        <f t="shared" si="331"/>
        <v>1.5658458108175966</v>
      </c>
      <c r="S424">
        <f t="shared" si="332"/>
        <v>0.238208528656422</v>
      </c>
      <c r="T424">
        <f t="shared" si="333"/>
        <v>-1.3302754632958069</v>
      </c>
      <c r="U424">
        <f t="shared" si="334"/>
        <v>0.1237673716333663</v>
      </c>
      <c r="V424">
        <f t="shared" si="335"/>
        <v>-1.4467107713468494</v>
      </c>
      <c r="X424">
        <f t="shared" si="352"/>
        <v>-49.3840825655478</v>
      </c>
      <c r="Y424">
        <f t="shared" si="336"/>
        <v>-172.36992007346802</v>
      </c>
      <c r="Z424">
        <f t="shared" si="353"/>
        <v>7.6300799265319768</v>
      </c>
      <c r="AC424">
        <v>1</v>
      </c>
      <c r="AD424">
        <f t="shared" si="337"/>
        <v>446.31035982225001</v>
      </c>
      <c r="AE424">
        <f t="shared" si="338"/>
        <v>-0.44166948400147737</v>
      </c>
      <c r="AF424">
        <f t="shared" si="339"/>
        <v>5.508782711775001E-2</v>
      </c>
      <c r="AG424">
        <f t="shared" ref="AG424:AG487" si="367">AC424*AE424/(AE424^2+AF424^2)+AD424*AF424/(AE424^2+AF424^2)</f>
        <v>121.87679885484278</v>
      </c>
      <c r="AH424">
        <f t="shared" ref="AH424:AH487" si="368">AD424*AE424/(AE424^2+AF424^2)-AC424*AF424/(AE424^2+AF424^2)</f>
        <v>-995.30632683647036</v>
      </c>
      <c r="AJ424">
        <f t="shared" si="340"/>
        <v>20000</v>
      </c>
      <c r="AK424">
        <f t="shared" si="341"/>
        <v>81543.178823400012</v>
      </c>
      <c r="AL424">
        <v>1</v>
      </c>
      <c r="AM424">
        <f t="shared" si="342"/>
        <v>201.99749589116999</v>
      </c>
      <c r="AN424">
        <f t="shared" ref="AN424:AN487" si="369">AJ424*AL424/(AL424^2+AM424^2)+AK424*AM424/(AL424^2+AM424^2)</f>
        <v>404.16436230128426</v>
      </c>
      <c r="AO424">
        <f t="shared" ref="AO424:AO487" si="370">AK424*AL424/(AL424^2+AM424^2)-AJ424*AM424/(AL424^2+AM424^2)</f>
        <v>-97.010289911001394</v>
      </c>
      <c r="AQ424">
        <f t="shared" si="343"/>
        <v>2.2675731819561946E-3</v>
      </c>
      <c r="AR424">
        <f t="shared" si="344"/>
        <v>-4.7619036821080085</v>
      </c>
      <c r="AT424">
        <f t="shared" si="365"/>
        <v>-4739.2764980273996</v>
      </c>
      <c r="AU424">
        <f t="shared" si="366"/>
        <v>-582.62250716497863</v>
      </c>
      <c r="AV424">
        <f t="shared" si="354"/>
        <v>-3.0192714972477646</v>
      </c>
      <c r="AW424">
        <f t="shared" si="355"/>
        <v>52.588593830726246</v>
      </c>
      <c r="AX424">
        <f t="shared" si="356"/>
        <v>-3125.8271554471085</v>
      </c>
      <c r="AY424">
        <f t="shared" si="364"/>
        <v>-1.5539740169107685</v>
      </c>
      <c r="BA424">
        <f t="shared" si="345"/>
        <v>1.5273649726969791</v>
      </c>
      <c r="BB424">
        <f t="shared" si="357"/>
        <v>3.6788565327317806</v>
      </c>
      <c r="BC424">
        <f t="shared" si="358"/>
        <v>-1.465297480336996</v>
      </c>
      <c r="BD424">
        <f t="shared" si="346"/>
        <v>-263.95536145039659</v>
      </c>
      <c r="BF424">
        <f t="shared" si="347"/>
        <v>-53.354570076202734</v>
      </c>
      <c r="BG424">
        <f t="shared" si="348"/>
        <v>-186.80367053978361</v>
      </c>
      <c r="BH424">
        <f t="shared" si="359"/>
        <v>-6.8036705397836101</v>
      </c>
      <c r="BI424">
        <f t="shared" si="360"/>
        <v>-6.8036705397836101</v>
      </c>
      <c r="BJ424">
        <f t="shared" si="349"/>
        <v>0</v>
      </c>
      <c r="BK424">
        <f t="shared" si="361"/>
        <v>0</v>
      </c>
      <c r="BM424">
        <f t="shared" si="362"/>
        <v>-57.033426608934512</v>
      </c>
      <c r="BN424">
        <f t="shared" si="350"/>
        <v>-102.84830908938703</v>
      </c>
      <c r="BQ424" s="66">
        <f t="shared" si="363"/>
        <v>20.580817333016917</v>
      </c>
    </row>
    <row r="425" spans="1:69" x14ac:dyDescent="0.15">
      <c r="A425">
        <f t="shared" si="319"/>
        <v>1055000</v>
      </c>
      <c r="B425">
        <f t="shared" si="351"/>
        <v>1055</v>
      </c>
      <c r="C425">
        <f t="shared" si="320"/>
        <v>4.4878131465936981</v>
      </c>
      <c r="D425">
        <f t="shared" si="321"/>
        <v>1.3460842609065671</v>
      </c>
      <c r="F425">
        <f t="shared" si="322"/>
        <v>2.0798714720994051E-5</v>
      </c>
      <c r="G425">
        <f t="shared" si="323"/>
        <v>1.4938063280447078E-3</v>
      </c>
      <c r="H425">
        <f t="shared" si="324"/>
        <v>-3.1400988436719555</v>
      </c>
      <c r="J425">
        <f t="shared" si="325"/>
        <v>15</v>
      </c>
      <c r="M425">
        <f t="shared" si="326"/>
        <v>9.0333991698360446E-4</v>
      </c>
      <c r="N425">
        <f t="shared" si="327"/>
        <v>-1.5707963250000001</v>
      </c>
      <c r="O425">
        <f t="shared" si="328"/>
        <v>448.43676223577393</v>
      </c>
      <c r="P425">
        <f t="shared" si="329"/>
        <v>1.5685663561211953</v>
      </c>
      <c r="Q425">
        <f t="shared" si="330"/>
        <v>202.96185226082918</v>
      </c>
      <c r="R425">
        <f t="shared" si="331"/>
        <v>1.5658692725980148</v>
      </c>
      <c r="S425">
        <f t="shared" si="332"/>
        <v>0.23714320957924889</v>
      </c>
      <c r="T425">
        <f t="shared" si="333"/>
        <v>-1.3313722102435324</v>
      </c>
      <c r="U425">
        <f t="shared" si="334"/>
        <v>0.12318971897731841</v>
      </c>
      <c r="V425">
        <f t="shared" si="335"/>
        <v>-1.447292878738387</v>
      </c>
      <c r="X425">
        <f t="shared" si="352"/>
        <v>-49.465709822962857</v>
      </c>
      <c r="Y425">
        <f t="shared" si="336"/>
        <v>-172.40531366950373</v>
      </c>
      <c r="Z425">
        <f t="shared" si="353"/>
        <v>7.5946863304962733</v>
      </c>
      <c r="AC425">
        <v>1</v>
      </c>
      <c r="AD425">
        <f t="shared" si="337"/>
        <v>448.43564724997503</v>
      </c>
      <c r="AE425">
        <f t="shared" si="338"/>
        <v>-0.44588587522062983</v>
      </c>
      <c r="AF425">
        <f t="shared" si="339"/>
        <v>5.5350150104025012E-2</v>
      </c>
      <c r="AG425">
        <f t="shared" si="367"/>
        <v>120.7417959395714</v>
      </c>
      <c r="AH425">
        <f t="shared" si="368"/>
        <v>-990.73012909930264</v>
      </c>
      <c r="AJ425">
        <f t="shared" si="340"/>
        <v>20000</v>
      </c>
      <c r="AK425">
        <f t="shared" si="341"/>
        <v>81931.479674939997</v>
      </c>
      <c r="AL425">
        <v>1</v>
      </c>
      <c r="AM425">
        <f t="shared" si="342"/>
        <v>202.959388728747</v>
      </c>
      <c r="AN425">
        <f t="shared" si="369"/>
        <v>404.15982101940955</v>
      </c>
      <c r="AO425">
        <f t="shared" si="370"/>
        <v>-96.550547879163233</v>
      </c>
      <c r="AQ425">
        <f t="shared" si="343"/>
        <v>2.2461305347744806E-3</v>
      </c>
      <c r="AR425">
        <f t="shared" si="344"/>
        <v>-4.7393354283741544</v>
      </c>
      <c r="AT425">
        <f t="shared" si="365"/>
        <v>-4695.1311989633414</v>
      </c>
      <c r="AU425">
        <f t="shared" si="366"/>
        <v>-574.46118037662438</v>
      </c>
      <c r="AV425">
        <f t="shared" si="354"/>
        <v>-3.0198452425931794</v>
      </c>
      <c r="AW425">
        <f t="shared" si="355"/>
        <v>55.92413502253472</v>
      </c>
      <c r="AX425">
        <f t="shared" si="356"/>
        <v>-3111.115137623714</v>
      </c>
      <c r="AY425">
        <f t="shared" si="364"/>
        <v>-1.5528226709580002</v>
      </c>
      <c r="BA425">
        <f t="shared" si="345"/>
        <v>1.5201558951411858</v>
      </c>
      <c r="BB425">
        <f t="shared" si="357"/>
        <v>3.6377625605775625</v>
      </c>
      <c r="BC425">
        <f t="shared" si="358"/>
        <v>-1.4670225716351792</v>
      </c>
      <c r="BD425">
        <f t="shared" si="346"/>
        <v>-264.05420190117019</v>
      </c>
      <c r="BF425">
        <f t="shared" si="347"/>
        <v>-53.438986967309845</v>
      </c>
      <c r="BG425">
        <f t="shared" si="348"/>
        <v>-186.84366599600432</v>
      </c>
      <c r="BH425">
        <f t="shared" si="359"/>
        <v>-6.8436659960043187</v>
      </c>
      <c r="BI425">
        <f t="shared" si="360"/>
        <v>-6.8436659960043187</v>
      </c>
      <c r="BJ425">
        <f t="shared" si="349"/>
        <v>0</v>
      </c>
      <c r="BK425">
        <f t="shared" si="361"/>
        <v>0</v>
      </c>
      <c r="BM425">
        <f t="shared" si="362"/>
        <v>-57.076749527887415</v>
      </c>
      <c r="BN425">
        <f t="shared" si="350"/>
        <v>-102.78946409483416</v>
      </c>
      <c r="BQ425" s="66">
        <f t="shared" si="363"/>
        <v>20.539723360862698</v>
      </c>
    </row>
    <row r="426" spans="1:69" x14ac:dyDescent="0.15">
      <c r="A426">
        <f t="shared" si="319"/>
        <v>1060000</v>
      </c>
      <c r="B426">
        <f t="shared" si="351"/>
        <v>1060</v>
      </c>
      <c r="C426">
        <f t="shared" si="320"/>
        <v>4.5080287249157562</v>
      </c>
      <c r="D426">
        <f t="shared" si="321"/>
        <v>1.347109139548337</v>
      </c>
      <c r="F426">
        <f t="shared" si="322"/>
        <v>2.0602959318197847E-5</v>
      </c>
      <c r="G426">
        <f t="shared" si="323"/>
        <v>1.486759786403406E-3</v>
      </c>
      <c r="H426">
        <f t="shared" si="324"/>
        <v>-3.1401058902135968</v>
      </c>
      <c r="J426">
        <f t="shared" si="325"/>
        <v>15</v>
      </c>
      <c r="M426">
        <f t="shared" si="326"/>
        <v>8.9907887963934215E-4</v>
      </c>
      <c r="N426">
        <f t="shared" si="327"/>
        <v>-1.5707963250000001</v>
      </c>
      <c r="O426">
        <f t="shared" si="328"/>
        <v>450.56204440414496</v>
      </c>
      <c r="P426">
        <f t="shared" si="329"/>
        <v>1.568576874816163</v>
      </c>
      <c r="Q426">
        <f t="shared" si="330"/>
        <v>203.9237334781119</v>
      </c>
      <c r="R426">
        <f t="shared" si="331"/>
        <v>1.5658925130462298</v>
      </c>
      <c r="S426">
        <f t="shared" si="332"/>
        <v>0.23608709654717105</v>
      </c>
      <c r="T426">
        <f t="shared" si="333"/>
        <v>-1.3324591898033131</v>
      </c>
      <c r="U426">
        <f t="shared" si="334"/>
        <v>0.1226173923934778</v>
      </c>
      <c r="V426">
        <f t="shared" si="335"/>
        <v>-1.447869577503391</v>
      </c>
      <c r="X426">
        <f t="shared" si="352"/>
        <v>-49.546959217654695</v>
      </c>
      <c r="Y426">
        <f t="shared" si="336"/>
        <v>-172.44038367600675</v>
      </c>
      <c r="Z426">
        <f t="shared" si="353"/>
        <v>7.5596163239932537</v>
      </c>
      <c r="AC426">
        <v>1</v>
      </c>
      <c r="AD426">
        <f t="shared" si="337"/>
        <v>450.56093467770006</v>
      </c>
      <c r="AE426">
        <f t="shared" si="338"/>
        <v>-0.45012229680186849</v>
      </c>
      <c r="AF426">
        <f t="shared" si="339"/>
        <v>5.5612473090299999E-2</v>
      </c>
      <c r="AG426">
        <f t="shared" si="367"/>
        <v>119.62249449483375</v>
      </c>
      <c r="AH426">
        <f t="shared" si="368"/>
        <v>-986.19516312698431</v>
      </c>
      <c r="AJ426">
        <f t="shared" si="340"/>
        <v>20000</v>
      </c>
      <c r="AK426">
        <f t="shared" si="341"/>
        <v>82319.780526479997</v>
      </c>
      <c r="AL426">
        <v>1</v>
      </c>
      <c r="AM426">
        <f t="shared" si="342"/>
        <v>203.92128156632398</v>
      </c>
      <c r="AN426">
        <f t="shared" si="369"/>
        <v>404.15534384721252</v>
      </c>
      <c r="AO426">
        <f t="shared" si="370"/>
        <v>-96.095142721920254</v>
      </c>
      <c r="AQ426">
        <f t="shared" si="343"/>
        <v>2.2249906049771704E-3</v>
      </c>
      <c r="AR426">
        <f t="shared" si="344"/>
        <v>-4.7169800825516015</v>
      </c>
      <c r="AT426">
        <f t="shared" si="365"/>
        <v>-4651.5967830523177</v>
      </c>
      <c r="AU426">
        <f t="shared" si="366"/>
        <v>-566.45119892990078</v>
      </c>
      <c r="AV426">
        <f t="shared" si="354"/>
        <v>-3.0204136581987973</v>
      </c>
      <c r="AW426">
        <f t="shared" si="355"/>
        <v>59.212301114348605</v>
      </c>
      <c r="AX426">
        <f t="shared" si="356"/>
        <v>-3096.5405101307506</v>
      </c>
      <c r="AY426">
        <f t="shared" si="364"/>
        <v>-1.5516765751133874</v>
      </c>
      <c r="BA426">
        <f t="shared" si="345"/>
        <v>1.5130121296383909</v>
      </c>
      <c r="BB426">
        <f t="shared" si="357"/>
        <v>3.5968481944875914</v>
      </c>
      <c r="BC426">
        <f t="shared" si="358"/>
        <v>-1.4687370830854098</v>
      </c>
      <c r="BD426">
        <f t="shared" si="346"/>
        <v>-264.1524361713075</v>
      </c>
      <c r="BF426">
        <f t="shared" si="347"/>
        <v>-53.523001030854715</v>
      </c>
      <c r="BG426">
        <f t="shared" si="348"/>
        <v>-186.88358278248469</v>
      </c>
      <c r="BH426">
        <f t="shared" si="359"/>
        <v>-6.8835827824846945</v>
      </c>
      <c r="BI426">
        <f t="shared" si="360"/>
        <v>-6.8835827824846945</v>
      </c>
      <c r="BJ426">
        <f t="shared" si="349"/>
        <v>0</v>
      </c>
      <c r="BK426">
        <f t="shared" si="361"/>
        <v>0</v>
      </c>
      <c r="BM426">
        <f t="shared" si="362"/>
        <v>-57.119849225342307</v>
      </c>
      <c r="BN426">
        <f t="shared" si="350"/>
        <v>-102.73114661117721</v>
      </c>
      <c r="BQ426" s="66">
        <f t="shared" si="363"/>
        <v>20.49880899477273</v>
      </c>
    </row>
    <row r="427" spans="1:69" x14ac:dyDescent="0.15">
      <c r="A427">
        <f t="shared" si="319"/>
        <v>1065000</v>
      </c>
      <c r="B427">
        <f t="shared" si="351"/>
        <v>1065</v>
      </c>
      <c r="C427">
        <f t="shared" si="320"/>
        <v>4.528248996082854</v>
      </c>
      <c r="D427">
        <f t="shared" si="321"/>
        <v>1.3481248663407155</v>
      </c>
      <c r="F427">
        <f t="shared" si="322"/>
        <v>2.0409954628772361E-5</v>
      </c>
      <c r="G427">
        <f t="shared" si="323"/>
        <v>1.4797794134635792E-3</v>
      </c>
      <c r="H427">
        <f t="shared" si="324"/>
        <v>-3.1401128705865364</v>
      </c>
      <c r="J427">
        <f t="shared" si="325"/>
        <v>15</v>
      </c>
      <c r="M427">
        <f t="shared" si="326"/>
        <v>8.9485785203540164E-4</v>
      </c>
      <c r="N427">
        <f t="shared" si="327"/>
        <v>-1.5707963250000001</v>
      </c>
      <c r="O427">
        <f t="shared" si="328"/>
        <v>452.68732662189933</v>
      </c>
      <c r="P427">
        <f t="shared" si="329"/>
        <v>1.5685872947445263</v>
      </c>
      <c r="Q427">
        <f t="shared" si="330"/>
        <v>204.88561480450335</v>
      </c>
      <c r="R427">
        <f t="shared" si="331"/>
        <v>1.5659155352794967</v>
      </c>
      <c r="S427">
        <f t="shared" si="332"/>
        <v>0.23504007454636797</v>
      </c>
      <c r="T427">
        <f t="shared" si="333"/>
        <v>-1.3335365293414181</v>
      </c>
      <c r="U427">
        <f t="shared" si="334"/>
        <v>0.12205031912624767</v>
      </c>
      <c r="V427">
        <f t="shared" si="335"/>
        <v>-1.4484409422960127</v>
      </c>
      <c r="X427">
        <f t="shared" si="352"/>
        <v>-49.627834198937897</v>
      </c>
      <c r="Y427">
        <f t="shared" si="336"/>
        <v>-172.47513446871005</v>
      </c>
      <c r="Z427">
        <f t="shared" si="353"/>
        <v>7.5248655312899473</v>
      </c>
      <c r="AC427">
        <v>1</v>
      </c>
      <c r="AD427">
        <f t="shared" si="337"/>
        <v>452.68622210542509</v>
      </c>
      <c r="AE427">
        <f t="shared" si="338"/>
        <v>-0.45437874874519341</v>
      </c>
      <c r="AF427">
        <f t="shared" si="339"/>
        <v>5.5874796076575001E-2</v>
      </c>
      <c r="AG427">
        <f t="shared" si="367"/>
        <v>118.51860770392358</v>
      </c>
      <c r="AH427">
        <f t="shared" si="368"/>
        <v>-981.70088346018281</v>
      </c>
      <c r="AJ427">
        <f t="shared" si="340"/>
        <v>20000</v>
      </c>
      <c r="AK427">
        <f t="shared" si="341"/>
        <v>82708.081378019997</v>
      </c>
      <c r="AL427">
        <v>1</v>
      </c>
      <c r="AM427">
        <f t="shared" si="342"/>
        <v>204.88317440390097</v>
      </c>
      <c r="AN427">
        <f t="shared" si="369"/>
        <v>404.15092958363402</v>
      </c>
      <c r="AO427">
        <f t="shared" si="370"/>
        <v>-95.644013362393807</v>
      </c>
      <c r="AQ427">
        <f t="shared" si="343"/>
        <v>2.2041477210986088E-3</v>
      </c>
      <c r="AR427">
        <f t="shared" si="344"/>
        <v>-4.6948346459400367</v>
      </c>
      <c r="AT427">
        <f t="shared" si="365"/>
        <v>-4608.6620870997303</v>
      </c>
      <c r="AU427">
        <f t="shared" si="366"/>
        <v>-558.5890794020354</v>
      </c>
      <c r="AV427">
        <f t="shared" si="354"/>
        <v>-3.0209768176076981</v>
      </c>
      <c r="AW427">
        <f t="shared" si="355"/>
        <v>62.453986205962792</v>
      </c>
      <c r="AX427">
        <f t="shared" si="356"/>
        <v>-3082.101363234422</v>
      </c>
      <c r="AY427">
        <f t="shared" si="364"/>
        <v>-1.5505356562540977</v>
      </c>
      <c r="BA427">
        <f t="shared" si="345"/>
        <v>1.5059327967837681</v>
      </c>
      <c r="BB427">
        <f t="shared" si="357"/>
        <v>3.556111832550108</v>
      </c>
      <c r="BC427">
        <f t="shared" si="358"/>
        <v>-1.4704411613536004</v>
      </c>
      <c r="BD427">
        <f t="shared" si="346"/>
        <v>-264.25007266414633</v>
      </c>
      <c r="BF427">
        <f t="shared" si="347"/>
        <v>-53.606616210525353</v>
      </c>
      <c r="BG427">
        <f t="shared" si="348"/>
        <v>-186.92342236282471</v>
      </c>
      <c r="BH427">
        <f t="shared" si="359"/>
        <v>-6.9234223628247094</v>
      </c>
      <c r="BI427">
        <f t="shared" si="360"/>
        <v>-6.9234223628247094</v>
      </c>
      <c r="BJ427">
        <f t="shared" si="349"/>
        <v>0</v>
      </c>
      <c r="BK427">
        <f t="shared" si="361"/>
        <v>0</v>
      </c>
      <c r="BM427">
        <f t="shared" si="362"/>
        <v>-57.162728043075461</v>
      </c>
      <c r="BN427">
        <f t="shared" si="350"/>
        <v>-102.67334969867839</v>
      </c>
      <c r="BQ427" s="66">
        <f t="shared" si="363"/>
        <v>20.458072632835247</v>
      </c>
    </row>
    <row r="428" spans="1:69" x14ac:dyDescent="0.15">
      <c r="A428">
        <f t="shared" ref="A428:A433" si="371">A427+5000</f>
        <v>1070000</v>
      </c>
      <c r="B428">
        <f t="shared" si="351"/>
        <v>1070</v>
      </c>
      <c r="C428">
        <f t="shared" si="320"/>
        <v>4.5484738975087708</v>
      </c>
      <c r="D428">
        <f t="shared" si="321"/>
        <v>1.3491315612555255</v>
      </c>
      <c r="F428">
        <f t="shared" si="322"/>
        <v>2.0219649356160322E-5</v>
      </c>
      <c r="G428">
        <f t="shared" si="323"/>
        <v>1.472864281552526E-3</v>
      </c>
      <c r="H428">
        <f t="shared" si="324"/>
        <v>-3.1401197857184475</v>
      </c>
      <c r="J428">
        <f t="shared" si="325"/>
        <v>15</v>
      </c>
      <c r="M428">
        <f t="shared" si="326"/>
        <v>8.9067627328757255E-4</v>
      </c>
      <c r="N428">
        <f t="shared" si="327"/>
        <v>-1.5707963250000001</v>
      </c>
      <c r="O428">
        <f t="shared" si="328"/>
        <v>454.81260888834498</v>
      </c>
      <c r="P428">
        <f t="shared" si="329"/>
        <v>1.5685976172908545</v>
      </c>
      <c r="Q428">
        <f t="shared" si="330"/>
        <v>205.84749623847412</v>
      </c>
      <c r="R428">
        <f t="shared" si="331"/>
        <v>1.5659383423568065</v>
      </c>
      <c r="S428">
        <f t="shared" si="332"/>
        <v>0.2340020304011976</v>
      </c>
      <c r="T428">
        <f t="shared" si="333"/>
        <v>-1.3346043540644863</v>
      </c>
      <c r="U428">
        <f t="shared" si="334"/>
        <v>0.12148842772869697</v>
      </c>
      <c r="V428">
        <f t="shared" si="335"/>
        <v>-1.4490070464097193</v>
      </c>
      <c r="X428">
        <f t="shared" si="352"/>
        <v>-49.708338169516686</v>
      </c>
      <c r="Y428">
        <f t="shared" si="336"/>
        <v>-172.5095703455074</v>
      </c>
      <c r="Z428">
        <f t="shared" si="353"/>
        <v>7.4904296544926012</v>
      </c>
      <c r="AC428">
        <v>1</v>
      </c>
      <c r="AD428">
        <f t="shared" si="337"/>
        <v>454.81150953315006</v>
      </c>
      <c r="AE428">
        <f t="shared" si="338"/>
        <v>-0.45865523105060457</v>
      </c>
      <c r="AF428">
        <f t="shared" si="339"/>
        <v>5.6137119062850002E-2</v>
      </c>
      <c r="AG428">
        <f t="shared" si="367"/>
        <v>117.42985523576279</v>
      </c>
      <c r="AH428">
        <f t="shared" si="368"/>
        <v>-977.24675404125867</v>
      </c>
      <c r="AJ428">
        <f t="shared" si="340"/>
        <v>20000</v>
      </c>
      <c r="AK428">
        <f t="shared" si="341"/>
        <v>83096.382229559997</v>
      </c>
      <c r="AL428">
        <v>1</v>
      </c>
      <c r="AM428">
        <f t="shared" si="342"/>
        <v>205.84506724147801</v>
      </c>
      <c r="AN428">
        <f t="shared" si="369"/>
        <v>404.1465770556099</v>
      </c>
      <c r="AO428">
        <f t="shared" si="370"/>
        <v>-95.197099865193209</v>
      </c>
      <c r="AQ428">
        <f t="shared" si="343"/>
        <v>2.1835963438736256E-3</v>
      </c>
      <c r="AR428">
        <f t="shared" si="344"/>
        <v>-4.6728961758895586</v>
      </c>
      <c r="AT428">
        <f t="shared" si="365"/>
        <v>-4566.3162004573269</v>
      </c>
      <c r="AU428">
        <f t="shared" si="366"/>
        <v>-550.87143390564722</v>
      </c>
      <c r="AV428">
        <f t="shared" si="354"/>
        <v>-3.0215347930230441</v>
      </c>
      <c r="AW428">
        <f t="shared" si="355"/>
        <v>65.650063378652831</v>
      </c>
      <c r="AX428">
        <f t="shared" si="356"/>
        <v>-3067.7958223308142</v>
      </c>
      <c r="AY428">
        <f t="shared" si="364"/>
        <v>-1.5493998426525133</v>
      </c>
      <c r="BA428">
        <f t="shared" si="345"/>
        <v>1.4989170326809906</v>
      </c>
      <c r="BB428">
        <f t="shared" si="357"/>
        <v>3.5155518931760583</v>
      </c>
      <c r="BC428">
        <f t="shared" si="358"/>
        <v>-1.4721349503705308</v>
      </c>
      <c r="BD428">
        <f t="shared" si="346"/>
        <v>-264.34711962631297</v>
      </c>
      <c r="BF428">
        <f t="shared" si="347"/>
        <v>-53.689836392666948</v>
      </c>
      <c r="BG428">
        <f t="shared" si="348"/>
        <v>-186.96318616292328</v>
      </c>
      <c r="BH428">
        <f t="shared" si="359"/>
        <v>-6.9631861629232787</v>
      </c>
      <c r="BI428">
        <f t="shared" si="360"/>
        <v>-6.9631861629232787</v>
      </c>
      <c r="BJ428">
        <f t="shared" si="349"/>
        <v>0</v>
      </c>
      <c r="BK428">
        <f t="shared" si="361"/>
        <v>0</v>
      </c>
      <c r="BM428">
        <f t="shared" si="362"/>
        <v>-57.205388285843</v>
      </c>
      <c r="BN428">
        <f t="shared" si="350"/>
        <v>-102.61606653661032</v>
      </c>
      <c r="BQ428" s="66">
        <f t="shared" si="363"/>
        <v>20.417512693461191</v>
      </c>
    </row>
    <row r="429" spans="1:69" x14ac:dyDescent="0.15">
      <c r="A429">
        <f t="shared" si="371"/>
        <v>1075000</v>
      </c>
      <c r="B429">
        <f t="shared" si="351"/>
        <v>1075</v>
      </c>
      <c r="C429">
        <f t="shared" si="320"/>
        <v>4.5687033677013167</v>
      </c>
      <c r="D429">
        <f t="shared" si="321"/>
        <v>1.3501293422136857</v>
      </c>
      <c r="F429">
        <f t="shared" si="322"/>
        <v>2.0031993394013064E-5</v>
      </c>
      <c r="G429">
        <f t="shared" si="323"/>
        <v>1.4660134802582823E-3</v>
      </c>
      <c r="H429">
        <f t="shared" si="324"/>
        <v>-3.1401266365197418</v>
      </c>
      <c r="J429">
        <f t="shared" si="325"/>
        <v>15</v>
      </c>
      <c r="M429">
        <f t="shared" si="326"/>
        <v>8.8653359294670032E-4</v>
      </c>
      <c r="N429">
        <f t="shared" si="327"/>
        <v>-1.5707963250000001</v>
      </c>
      <c r="O429">
        <f t="shared" si="328"/>
        <v>456.93789120280223</v>
      </c>
      <c r="P429">
        <f t="shared" si="329"/>
        <v>1.5686078438139579</v>
      </c>
      <c r="Q429">
        <f t="shared" si="330"/>
        <v>206.80937777852307</v>
      </c>
      <c r="R429">
        <f t="shared" si="331"/>
        <v>1.5659609372802417</v>
      </c>
      <c r="S429">
        <f t="shared" si="332"/>
        <v>0.23297285273924331</v>
      </c>
      <c r="T429">
        <f t="shared" si="333"/>
        <v>-1.3356627870640967</v>
      </c>
      <c r="U429">
        <f t="shared" si="334"/>
        <v>0.12093164803350943</v>
      </c>
      <c r="V429">
        <f t="shared" si="335"/>
        <v>-1.4495679618079949</v>
      </c>
      <c r="X429">
        <f t="shared" si="352"/>
        <v>-49.788474486314527</v>
      </c>
      <c r="Y429">
        <f t="shared" si="336"/>
        <v>-172.54369552816169</v>
      </c>
      <c r="Z429">
        <f t="shared" si="353"/>
        <v>7.4563044718383082</v>
      </c>
      <c r="AC429">
        <v>1</v>
      </c>
      <c r="AD429">
        <f t="shared" si="337"/>
        <v>456.93679696087509</v>
      </c>
      <c r="AE429">
        <f t="shared" si="338"/>
        <v>-0.46295174371810194</v>
      </c>
      <c r="AF429">
        <f t="shared" si="339"/>
        <v>5.6399442049125004E-2</v>
      </c>
      <c r="AG429">
        <f t="shared" si="367"/>
        <v>116.35596307062841</v>
      </c>
      <c r="AH429">
        <f t="shared" si="368"/>
        <v>-972.83224801685299</v>
      </c>
      <c r="AJ429">
        <f t="shared" si="340"/>
        <v>20000</v>
      </c>
      <c r="AK429">
        <f t="shared" si="341"/>
        <v>83484.683081100011</v>
      </c>
      <c r="AL429">
        <v>1</v>
      </c>
      <c r="AM429">
        <f t="shared" si="342"/>
        <v>206.80696007905502</v>
      </c>
      <c r="AN429">
        <f t="shared" si="369"/>
        <v>404.14228511729203</v>
      </c>
      <c r="AO429">
        <f t="shared" si="370"/>
        <v>-94.754343409873158</v>
      </c>
      <c r="AQ429">
        <f t="shared" si="343"/>
        <v>2.1633310625568279E-3</v>
      </c>
      <c r="AR429">
        <f t="shared" si="344"/>
        <v>-4.6511617844971802</v>
      </c>
      <c r="AT429">
        <f t="shared" si="365"/>
        <v>-4524.5484582332447</v>
      </c>
      <c r="AU429">
        <f t="shared" si="366"/>
        <v>-543.29496705326392</v>
      </c>
      <c r="AV429">
        <f t="shared" si="354"/>
        <v>-3.0220876553383005</v>
      </c>
      <c r="AW429">
        <f t="shared" si="355"/>
        <v>68.801385285952904</v>
      </c>
      <c r="AX429">
        <f t="shared" si="356"/>
        <v>-3053.6220471439237</v>
      </c>
      <c r="AY429">
        <f t="shared" si="364"/>
        <v>-1.5482690639432666</v>
      </c>
      <c r="BA429">
        <f t="shared" si="345"/>
        <v>1.4919639886073619</v>
      </c>
      <c r="BB429">
        <f t="shared" si="357"/>
        <v>3.4751668147725172</v>
      </c>
      <c r="BC429">
        <f t="shared" si="358"/>
        <v>-1.4738185913950339</v>
      </c>
      <c r="BD429">
        <f t="shared" si="346"/>
        <v>-264.44358515134229</v>
      </c>
      <c r="BF429">
        <f t="shared" si="347"/>
        <v>-53.772665407384636</v>
      </c>
      <c r="BG429">
        <f t="shared" si="348"/>
        <v>-187.00287557210706</v>
      </c>
      <c r="BH429">
        <f t="shared" si="359"/>
        <v>-7.0028755721070581</v>
      </c>
      <c r="BI429">
        <f t="shared" si="360"/>
        <v>-7.0028755721070581</v>
      </c>
      <c r="BJ429">
        <f t="shared" si="349"/>
        <v>0</v>
      </c>
      <c r="BK429">
        <f t="shared" si="361"/>
        <v>0</v>
      </c>
      <c r="BM429">
        <f t="shared" si="362"/>
        <v>-57.247832222157143</v>
      </c>
      <c r="BN429">
        <f t="shared" si="350"/>
        <v>-102.5592904207648</v>
      </c>
      <c r="BQ429" s="66">
        <f t="shared" si="363"/>
        <v>20.377127615057656</v>
      </c>
    </row>
    <row r="430" spans="1:69" x14ac:dyDescent="0.15">
      <c r="A430">
        <f t="shared" si="371"/>
        <v>1080000</v>
      </c>
      <c r="B430">
        <f t="shared" si="351"/>
        <v>1080</v>
      </c>
      <c r="C430">
        <f t="shared" si="320"/>
        <v>4.5889373462388354</v>
      </c>
      <c r="D430">
        <f t="shared" si="321"/>
        <v>1.3511183251280248</v>
      </c>
      <c r="F430">
        <f t="shared" si="322"/>
        <v>1.9846937793204463E-5</v>
      </c>
      <c r="G430">
        <f t="shared" si="323"/>
        <v>1.4592261160300227E-3</v>
      </c>
      <c r="H430">
        <f t="shared" si="324"/>
        <v>-3.1401334238839702</v>
      </c>
      <c r="J430">
        <f t="shared" si="325"/>
        <v>15</v>
      </c>
      <c r="M430">
        <f t="shared" si="326"/>
        <v>8.8242927075713232E-4</v>
      </c>
      <c r="N430">
        <f t="shared" si="327"/>
        <v>-1.5707963250000001</v>
      </c>
      <c r="O430">
        <f t="shared" si="328"/>
        <v>459.06317356460448</v>
      </c>
      <c r="P430">
        <f t="shared" si="329"/>
        <v>1.5686179756474838</v>
      </c>
      <c r="Q430">
        <f t="shared" si="330"/>
        <v>207.7712594231769</v>
      </c>
      <c r="R430">
        <f t="shared" si="331"/>
        <v>1.5659833229962916</v>
      </c>
      <c r="S430">
        <f t="shared" si="332"/>
        <v>0.23195243195710849</v>
      </c>
      <c r="T430">
        <f t="shared" si="333"/>
        <v>-1.3367119493602651</v>
      </c>
      <c r="U430">
        <f t="shared" si="334"/>
        <v>0.12037991112469704</v>
      </c>
      <c r="V430">
        <f t="shared" si="335"/>
        <v>-1.4501237591542191</v>
      </c>
      <c r="X430">
        <f t="shared" si="352"/>
        <v>-49.868246461285388</v>
      </c>
      <c r="Y430">
        <f t="shared" si="336"/>
        <v>-172.5775141639696</v>
      </c>
      <c r="Z430">
        <f t="shared" si="353"/>
        <v>7.422485836030404</v>
      </c>
      <c r="AC430">
        <v>1</v>
      </c>
      <c r="AD430">
        <f t="shared" si="337"/>
        <v>459.06208438860011</v>
      </c>
      <c r="AE430">
        <f t="shared" si="338"/>
        <v>-0.46726828674768545</v>
      </c>
      <c r="AF430">
        <f t="shared" si="339"/>
        <v>5.6661765035400005E-2</v>
      </c>
      <c r="AG430">
        <f t="shared" si="367"/>
        <v>115.29666333128885</v>
      </c>
      <c r="AH430">
        <f t="shared" si="368"/>
        <v>-968.45684754530055</v>
      </c>
      <c r="AJ430">
        <f t="shared" si="340"/>
        <v>20000</v>
      </c>
      <c r="AK430">
        <f t="shared" si="341"/>
        <v>83872.983932639996</v>
      </c>
      <c r="AL430">
        <v>1</v>
      </c>
      <c r="AM430">
        <f t="shared" si="342"/>
        <v>207.768852916632</v>
      </c>
      <c r="AN430">
        <f t="shared" si="369"/>
        <v>404.13805264929346</v>
      </c>
      <c r="AO430">
        <f t="shared" si="370"/>
        <v>-94.315686265128576</v>
      </c>
      <c r="AQ430">
        <f t="shared" si="343"/>
        <v>2.1433465913608986E-3</v>
      </c>
      <c r="AR430">
        <f t="shared" si="344"/>
        <v>-4.6296286373395414</v>
      </c>
      <c r="AT430">
        <f t="shared" si="365"/>
        <v>-4483.3484347129515</v>
      </c>
      <c r="AU430">
        <f t="shared" si="366"/>
        <v>-535.85647303129701</v>
      </c>
      <c r="AV430">
        <f t="shared" si="354"/>
        <v>-3.0226354741666417</v>
      </c>
      <c r="AW430">
        <f t="shared" si="355"/>
        <v>71.908784725129934</v>
      </c>
      <c r="AX430">
        <f t="shared" si="356"/>
        <v>-3039.5782309455021</v>
      </c>
      <c r="AY430">
        <f t="shared" si="364"/>
        <v>-1.5471432510912073</v>
      </c>
      <c r="BA430">
        <f t="shared" si="345"/>
        <v>1.485072830687409</v>
      </c>
      <c r="BB430">
        <f t="shared" si="357"/>
        <v>3.4349550554221531</v>
      </c>
      <c r="BC430">
        <f t="shared" si="358"/>
        <v>-1.4754922230754344</v>
      </c>
      <c r="BD430">
        <f t="shared" si="346"/>
        <v>-264.53947718319819</v>
      </c>
      <c r="BF430">
        <f t="shared" si="347"/>
        <v>-53.855107029620079</v>
      </c>
      <c r="BG430">
        <f t="shared" si="348"/>
        <v>-187.04249194422081</v>
      </c>
      <c r="BH430">
        <f t="shared" si="359"/>
        <v>-7.0424919442208136</v>
      </c>
      <c r="BI430">
        <f t="shared" si="360"/>
        <v>-7.0424919442208136</v>
      </c>
      <c r="BJ430">
        <f t="shared" si="349"/>
        <v>0</v>
      </c>
      <c r="BK430">
        <f t="shared" si="361"/>
        <v>0</v>
      </c>
      <c r="BM430">
        <f t="shared" si="362"/>
        <v>-57.290062085042237</v>
      </c>
      <c r="BN430">
        <f t="shared" si="350"/>
        <v>-102.50301476102261</v>
      </c>
      <c r="BQ430" s="66">
        <f t="shared" si="363"/>
        <v>20.336915855707289</v>
      </c>
    </row>
    <row r="431" spans="1:69" x14ac:dyDescent="0.15">
      <c r="A431">
        <f t="shared" si="371"/>
        <v>1085000</v>
      </c>
      <c r="B431">
        <f t="shared" si="351"/>
        <v>1085</v>
      </c>
      <c r="C431">
        <f t="shared" si="320"/>
        <v>4.6091757737473147</v>
      </c>
      <c r="D431">
        <f t="shared" si="321"/>
        <v>1.3520986239450488</v>
      </c>
      <c r="F431">
        <f t="shared" si="322"/>
        <v>1.9664434729906536E-5</v>
      </c>
      <c r="G431">
        <f t="shared" si="323"/>
        <v>1.4525013117895052E-3</v>
      </c>
      <c r="H431">
        <f t="shared" si="324"/>
        <v>-3.1401401486882108</v>
      </c>
      <c r="J431">
        <f t="shared" si="325"/>
        <v>15</v>
      </c>
      <c r="M431">
        <f t="shared" si="326"/>
        <v>8.7836277642184591E-4</v>
      </c>
      <c r="N431">
        <f t="shared" si="327"/>
        <v>-1.5707963250000001</v>
      </c>
      <c r="O431">
        <f t="shared" si="328"/>
        <v>461.18845597309701</v>
      </c>
      <c r="P431">
        <f t="shared" si="329"/>
        <v>1.5686280141004969</v>
      </c>
      <c r="Q431">
        <f t="shared" si="330"/>
        <v>208.73314117098954</v>
      </c>
      <c r="R431">
        <f t="shared" si="331"/>
        <v>1.5660055023971353</v>
      </c>
      <c r="S431">
        <f t="shared" si="332"/>
        <v>0.23094066018694212</v>
      </c>
      <c r="T431">
        <f t="shared" si="333"/>
        <v>-1.3377519599438992</v>
      </c>
      <c r="U431">
        <f t="shared" si="334"/>
        <v>0.11983314931005373</v>
      </c>
      <c r="V431">
        <f t="shared" si="335"/>
        <v>-1.4506745078407479</v>
      </c>
      <c r="X431">
        <f t="shared" si="352"/>
        <v>-49.947657362207281</v>
      </c>
      <c r="Y431">
        <f t="shared" si="336"/>
        <v>-172.61103032738245</v>
      </c>
      <c r="Z431">
        <f t="shared" si="353"/>
        <v>7.3889696726175487</v>
      </c>
      <c r="AC431">
        <v>1</v>
      </c>
      <c r="AD431">
        <f t="shared" si="337"/>
        <v>461.18737181632503</v>
      </c>
      <c r="AE431">
        <f t="shared" si="338"/>
        <v>-0.47160486013935532</v>
      </c>
      <c r="AF431">
        <f t="shared" si="339"/>
        <v>5.6924088021675007E-2</v>
      </c>
      <c r="AG431">
        <f t="shared" si="367"/>
        <v>114.25169411935978</v>
      </c>
      <c r="AH431">
        <f t="shared" si="368"/>
        <v>-964.12004360874027</v>
      </c>
      <c r="AJ431">
        <f t="shared" si="340"/>
        <v>20000</v>
      </c>
      <c r="AK431">
        <f t="shared" si="341"/>
        <v>84261.284784179996</v>
      </c>
      <c r="AL431">
        <v>1</v>
      </c>
      <c r="AM431">
        <f t="shared" si="342"/>
        <v>208.73074575420898</v>
      </c>
      <c r="AN431">
        <f t="shared" si="369"/>
        <v>404.13387855795889</v>
      </c>
      <c r="AO431">
        <f t="shared" si="370"/>
        <v>-93.881071763702536</v>
      </c>
      <c r="AQ431">
        <f t="shared" si="343"/>
        <v>2.1236377660095213E-3</v>
      </c>
      <c r="AR431">
        <f t="shared" si="344"/>
        <v>-4.6082939522406612</v>
      </c>
      <c r="AT431">
        <f t="shared" si="365"/>
        <v>-4442.7059369836979</v>
      </c>
      <c r="AU431">
        <f t="shared" si="366"/>
        <v>-528.55283277906983</v>
      </c>
      <c r="AV431">
        <f t="shared" si="354"/>
        <v>-3.0231783178695779</v>
      </c>
      <c r="AW431">
        <f t="shared" si="355"/>
        <v>74.973075190078632</v>
      </c>
      <c r="AX431">
        <f t="shared" si="356"/>
        <v>-3025.6625997960332</v>
      </c>
      <c r="AY431">
        <f t="shared" si="364"/>
        <v>-1.5460223363602641</v>
      </c>
      <c r="BA431">
        <f t="shared" si="345"/>
        <v>1.4782427395747184</v>
      </c>
      <c r="BB431">
        <f t="shared" si="357"/>
        <v>3.3949150925687546</v>
      </c>
      <c r="BC431">
        <f t="shared" si="358"/>
        <v>-1.4771559815093138</v>
      </c>
      <c r="BD431">
        <f t="shared" si="346"/>
        <v>-264.6348035196977</v>
      </c>
      <c r="BF431">
        <f t="shared" si="347"/>
        <v>-53.937164980202546</v>
      </c>
      <c r="BG431">
        <f t="shared" si="348"/>
        <v>-187.08203659868047</v>
      </c>
      <c r="BH431">
        <f t="shared" si="359"/>
        <v>-7.0820365986804745</v>
      </c>
      <c r="BI431">
        <f t="shared" si="360"/>
        <v>-7.0820365986804745</v>
      </c>
      <c r="BJ431">
        <f t="shared" si="349"/>
        <v>0</v>
      </c>
      <c r="BK431">
        <f t="shared" si="361"/>
        <v>0</v>
      </c>
      <c r="BM431">
        <f t="shared" si="362"/>
        <v>-57.332080072771305</v>
      </c>
      <c r="BN431">
        <f t="shared" si="350"/>
        <v>-102.44723307898278</v>
      </c>
      <c r="BQ431" s="66">
        <f t="shared" si="363"/>
        <v>20.29687589285389</v>
      </c>
    </row>
    <row r="432" spans="1:69" x14ac:dyDescent="0.15">
      <c r="A432">
        <f t="shared" si="371"/>
        <v>1090000</v>
      </c>
      <c r="B432">
        <f t="shared" si="351"/>
        <v>1090</v>
      </c>
      <c r="C432">
        <f t="shared" si="320"/>
        <v>4.6294185918780606</v>
      </c>
      <c r="D432">
        <f t="shared" si="321"/>
        <v>1.3530703506856945</v>
      </c>
      <c r="F432">
        <f t="shared" si="322"/>
        <v>1.9484437474687818E-5</v>
      </c>
      <c r="G432">
        <f t="shared" si="323"/>
        <v>1.4458382065532195E-3</v>
      </c>
      <c r="H432">
        <f t="shared" si="324"/>
        <v>-3.1401468117934468</v>
      </c>
      <c r="J432">
        <f t="shared" si="325"/>
        <v>15</v>
      </c>
      <c r="M432">
        <f t="shared" si="326"/>
        <v>8.743335893740393E-4</v>
      </c>
      <c r="N432">
        <f t="shared" si="327"/>
        <v>-1.5707963250000001</v>
      </c>
      <c r="O432">
        <f t="shared" si="328"/>
        <v>463.31373842763742</v>
      </c>
      <c r="P432">
        <f t="shared" si="329"/>
        <v>1.5686379604580416</v>
      </c>
      <c r="Q432">
        <f t="shared" si="330"/>
        <v>209.69502302054141</v>
      </c>
      <c r="R432">
        <f t="shared" si="331"/>
        <v>1.5660274783218864</v>
      </c>
      <c r="S432">
        <f t="shared" si="332"/>
        <v>0.22993743126367944</v>
      </c>
      <c r="T432">
        <f t="shared" si="333"/>
        <v>-1.3387829358182386</v>
      </c>
      <c r="U432">
        <f t="shared" si="334"/>
        <v>0.11929129609432743</v>
      </c>
      <c r="V432">
        <f t="shared" si="335"/>
        <v>-1.4512202760172206</v>
      </c>
      <c r="X432">
        <f t="shared" si="352"/>
        <v>-50.026710413458517</v>
      </c>
      <c r="Y432">
        <f t="shared" si="336"/>
        <v>-172.64424802158581</v>
      </c>
      <c r="Z432">
        <f t="shared" si="353"/>
        <v>7.3557519784141903</v>
      </c>
      <c r="AC432">
        <v>1</v>
      </c>
      <c r="AD432">
        <f t="shared" si="337"/>
        <v>463.31265924405005</v>
      </c>
      <c r="AE432">
        <f t="shared" si="338"/>
        <v>-0.47596146389311145</v>
      </c>
      <c r="AF432">
        <f t="shared" si="339"/>
        <v>5.7186411007950008E-2</v>
      </c>
      <c r="AG432">
        <f t="shared" si="367"/>
        <v>113.22079935669765</v>
      </c>
      <c r="AH432">
        <f t="shared" si="368"/>
        <v>-959.82133582979156</v>
      </c>
      <c r="AJ432">
        <f t="shared" si="340"/>
        <v>20000</v>
      </c>
      <c r="AK432">
        <f t="shared" si="341"/>
        <v>84649.58563572001</v>
      </c>
      <c r="AL432">
        <v>1</v>
      </c>
      <c r="AM432">
        <f t="shared" si="342"/>
        <v>209.69263859178599</v>
      </c>
      <c r="AN432">
        <f t="shared" si="369"/>
        <v>404.12976177465833</v>
      </c>
      <c r="AO432">
        <f t="shared" si="370"/>
        <v>-93.450444277984985</v>
      </c>
      <c r="AQ432">
        <f t="shared" si="343"/>
        <v>2.1041995404007365E-3</v>
      </c>
      <c r="AR432">
        <f t="shared" si="344"/>
        <v>-4.5871549980736051</v>
      </c>
      <c r="AT432">
        <f t="shared" si="365"/>
        <v>-4402.6109987553418</v>
      </c>
      <c r="AU432">
        <f t="shared" si="366"/>
        <v>-521.38101126868435</v>
      </c>
      <c r="AV432">
        <f t="shared" si="354"/>
        <v>-3.0237162535848161</v>
      </c>
      <c r="AW432">
        <f t="shared" si="355"/>
        <v>77.995051406320286</v>
      </c>
      <c r="AX432">
        <f t="shared" si="356"/>
        <v>-3011.873411806182</v>
      </c>
      <c r="AY432">
        <f t="shared" si="364"/>
        <v>-1.5449062532831803</v>
      </c>
      <c r="BA432">
        <f t="shared" si="345"/>
        <v>1.4714729101417539</v>
      </c>
      <c r="BB432">
        <f t="shared" si="357"/>
        <v>3.3550454227085451</v>
      </c>
      <c r="BC432">
        <f t="shared" si="358"/>
        <v>-1.4788100003016358</v>
      </c>
      <c r="BD432">
        <f t="shared" si="346"/>
        <v>-264.72957181584138</v>
      </c>
      <c r="BF432">
        <f t="shared" si="347"/>
        <v>-54.018842926875259</v>
      </c>
      <c r="BG432">
        <f t="shared" si="348"/>
        <v>-187.12151082149043</v>
      </c>
      <c r="BH432">
        <f t="shared" si="359"/>
        <v>-7.1215108214904319</v>
      </c>
      <c r="BI432">
        <f t="shared" si="360"/>
        <v>-7.1215108214904319</v>
      </c>
      <c r="BJ432">
        <f t="shared" si="349"/>
        <v>0</v>
      </c>
      <c r="BK432">
        <f t="shared" si="361"/>
        <v>0</v>
      </c>
      <c r="BM432">
        <f t="shared" si="362"/>
        <v>-57.373888349583808</v>
      </c>
      <c r="BN432">
        <f t="shared" si="350"/>
        <v>-102.39193900564906</v>
      </c>
      <c r="BQ432" s="66">
        <f t="shared" si="363"/>
        <v>20.257006222993681</v>
      </c>
    </row>
    <row r="433" spans="1:69" x14ac:dyDescent="0.15">
      <c r="A433">
        <f t="shared" si="371"/>
        <v>1095000</v>
      </c>
      <c r="B433">
        <f t="shared" si="351"/>
        <v>1095</v>
      </c>
      <c r="C433">
        <f t="shared" si="320"/>
        <v>4.6496657432859401</v>
      </c>
      <c r="D433">
        <f t="shared" si="321"/>
        <v>1.3540336154850903</v>
      </c>
      <c r="F433">
        <f t="shared" si="322"/>
        <v>1.9306900362597244E-5</v>
      </c>
      <c r="G433">
        <f t="shared" si="323"/>
        <v>1.4392359550648829E-3</v>
      </c>
      <c r="H433">
        <f t="shared" si="324"/>
        <v>-3.1401534140449354</v>
      </c>
      <c r="J433">
        <f t="shared" si="325"/>
        <v>15</v>
      </c>
      <c r="M433">
        <f t="shared" si="326"/>
        <v>8.703411985549797E-4</v>
      </c>
      <c r="N433">
        <f t="shared" si="327"/>
        <v>-1.5707963250000001</v>
      </c>
      <c r="O433">
        <f t="shared" si="328"/>
        <v>465.43902092759487</v>
      </c>
      <c r="P433">
        <f t="shared" si="329"/>
        <v>1.5686478159816923</v>
      </c>
      <c r="Q433">
        <f t="shared" si="330"/>
        <v>210.65690497043883</v>
      </c>
      <c r="R433">
        <f t="shared" si="331"/>
        <v>1.5660492535578041</v>
      </c>
      <c r="S433">
        <f t="shared" si="332"/>
        <v>0.22894264069298081</v>
      </c>
      <c r="T433">
        <f t="shared" si="333"/>
        <v>-1.3398049920393067</v>
      </c>
      <c r="U433">
        <f t="shared" si="334"/>
        <v>0.11875428615308906</v>
      </c>
      <c r="V433">
        <f t="shared" si="335"/>
        <v>-1.4517611306181182</v>
      </c>
      <c r="X433">
        <f t="shared" si="352"/>
        <v>-50.105408796777027</v>
      </c>
      <c r="Y433">
        <f t="shared" si="336"/>
        <v>-172.67717118003796</v>
      </c>
      <c r="Z433">
        <f t="shared" si="353"/>
        <v>7.3228288199620408</v>
      </c>
      <c r="AC433">
        <v>1</v>
      </c>
      <c r="AD433">
        <f t="shared" si="337"/>
        <v>465.43794667177508</v>
      </c>
      <c r="AE433">
        <f t="shared" si="338"/>
        <v>-0.48033809800895355</v>
      </c>
      <c r="AF433">
        <f t="shared" si="339"/>
        <v>5.7448733994225003E-2</v>
      </c>
      <c r="AG433">
        <f t="shared" si="367"/>
        <v>112.20372863165402</v>
      </c>
      <c r="AH433">
        <f t="shared" si="368"/>
        <v>-955.56023229266998</v>
      </c>
      <c r="AJ433">
        <f t="shared" si="340"/>
        <v>20000</v>
      </c>
      <c r="AK433">
        <f t="shared" si="341"/>
        <v>85037.886487259995</v>
      </c>
      <c r="AL433">
        <v>1</v>
      </c>
      <c r="AM433">
        <f t="shared" si="342"/>
        <v>210.65453142936298</v>
      </c>
      <c r="AN433">
        <f t="shared" si="369"/>
        <v>404.12570125510211</v>
      </c>
      <c r="AO433">
        <f t="shared" si="370"/>
        <v>-93.02374919627978</v>
      </c>
      <c r="AQ433">
        <f t="shared" si="343"/>
        <v>2.0850269833767054E-3</v>
      </c>
      <c r="AR433">
        <f t="shared" si="344"/>
        <v>-4.5662090935949848</v>
      </c>
      <c r="AT433">
        <f t="shared" si="365"/>
        <v>-4363.0538743706938</v>
      </c>
      <c r="AU433">
        <f t="shared" si="366"/>
        <v>-514.33805488169446</v>
      </c>
      <c r="AV433">
        <f t="shared" si="354"/>
        <v>-3.0242493472533885</v>
      </c>
      <c r="AW433">
        <f t="shared" si="355"/>
        <v>80.97548984876488</v>
      </c>
      <c r="AX433">
        <f t="shared" si="356"/>
        <v>-2998.2089564180606</v>
      </c>
      <c r="AY433">
        <f t="shared" si="364"/>
        <v>-1.5437949366320891</v>
      </c>
      <c r="BA433">
        <f t="shared" si="345"/>
        <v>1.4647625511774525</v>
      </c>
      <c r="BB433">
        <f t="shared" si="357"/>
        <v>3.3153445610873193</v>
      </c>
      <c r="BC433">
        <f t="shared" si="358"/>
        <v>-1.4804544106212993</v>
      </c>
      <c r="BD433">
        <f t="shared" si="346"/>
        <v>-264.82378958705351</v>
      </c>
      <c r="BF433">
        <f t="shared" si="347"/>
        <v>-54.100144485297619</v>
      </c>
      <c r="BG433">
        <f t="shared" si="348"/>
        <v>-187.16091586622665</v>
      </c>
      <c r="BH433">
        <f t="shared" si="359"/>
        <v>-7.1609158662266452</v>
      </c>
      <c r="BI433">
        <f t="shared" si="360"/>
        <v>-7.1609158662266452</v>
      </c>
      <c r="BJ433">
        <f t="shared" si="349"/>
        <v>0</v>
      </c>
      <c r="BK433">
        <f t="shared" si="361"/>
        <v>0</v>
      </c>
      <c r="BM433">
        <f t="shared" si="362"/>
        <v>-57.415489046384948</v>
      </c>
      <c r="BN433">
        <f t="shared" si="350"/>
        <v>-102.33712627917311</v>
      </c>
      <c r="BQ433" s="66">
        <f t="shared" si="363"/>
        <v>20.217305361372453</v>
      </c>
    </row>
    <row r="434" spans="1:69" x14ac:dyDescent="0.15">
      <c r="A434">
        <f>A433+5000</f>
        <v>1100000</v>
      </c>
      <c r="B434">
        <f t="shared" si="351"/>
        <v>1100</v>
      </c>
      <c r="C434">
        <f t="shared" si="320"/>
        <v>4.669917171608164</v>
      </c>
      <c r="D434">
        <f t="shared" si="321"/>
        <v>1.3549885266313579</v>
      </c>
      <c r="F434">
        <f t="shared" si="322"/>
        <v>1.9131778764197816E-5</v>
      </c>
      <c r="G434">
        <f t="shared" si="323"/>
        <v>1.4326937274379639E-3</v>
      </c>
      <c r="H434">
        <f t="shared" si="324"/>
        <v>-3.1401599562725622</v>
      </c>
      <c r="J434">
        <f t="shared" si="325"/>
        <v>15</v>
      </c>
      <c r="M434">
        <f t="shared" si="326"/>
        <v>8.663851021979116E-4</v>
      </c>
      <c r="N434">
        <f t="shared" si="327"/>
        <v>-1.5707963250000001</v>
      </c>
      <c r="O434">
        <f t="shared" si="328"/>
        <v>467.56430347235005</v>
      </c>
      <c r="P434">
        <f t="shared" si="329"/>
        <v>1.568657581910085</v>
      </c>
      <c r="Q434">
        <f t="shared" si="330"/>
        <v>211.61878701931352</v>
      </c>
      <c r="R434">
        <f t="shared" si="331"/>
        <v>1.5660708308414721</v>
      </c>
      <c r="S434">
        <f t="shared" si="332"/>
        <v>0.22795618561985262</v>
      </c>
      <c r="T434">
        <f t="shared" si="333"/>
        <v>-1.3408182417554027</v>
      </c>
      <c r="U434">
        <f t="shared" si="334"/>
        <v>0.11822205530727734</v>
      </c>
      <c r="V434">
        <f t="shared" si="335"/>
        <v>-1.4522971373895959</v>
      </c>
      <c r="X434">
        <f t="shared" si="352"/>
        <v>-50.183755652003335</v>
      </c>
      <c r="Y434">
        <f t="shared" si="336"/>
        <v>-172.70980366796954</v>
      </c>
      <c r="Z434">
        <f t="shared" si="353"/>
        <v>7.2901963320304617</v>
      </c>
      <c r="AC434">
        <v>1</v>
      </c>
      <c r="AD434">
        <f t="shared" si="337"/>
        <v>467.56323409950005</v>
      </c>
      <c r="AE434">
        <f t="shared" si="338"/>
        <v>-0.48473476248688219</v>
      </c>
      <c r="AF434">
        <f t="shared" si="339"/>
        <v>5.7711056980500004E-2</v>
      </c>
      <c r="AG434">
        <f t="shared" si="367"/>
        <v>111.20023705002279</v>
      </c>
      <c r="AH434">
        <f t="shared" si="368"/>
        <v>-951.33624936862361</v>
      </c>
      <c r="AJ434">
        <f t="shared" si="340"/>
        <v>20000</v>
      </c>
      <c r="AK434">
        <f t="shared" si="341"/>
        <v>85426.187338800009</v>
      </c>
      <c r="AL434">
        <v>1</v>
      </c>
      <c r="AM434">
        <f t="shared" si="342"/>
        <v>211.61642426694002</v>
      </c>
      <c r="AN434">
        <f t="shared" si="369"/>
        <v>404.12169597868012</v>
      </c>
      <c r="AO434">
        <f t="shared" si="370"/>
        <v>-92.600932899718714</v>
      </c>
      <c r="AQ434">
        <f t="shared" si="343"/>
        <v>2.0661152755960172E-3</v>
      </c>
      <c r="AR434">
        <f t="shared" si="344"/>
        <v>-4.5454536063112387</v>
      </c>
      <c r="AT434">
        <f t="shared" si="365"/>
        <v>-4324.0250329987994</v>
      </c>
      <c r="AU434">
        <f t="shared" si="366"/>
        <v>-507.42108887873951</v>
      </c>
      <c r="AV434">
        <f t="shared" si="354"/>
        <v>-3.0247776636460633</v>
      </c>
      <c r="AW434">
        <f t="shared" si="355"/>
        <v>83.915149242873809</v>
      </c>
      <c r="AX434">
        <f t="shared" si="356"/>
        <v>-2984.6675537057126</v>
      </c>
      <c r="AY434">
        <f t="shared" si="364"/>
        <v>-1.5426883223899031</v>
      </c>
      <c r="BA434">
        <f t="shared" si="345"/>
        <v>1.4581108850923512</v>
      </c>
      <c r="BB434">
        <f t="shared" si="357"/>
        <v>3.2758110414031134</v>
      </c>
      <c r="BC434">
        <f t="shared" si="358"/>
        <v>-1.4820893412561602</v>
      </c>
      <c r="BD434">
        <f t="shared" si="346"/>
        <v>-264.91746421233472</v>
      </c>
      <c r="BF434">
        <f t="shared" si="347"/>
        <v>-54.18107322002416</v>
      </c>
      <c r="BG434">
        <f t="shared" si="348"/>
        <v>-187.20025295498624</v>
      </c>
      <c r="BH434">
        <f t="shared" si="359"/>
        <v>-7.2002529549862402</v>
      </c>
      <c r="BI434">
        <f t="shared" si="360"/>
        <v>-7.2002529549862402</v>
      </c>
      <c r="BJ434">
        <f t="shared" si="349"/>
        <v>0</v>
      </c>
      <c r="BK434">
        <f t="shared" si="361"/>
        <v>0</v>
      </c>
      <c r="BM434">
        <f t="shared" si="362"/>
        <v>-57.456884261427277</v>
      </c>
      <c r="BN434">
        <f t="shared" si="350"/>
        <v>-102.2827887426515</v>
      </c>
      <c r="BQ434" s="66">
        <f t="shared" si="363"/>
        <v>20.177771841688248</v>
      </c>
    </row>
    <row r="435" spans="1:69" x14ac:dyDescent="0.15">
      <c r="A435">
        <f t="shared" ref="A435:A472" si="372">A434+5000</f>
        <v>1105000</v>
      </c>
      <c r="B435">
        <f t="shared" si="351"/>
        <v>1105</v>
      </c>
      <c r="C435">
        <f t="shared" si="320"/>
        <v>4.6901728214436051</v>
      </c>
      <c r="D435">
        <f t="shared" si="321"/>
        <v>1.355935190603478</v>
      </c>
      <c r="F435">
        <f t="shared" si="322"/>
        <v>1.8959029057515674E-5</v>
      </c>
      <c r="G435">
        <f t="shared" si="323"/>
        <v>1.4262107088079108E-3</v>
      </c>
      <c r="H435">
        <f t="shared" si="324"/>
        <v>-3.1401664392911921</v>
      </c>
      <c r="J435">
        <f t="shared" si="325"/>
        <v>15</v>
      </c>
      <c r="M435">
        <f t="shared" si="326"/>
        <v>8.6246480761783054E-4</v>
      </c>
      <c r="N435">
        <f t="shared" si="327"/>
        <v>-1.5707963250000001</v>
      </c>
      <c r="O435">
        <f t="shared" si="328"/>
        <v>469.68958606129485</v>
      </c>
      <c r="P435">
        <f t="shared" si="329"/>
        <v>1.5686672594594377</v>
      </c>
      <c r="Q435">
        <f t="shared" si="330"/>
        <v>212.58066916582186</v>
      </c>
      <c r="R435">
        <f t="shared" si="331"/>
        <v>1.5660922128599455</v>
      </c>
      <c r="S435">
        <f t="shared" si="332"/>
        <v>0.22697796479793544</v>
      </c>
      <c r="T435">
        <f t="shared" si="333"/>
        <v>-1.3418227962456579</v>
      </c>
      <c r="U435">
        <f t="shared" si="334"/>
        <v>0.11769454049839927</v>
      </c>
      <c r="V435">
        <f t="shared" si="335"/>
        <v>-1.452828360915609</v>
      </c>
      <c r="X435">
        <f t="shared" si="352"/>
        <v>-50.261754077807481</v>
      </c>
      <c r="Y435">
        <f t="shared" si="336"/>
        <v>-172.74214928384413</v>
      </c>
      <c r="Z435">
        <f t="shared" si="353"/>
        <v>7.2578507161558719</v>
      </c>
      <c r="AC435">
        <v>1</v>
      </c>
      <c r="AD435">
        <f t="shared" si="337"/>
        <v>469.68852152722508</v>
      </c>
      <c r="AE435">
        <f t="shared" si="338"/>
        <v>-0.48915145732689697</v>
      </c>
      <c r="AF435">
        <f t="shared" si="339"/>
        <v>5.7973379966775006E-2</v>
      </c>
      <c r="AG435">
        <f t="shared" si="367"/>
        <v>110.21008509051951</v>
      </c>
      <c r="AH435">
        <f t="shared" si="368"/>
        <v>-947.14891154557404</v>
      </c>
      <c r="AJ435">
        <f t="shared" si="340"/>
        <v>20000</v>
      </c>
      <c r="AK435">
        <f t="shared" si="341"/>
        <v>85814.488190339995</v>
      </c>
      <c r="AL435">
        <v>1</v>
      </c>
      <c r="AM435">
        <f t="shared" si="342"/>
        <v>212.578317104517</v>
      </c>
      <c r="AN435">
        <f t="shared" si="369"/>
        <v>404.11774494781901</v>
      </c>
      <c r="AO435">
        <f t="shared" si="370"/>
        <v>-92.181942739802579</v>
      </c>
      <c r="AQ435">
        <f t="shared" si="343"/>
        <v>2.0474597065048409E-3</v>
      </c>
      <c r="AR435">
        <f t="shared" si="344"/>
        <v>-4.5248859513756985</v>
      </c>
      <c r="AT435">
        <f t="shared" si="365"/>
        <v>-4285.5151530048788</v>
      </c>
      <c r="AU435">
        <f t="shared" si="366"/>
        <v>-500.62731495846157</v>
      </c>
      <c r="AV435">
        <f t="shared" si="354"/>
        <v>-3.025301266389063</v>
      </c>
      <c r="AW435">
        <f t="shared" si="355"/>
        <v>86.814771049821985</v>
      </c>
      <c r="AX435">
        <f t="shared" si="356"/>
        <v>-2971.2475536942125</v>
      </c>
      <c r="AY435">
        <f t="shared" si="364"/>
        <v>-1.5415863477224927</v>
      </c>
      <c r="BA435">
        <f t="shared" si="345"/>
        <v>1.4515171476310631</v>
      </c>
      <c r="BB435">
        <f t="shared" si="357"/>
        <v>3.2364434155145068</v>
      </c>
      <c r="BC435">
        <f t="shared" si="358"/>
        <v>-1.4837149186665703</v>
      </c>
      <c r="BD435">
        <f t="shared" si="346"/>
        <v>-265.01060293732945</v>
      </c>
      <c r="BF435">
        <f t="shared" si="347"/>
        <v>-54.261632645460551</v>
      </c>
      <c r="BG435">
        <f t="shared" si="348"/>
        <v>-187.23952327930584</v>
      </c>
      <c r="BH435">
        <f t="shared" si="359"/>
        <v>-7.2395232793058426</v>
      </c>
      <c r="BI435">
        <f t="shared" si="360"/>
        <v>-7.2395232793058426</v>
      </c>
      <c r="BJ435">
        <f t="shared" si="349"/>
        <v>0</v>
      </c>
      <c r="BK435">
        <f t="shared" si="361"/>
        <v>0</v>
      </c>
      <c r="BM435">
        <f t="shared" si="362"/>
        <v>-57.498076060975059</v>
      </c>
      <c r="BN435">
        <f t="shared" si="350"/>
        <v>-102.22892034197639</v>
      </c>
      <c r="BQ435" s="66">
        <f t="shared" si="363"/>
        <v>20.138404215799643</v>
      </c>
    </row>
    <row r="436" spans="1:69" x14ac:dyDescent="0.15">
      <c r="A436">
        <f t="shared" si="372"/>
        <v>1110000</v>
      </c>
      <c r="B436">
        <f t="shared" si="351"/>
        <v>1110</v>
      </c>
      <c r="C436">
        <f t="shared" si="320"/>
        <v>4.7104326383326178</v>
      </c>
      <c r="D436">
        <f t="shared" si="321"/>
        <v>1.3568737121082459</v>
      </c>
      <c r="F436">
        <f t="shared" si="322"/>
        <v>1.8788608600871722E-5</v>
      </c>
      <c r="G436">
        <f t="shared" si="323"/>
        <v>1.4197860989937805E-3</v>
      </c>
      <c r="H436">
        <f t="shared" si="324"/>
        <v>-3.1401728639010065</v>
      </c>
      <c r="J436">
        <f t="shared" si="325"/>
        <v>15</v>
      </c>
      <c r="M436">
        <f t="shared" si="326"/>
        <v>8.5857983100693942E-4</v>
      </c>
      <c r="N436">
        <f t="shared" si="327"/>
        <v>-1.5707963250000001</v>
      </c>
      <c r="O436">
        <f t="shared" si="328"/>
        <v>471.81486869383218</v>
      </c>
      <c r="P436">
        <f t="shared" si="329"/>
        <v>1.5686768498240544</v>
      </c>
      <c r="Q436">
        <f t="shared" si="330"/>
        <v>213.54255140864453</v>
      </c>
      <c r="R436">
        <f t="shared" si="331"/>
        <v>1.5661134022518652</v>
      </c>
      <c r="S436">
        <f t="shared" si="332"/>
        <v>0.22600787855944326</v>
      </c>
      <c r="T436">
        <f t="shared" si="333"/>
        <v>-1.342818764957683</v>
      </c>
      <c r="U436">
        <f t="shared" si="334"/>
        <v>0.11717167976436729</v>
      </c>
      <c r="V436">
        <f t="shared" si="335"/>
        <v>-1.4533548646433585</v>
      </c>
      <c r="X436">
        <f t="shared" si="352"/>
        <v>-50.33940713240036</v>
      </c>
      <c r="Y436">
        <f t="shared" si="336"/>
        <v>-172.77421176078283</v>
      </c>
      <c r="Z436">
        <f t="shared" si="353"/>
        <v>7.2257882392171666</v>
      </c>
      <c r="AC436">
        <v>1</v>
      </c>
      <c r="AD436">
        <f t="shared" si="337"/>
        <v>471.8138089549501</v>
      </c>
      <c r="AE436">
        <f t="shared" si="338"/>
        <v>-0.49358818252899794</v>
      </c>
      <c r="AF436">
        <f t="shared" si="339"/>
        <v>5.8235702953050007E-2</v>
      </c>
      <c r="AG436">
        <f t="shared" si="367"/>
        <v>109.23303846463388</v>
      </c>
      <c r="AH436">
        <f t="shared" si="368"/>
        <v>-942.99775126184193</v>
      </c>
      <c r="AJ436">
        <f t="shared" si="340"/>
        <v>20000</v>
      </c>
      <c r="AK436">
        <f t="shared" si="341"/>
        <v>86202.789041879994</v>
      </c>
      <c r="AL436">
        <v>1</v>
      </c>
      <c r="AM436">
        <f t="shared" si="342"/>
        <v>213.54020994209401</v>
      </c>
      <c r="AN436">
        <f t="shared" si="369"/>
        <v>404.11384718736178</v>
      </c>
      <c r="AO436">
        <f t="shared" si="370"/>
        <v>-91.766727016548685</v>
      </c>
      <c r="AQ436">
        <f t="shared" si="343"/>
        <v>2.0290556714033618E-3</v>
      </c>
      <c r="AR436">
        <f t="shared" si="344"/>
        <v>-4.5045035905154629</v>
      </c>
      <c r="AT436">
        <f t="shared" si="365"/>
        <v>-4247.5151164907729</v>
      </c>
      <c r="AU436">
        <f t="shared" si="366"/>
        <v>-493.95400890217547</v>
      </c>
      <c r="AV436">
        <f t="shared" si="354"/>
        <v>-3.0258202179891129</v>
      </c>
      <c r="AW436">
        <f t="shared" si="355"/>
        <v>89.675079936246888</v>
      </c>
      <c r="AX436">
        <f t="shared" si="356"/>
        <v>-2957.9473356968024</v>
      </c>
      <c r="AY436">
        <f t="shared" si="364"/>
        <v>-1.5404889509516275</v>
      </c>
      <c r="BA436">
        <f t="shared" si="345"/>
        <v>1.4449805875918649</v>
      </c>
      <c r="BB436">
        <f t="shared" si="357"/>
        <v>3.1972402531542556</v>
      </c>
      <c r="BC436">
        <f t="shared" si="358"/>
        <v>-1.4853312670374854</v>
      </c>
      <c r="BD436">
        <f t="shared" si="346"/>
        <v>-265.10321287731153</v>
      </c>
      <c r="BF436">
        <f t="shared" si="347"/>
        <v>-54.341826226797679</v>
      </c>
      <c r="BG436">
        <f t="shared" si="348"/>
        <v>-187.27872800104882</v>
      </c>
      <c r="BH436">
        <f t="shared" si="359"/>
        <v>-7.2787280010488189</v>
      </c>
      <c r="BI436">
        <f t="shared" si="360"/>
        <v>-7.2787280010488189</v>
      </c>
      <c r="BJ436">
        <f t="shared" si="349"/>
        <v>0</v>
      </c>
      <c r="BK436">
        <f t="shared" si="361"/>
        <v>0</v>
      </c>
      <c r="BM436">
        <f t="shared" si="362"/>
        <v>-57.539066479951934</v>
      </c>
      <c r="BN436">
        <f t="shared" si="350"/>
        <v>-102.17551512373728</v>
      </c>
      <c r="BQ436" s="66">
        <f t="shared" si="363"/>
        <v>20.099201053439391</v>
      </c>
    </row>
    <row r="437" spans="1:69" x14ac:dyDescent="0.15">
      <c r="A437">
        <f t="shared" si="372"/>
        <v>1115000</v>
      </c>
      <c r="B437">
        <f t="shared" si="351"/>
        <v>1115</v>
      </c>
      <c r="C437">
        <f t="shared" si="320"/>
        <v>4.7306965687373737</v>
      </c>
      <c r="D437">
        <f t="shared" si="321"/>
        <v>1.3578041941163437</v>
      </c>
      <c r="F437">
        <f t="shared" si="322"/>
        <v>1.8620475706564192E-5</v>
      </c>
      <c r="G437">
        <f t="shared" si="323"/>
        <v>1.4134191121689731E-3</v>
      </c>
      <c r="H437">
        <f t="shared" si="324"/>
        <v>-3.1401792308878314</v>
      </c>
      <c r="J437">
        <f t="shared" si="325"/>
        <v>15</v>
      </c>
      <c r="M437">
        <f t="shared" si="326"/>
        <v>8.5472969723560783E-4</v>
      </c>
      <c r="N437">
        <f t="shared" si="327"/>
        <v>-1.5707963250000001</v>
      </c>
      <c r="O437">
        <f t="shared" si="328"/>
        <v>473.94015136937549</v>
      </c>
      <c r="P437">
        <f t="shared" si="329"/>
        <v>1.5686863541768172</v>
      </c>
      <c r="Q437">
        <f t="shared" si="330"/>
        <v>214.50443374648592</v>
      </c>
      <c r="R437">
        <f t="shared" si="331"/>
        <v>1.5661344016085446</v>
      </c>
      <c r="S437">
        <f t="shared" si="332"/>
        <v>0.22504582878574006</v>
      </c>
      <c r="T437">
        <f t="shared" si="333"/>
        <v>-1.3438062555443298</v>
      </c>
      <c r="U437">
        <f t="shared" si="334"/>
        <v>0.11665341221595356</v>
      </c>
      <c r="V437">
        <f t="shared" si="335"/>
        <v>-1.4538767109080735</v>
      </c>
      <c r="X437">
        <f t="shared" si="352"/>
        <v>-50.416717834229878</v>
      </c>
      <c r="Y437">
        <f t="shared" si="336"/>
        <v>-172.80599476795163</v>
      </c>
      <c r="Z437">
        <f t="shared" si="353"/>
        <v>7.1940052320483687</v>
      </c>
      <c r="AC437">
        <v>1</v>
      </c>
      <c r="AD437">
        <f t="shared" si="337"/>
        <v>473.93909638267502</v>
      </c>
      <c r="AE437">
        <f t="shared" si="338"/>
        <v>-0.49804493809318517</v>
      </c>
      <c r="AF437">
        <f t="shared" si="339"/>
        <v>5.8498025939325009E-2</v>
      </c>
      <c r="AG437">
        <f t="shared" si="367"/>
        <v>108.26886798070842</v>
      </c>
      <c r="AH437">
        <f t="shared" si="368"/>
        <v>-938.88230874385124</v>
      </c>
      <c r="AJ437">
        <f t="shared" si="340"/>
        <v>20000</v>
      </c>
      <c r="AK437">
        <f t="shared" si="341"/>
        <v>86591.089893420009</v>
      </c>
      <c r="AL437">
        <v>1</v>
      </c>
      <c r="AM437">
        <f t="shared" si="342"/>
        <v>214.50210277967099</v>
      </c>
      <c r="AN437">
        <f t="shared" si="369"/>
        <v>404.11000174396605</v>
      </c>
      <c r="AO437">
        <f t="shared" si="370"/>
        <v>-91.355234957226699</v>
      </c>
      <c r="AQ437">
        <f t="shared" si="343"/>
        <v>2.0108986686041006E-3</v>
      </c>
      <c r="AR437">
        <f t="shared" si="344"/>
        <v>-4.4843040309871443</v>
      </c>
      <c r="AT437">
        <f t="shared" si="365"/>
        <v>-4210.0160040000947</v>
      </c>
      <c r="AU437">
        <f t="shared" si="366"/>
        <v>-487.39851830093465</v>
      </c>
      <c r="AV437">
        <f t="shared" si="354"/>
        <v>-3.0263345798578341</v>
      </c>
      <c r="AW437">
        <f t="shared" si="355"/>
        <v>92.496784229137745</v>
      </c>
      <c r="AX437">
        <f t="shared" si="356"/>
        <v>-2944.7653076695187</v>
      </c>
      <c r="AY437">
        <f t="shared" si="364"/>
        <v>-1.5393960715286572</v>
      </c>
      <c r="BA437">
        <f t="shared" si="345"/>
        <v>1.4385004665532142</v>
      </c>
      <c r="BB437">
        <f t="shared" si="357"/>
        <v>3.1582001416482535</v>
      </c>
      <c r="BC437">
        <f t="shared" si="358"/>
        <v>-1.4869385083291768</v>
      </c>
      <c r="BD437">
        <f t="shared" si="346"/>
        <v>-265.19530102008986</v>
      </c>
      <c r="BF437">
        <f t="shared" si="347"/>
        <v>-54.421657380924046</v>
      </c>
      <c r="BG437">
        <f t="shared" si="348"/>
        <v>-187.31786825326304</v>
      </c>
      <c r="BH437">
        <f t="shared" si="359"/>
        <v>-7.3178682532630432</v>
      </c>
      <c r="BI437">
        <f t="shared" si="360"/>
        <v>-7.3178682532630432</v>
      </c>
      <c r="BJ437">
        <f t="shared" si="349"/>
        <v>0</v>
      </c>
      <c r="BK437">
        <f t="shared" si="361"/>
        <v>0</v>
      </c>
      <c r="BM437">
        <f t="shared" si="362"/>
        <v>-57.579857522572297</v>
      </c>
      <c r="BN437">
        <f t="shared" si="350"/>
        <v>-102.1225672331732</v>
      </c>
      <c r="BQ437" s="66">
        <f t="shared" si="363"/>
        <v>20.060160941933386</v>
      </c>
    </row>
    <row r="438" spans="1:69" x14ac:dyDescent="0.15">
      <c r="A438">
        <f t="shared" si="372"/>
        <v>1120000</v>
      </c>
      <c r="B438">
        <f t="shared" si="351"/>
        <v>1120</v>
      </c>
      <c r="C438">
        <f t="shared" si="320"/>
        <v>4.7509645600226698</v>
      </c>
      <c r="D438">
        <f t="shared" si="321"/>
        <v>1.3587267378975496</v>
      </c>
      <c r="F438">
        <f t="shared" si="322"/>
        <v>1.8454589615371816E-5</v>
      </c>
      <c r="G438">
        <f t="shared" si="323"/>
        <v>1.4071089765407879E-3</v>
      </c>
      <c r="H438">
        <f t="shared" si="324"/>
        <v>-3.1401855410234596</v>
      </c>
      <c r="J438">
        <f t="shared" si="325"/>
        <v>15</v>
      </c>
      <c r="M438">
        <f t="shared" si="326"/>
        <v>8.5091393965866318E-4</v>
      </c>
      <c r="N438">
        <f t="shared" si="327"/>
        <v>-1.5707963250000001</v>
      </c>
      <c r="O438">
        <f t="shared" si="328"/>
        <v>476.06543408734882</v>
      </c>
      <c r="P438">
        <f t="shared" si="329"/>
        <v>1.5686957736696636</v>
      </c>
      <c r="Q438">
        <f t="shared" si="330"/>
        <v>215.46631617807336</v>
      </c>
      <c r="R438">
        <f t="shared" si="331"/>
        <v>1.5661552134750245</v>
      </c>
      <c r="S438">
        <f t="shared" si="332"/>
        <v>0.22409171887853802</v>
      </c>
      <c r="T438">
        <f t="shared" si="333"/>
        <v>-1.3447853738995892</v>
      </c>
      <c r="U438">
        <f t="shared" si="334"/>
        <v>0.11613967801384405</v>
      </c>
      <c r="V438">
        <f t="shared" si="335"/>
        <v>-1.4543939609571499</v>
      </c>
      <c r="X438">
        <f t="shared" si="352"/>
        <v>-50.493689162662264</v>
      </c>
      <c r="Y438">
        <f t="shared" si="336"/>
        <v>-172.83750191191496</v>
      </c>
      <c r="Z438">
        <f t="shared" si="353"/>
        <v>7.1624980880850444</v>
      </c>
      <c r="AC438">
        <v>1</v>
      </c>
      <c r="AD438">
        <f t="shared" si="337"/>
        <v>476.06438381040005</v>
      </c>
      <c r="AE438">
        <f t="shared" si="338"/>
        <v>-0.5025217240194586</v>
      </c>
      <c r="AF438">
        <f t="shared" si="339"/>
        <v>5.876034892560001E-2</v>
      </c>
      <c r="AG438">
        <f t="shared" si="367"/>
        <v>107.31734941209771</v>
      </c>
      <c r="AH438">
        <f t="shared" si="368"/>
        <v>-934.80213184770639</v>
      </c>
      <c r="AJ438">
        <f t="shared" si="340"/>
        <v>20000</v>
      </c>
      <c r="AK438">
        <f t="shared" si="341"/>
        <v>86979.390744959994</v>
      </c>
      <c r="AL438">
        <v>1</v>
      </c>
      <c r="AM438">
        <f t="shared" si="342"/>
        <v>215.46399561724797</v>
      </c>
      <c r="AN438">
        <f t="shared" si="369"/>
        <v>404.10620768552042</v>
      </c>
      <c r="AO438">
        <f t="shared" si="370"/>
        <v>-90.947416695663563</v>
      </c>
      <c r="AQ438">
        <f t="shared" si="343"/>
        <v>1.992984296678831E-3</v>
      </c>
      <c r="AR438">
        <f t="shared" si="344"/>
        <v>-4.4642848245605817</v>
      </c>
      <c r="AT438">
        <f t="shared" si="365"/>
        <v>-4173.0090893824563</v>
      </c>
      <c r="AU438">
        <f t="shared" si="366"/>
        <v>-480.95826036176766</v>
      </c>
      <c r="AV438">
        <f t="shared" si="354"/>
        <v>-3.0268444123355085</v>
      </c>
      <c r="AW438">
        <f t="shared" si="355"/>
        <v>95.280576356404453</v>
      </c>
      <c r="AX438">
        <f t="shared" si="356"/>
        <v>-2931.6999055827687</v>
      </c>
      <c r="AY438">
        <f t="shared" si="364"/>
        <v>-1.5383076500089061</v>
      </c>
      <c r="BA438">
        <f t="shared" si="345"/>
        <v>1.4320760586069943</v>
      </c>
      <c r="BB438">
        <f t="shared" si="357"/>
        <v>3.1193216856396813</v>
      </c>
      <c r="BC438">
        <f t="shared" si="358"/>
        <v>-1.4885367623266024</v>
      </c>
      <c r="BD438">
        <f t="shared" si="346"/>
        <v>-265.28687422883689</v>
      </c>
      <c r="BF438">
        <f t="shared" si="347"/>
        <v>-54.501129477317306</v>
      </c>
      <c r="BG438">
        <f t="shared" si="348"/>
        <v>-187.35694514101061</v>
      </c>
      <c r="BH438">
        <f t="shared" si="359"/>
        <v>-7.3569451410106126</v>
      </c>
      <c r="BI438">
        <f t="shared" si="360"/>
        <v>-7.3569451410106126</v>
      </c>
      <c r="BJ438">
        <f t="shared" si="349"/>
        <v>0</v>
      </c>
      <c r="BK438">
        <f t="shared" si="361"/>
        <v>0</v>
      </c>
      <c r="BM438">
        <f t="shared" si="362"/>
        <v>-57.620451162956982</v>
      </c>
      <c r="BN438">
        <f t="shared" si="350"/>
        <v>-102.07007091217373</v>
      </c>
      <c r="BQ438" s="66">
        <f t="shared" si="363"/>
        <v>20.021282485924814</v>
      </c>
    </row>
    <row r="439" spans="1:69" x14ac:dyDescent="0.15">
      <c r="A439">
        <f t="shared" si="372"/>
        <v>1125000</v>
      </c>
      <c r="B439">
        <f t="shared" si="351"/>
        <v>1125</v>
      </c>
      <c r="C439">
        <f t="shared" si="320"/>
        <v>4.7712365604372096</v>
      </c>
      <c r="D439">
        <f t="shared" si="321"/>
        <v>1.3596414430551129</v>
      </c>
      <c r="F439">
        <f t="shared" si="322"/>
        <v>1.8290910471848538E-5</v>
      </c>
      <c r="G439">
        <f t="shared" si="323"/>
        <v>1.4008549340385249E-3</v>
      </c>
      <c r="H439">
        <f t="shared" si="324"/>
        <v>-3.1401917950659617</v>
      </c>
      <c r="J439">
        <f t="shared" si="325"/>
        <v>15</v>
      </c>
      <c r="M439">
        <f t="shared" si="326"/>
        <v>8.4713209992684686E-4</v>
      </c>
      <c r="N439">
        <f t="shared" si="327"/>
        <v>-1.5707963250000001</v>
      </c>
      <c r="O439">
        <f t="shared" si="328"/>
        <v>478.19071684718648</v>
      </c>
      <c r="P439">
        <f t="shared" si="329"/>
        <v>1.5687051094340525</v>
      </c>
      <c r="Q439">
        <f t="shared" si="330"/>
        <v>216.42819870215703</v>
      </c>
      <c r="R439">
        <f t="shared" si="331"/>
        <v>1.5661758403511028</v>
      </c>
      <c r="S439">
        <f t="shared" si="332"/>
        <v>0.22314545373170411</v>
      </c>
      <c r="T439">
        <f t="shared" si="333"/>
        <v>-1.3457562241936523</v>
      </c>
      <c r="U439">
        <f t="shared" si="334"/>
        <v>0.11563041834627395</v>
      </c>
      <c r="V439">
        <f t="shared" si="335"/>
        <v>-1.4549066749736679</v>
      </c>
      <c r="X439">
        <f t="shared" si="352"/>
        <v>-50.570324058648993</v>
      </c>
      <c r="Y439">
        <f t="shared" si="336"/>
        <v>-172.86873673795435</v>
      </c>
      <c r="Z439">
        <f t="shared" si="353"/>
        <v>7.1312632620456498</v>
      </c>
      <c r="AC439">
        <v>1</v>
      </c>
      <c r="AD439">
        <f t="shared" si="337"/>
        <v>478.18967123812507</v>
      </c>
      <c r="AE439">
        <f t="shared" si="338"/>
        <v>-0.50701854030781834</v>
      </c>
      <c r="AF439">
        <f t="shared" si="339"/>
        <v>5.9022671911875012E-2</v>
      </c>
      <c r="AG439">
        <f t="shared" si="367"/>
        <v>106.37826336926935</v>
      </c>
      <c r="AH439">
        <f t="shared" si="368"/>
        <v>-930.75677590452938</v>
      </c>
      <c r="AJ439">
        <f t="shared" si="340"/>
        <v>20000</v>
      </c>
      <c r="AK439">
        <f t="shared" si="341"/>
        <v>87367.691596500008</v>
      </c>
      <c r="AL439">
        <v>1</v>
      </c>
      <c r="AM439">
        <f t="shared" si="342"/>
        <v>216.42588845482499</v>
      </c>
      <c r="AN439">
        <f t="shared" si="369"/>
        <v>404.10246410058039</v>
      </c>
      <c r="AO439">
        <f t="shared" si="370"/>
        <v>-90.543223252100489</v>
      </c>
      <c r="AQ439">
        <f t="shared" si="343"/>
        <v>1.9753082517909625E-3</v>
      </c>
      <c r="AR439">
        <f t="shared" si="344"/>
        <v>-4.4444435665296655</v>
      </c>
      <c r="AT439">
        <f t="shared" si="365"/>
        <v>-4136.4858348113348</v>
      </c>
      <c r="AU439">
        <f t="shared" si="366"/>
        <v>-474.6307197900021</v>
      </c>
      <c r="AV439">
        <f t="shared" si="354"/>
        <v>-3.0273497747142279</v>
      </c>
      <c r="AW439">
        <f t="shared" si="355"/>
        <v>98.027133273634448</v>
      </c>
      <c r="AX439">
        <f t="shared" si="356"/>
        <v>-2918.749592809344</v>
      </c>
      <c r="AY439">
        <f t="shared" si="364"/>
        <v>-1.5372236280267624</v>
      </c>
      <c r="BA439">
        <f t="shared" si="345"/>
        <v>1.425706650098302</v>
      </c>
      <c r="BB439">
        <f t="shared" si="357"/>
        <v>3.0806035068182509</v>
      </c>
      <c r="BC439">
        <f t="shared" si="358"/>
        <v>-1.4901261466874656</v>
      </c>
      <c r="BD439">
        <f t="shared" si="346"/>
        <v>-265.37793924484254</v>
      </c>
      <c r="BF439">
        <f t="shared" si="347"/>
        <v>-54.580245838915459</v>
      </c>
      <c r="BG439">
        <f t="shared" si="348"/>
        <v>-187.39595974216979</v>
      </c>
      <c r="BH439">
        <f t="shared" si="359"/>
        <v>-7.3959597421697936</v>
      </c>
      <c r="BI439">
        <f t="shared" si="360"/>
        <v>-7.3959597421697936</v>
      </c>
      <c r="BJ439">
        <f t="shared" si="349"/>
        <v>0</v>
      </c>
      <c r="BK439">
        <f t="shared" si="361"/>
        <v>0</v>
      </c>
      <c r="BM439">
        <f t="shared" si="362"/>
        <v>-57.660849345733709</v>
      </c>
      <c r="BN439">
        <f t="shared" si="350"/>
        <v>-102.01802049732729</v>
      </c>
      <c r="BQ439" s="66">
        <f t="shared" si="363"/>
        <v>19.982564307103388</v>
      </c>
    </row>
    <row r="440" spans="1:69" x14ac:dyDescent="0.15">
      <c r="A440">
        <f t="shared" si="372"/>
        <v>1130000</v>
      </c>
      <c r="B440">
        <f t="shared" si="351"/>
        <v>1130</v>
      </c>
      <c r="C440">
        <f t="shared" si="320"/>
        <v>4.791512519095348</v>
      </c>
      <c r="D440">
        <f t="shared" si="321"/>
        <v>1.3605484075593108</v>
      </c>
      <c r="F440">
        <f t="shared" si="322"/>
        <v>1.8129399300381698E-5</v>
      </c>
      <c r="G440">
        <f t="shared" si="323"/>
        <v>1.3946562400098679E-3</v>
      </c>
      <c r="H440">
        <f t="shared" si="324"/>
        <v>-3.1401979937599904</v>
      </c>
      <c r="J440">
        <f t="shared" si="325"/>
        <v>15</v>
      </c>
      <c r="M440">
        <f t="shared" si="326"/>
        <v>8.433837278032767E-4</v>
      </c>
      <c r="N440">
        <f t="shared" si="327"/>
        <v>-1.5707963250000001</v>
      </c>
      <c r="O440">
        <f t="shared" si="328"/>
        <v>480.31599964833282</v>
      </c>
      <c r="P440">
        <f t="shared" si="329"/>
        <v>1.5687143625814171</v>
      </c>
      <c r="Q440">
        <f t="shared" si="330"/>
        <v>217.3900813175091</v>
      </c>
      <c r="R440">
        <f t="shared" si="331"/>
        <v>1.5661962846923345</v>
      </c>
      <c r="S440">
        <f t="shared" si="332"/>
        <v>0.22220693970366046</v>
      </c>
      <c r="T440">
        <f t="shared" si="333"/>
        <v>-1.3467189089071532</v>
      </c>
      <c r="U440">
        <f t="shared" si="334"/>
        <v>0.11512557540722823</v>
      </c>
      <c r="V440">
        <f t="shared" si="335"/>
        <v>-1.4554149120993036</v>
      </c>
      <c r="X440">
        <f t="shared" si="352"/>
        <v>-50.646625425379597</v>
      </c>
      <c r="Y440">
        <f t="shared" si="336"/>
        <v>-172.89970273135484</v>
      </c>
      <c r="Z440">
        <f t="shared" si="353"/>
        <v>7.1002972686451642</v>
      </c>
      <c r="AC440">
        <v>1</v>
      </c>
      <c r="AD440">
        <f t="shared" si="337"/>
        <v>480.31495866585004</v>
      </c>
      <c r="AE440">
        <f t="shared" si="338"/>
        <v>-0.51153538695826439</v>
      </c>
      <c r="AF440">
        <f t="shared" si="339"/>
        <v>5.9284994898150013E-2</v>
      </c>
      <c r="AG440">
        <f t="shared" si="367"/>
        <v>105.45139517571414</v>
      </c>
      <c r="AH440">
        <f t="shared" si="368"/>
        <v>-926.74580356946706</v>
      </c>
      <c r="AJ440">
        <f t="shared" si="340"/>
        <v>20000</v>
      </c>
      <c r="AK440">
        <f t="shared" si="341"/>
        <v>87755.992448040008</v>
      </c>
      <c r="AL440">
        <v>1</v>
      </c>
      <c r="AM440">
        <f t="shared" si="342"/>
        <v>217.38778129240202</v>
      </c>
      <c r="AN440">
        <f t="shared" si="369"/>
        <v>404.09877009782025</v>
      </c>
      <c r="AO440">
        <f t="shared" si="370"/>
        <v>-90.142606513584582</v>
      </c>
      <c r="AQ440">
        <f t="shared" si="343"/>
        <v>1.95786632511036E-3</v>
      </c>
      <c r="AR440">
        <f t="shared" si="344"/>
        <v>-4.4247778947494139</v>
      </c>
      <c r="AT440">
        <f t="shared" si="365"/>
        <v>-4100.4378859504104</v>
      </c>
      <c r="AU440">
        <f t="shared" si="366"/>
        <v>-468.41344674473095</v>
      </c>
      <c r="AV440">
        <f t="shared" si="354"/>
        <v>-3.0278507252604507</v>
      </c>
      <c r="AW440">
        <f t="shared" si="355"/>
        <v>100.73711687753472</v>
      </c>
      <c r="AX440">
        <f t="shared" si="356"/>
        <v>-2905.9128595283728</v>
      </c>
      <c r="AY440">
        <f t="shared" si="364"/>
        <v>-1.5361439482714376</v>
      </c>
      <c r="BA440">
        <f t="shared" si="345"/>
        <v>1.4193915393715941</v>
      </c>
      <c r="BB440">
        <f t="shared" si="357"/>
        <v>3.0420442436544426</v>
      </c>
      <c r="BC440">
        <f t="shared" si="358"/>
        <v>-1.4917067769890131</v>
      </c>
      <c r="BD440">
        <f t="shared" si="346"/>
        <v>-265.46850269019518</v>
      </c>
      <c r="BF440">
        <f t="shared" si="347"/>
        <v>-54.659009742968145</v>
      </c>
      <c r="BG440">
        <f t="shared" si="348"/>
        <v>-187.43491310821108</v>
      </c>
      <c r="BH440">
        <f t="shared" si="359"/>
        <v>-7.4349131082110773</v>
      </c>
      <c r="BI440">
        <f t="shared" si="360"/>
        <v>-7.4349131082110773</v>
      </c>
      <c r="BJ440">
        <f t="shared" si="349"/>
        <v>0</v>
      </c>
      <c r="BK440">
        <f t="shared" si="361"/>
        <v>0</v>
      </c>
      <c r="BM440">
        <f t="shared" si="362"/>
        <v>-57.70105398662259</v>
      </c>
      <c r="BN440">
        <f t="shared" si="350"/>
        <v>-101.96641041801594</v>
      </c>
      <c r="BQ440" s="66">
        <f t="shared" si="363"/>
        <v>19.94400504393958</v>
      </c>
    </row>
    <row r="441" spans="1:69" x14ac:dyDescent="0.15">
      <c r="A441">
        <f t="shared" si="372"/>
        <v>1135000</v>
      </c>
      <c r="B441">
        <f t="shared" si="351"/>
        <v>1135</v>
      </c>
      <c r="C441">
        <f t="shared" si="320"/>
        <v>4.8117923859592766</v>
      </c>
      <c r="D441">
        <f t="shared" si="321"/>
        <v>1.3614477277802159</v>
      </c>
      <c r="F441">
        <f t="shared" si="322"/>
        <v>1.7970017981986982E-5</v>
      </c>
      <c r="G441">
        <f t="shared" si="323"/>
        <v>1.3885121629252936E-3</v>
      </c>
      <c r="H441">
        <f t="shared" si="324"/>
        <v>-3.1402041378370749</v>
      </c>
      <c r="J441">
        <f t="shared" si="325"/>
        <v>15</v>
      </c>
      <c r="M441">
        <f t="shared" si="326"/>
        <v>8.3966838098476014E-4</v>
      </c>
      <c r="N441">
        <f t="shared" si="327"/>
        <v>-1.5707963250000001</v>
      </c>
      <c r="O441">
        <f t="shared" si="328"/>
        <v>482.44128249024175</v>
      </c>
      <c r="P441">
        <f t="shared" si="329"/>
        <v>1.5687235342036059</v>
      </c>
      <c r="Q441">
        <f t="shared" si="330"/>
        <v>218.3519640229234</v>
      </c>
      <c r="R441">
        <f t="shared" si="331"/>
        <v>1.5662165489110067</v>
      </c>
      <c r="S441">
        <f t="shared" si="332"/>
        <v>0.22127608459036588</v>
      </c>
      <c r="T441">
        <f t="shared" si="333"/>
        <v>-1.3476735288646164</v>
      </c>
      <c r="U441">
        <f t="shared" si="334"/>
        <v>0.11462509237519056</v>
      </c>
      <c r="V441">
        <f t="shared" si="335"/>
        <v>-1.455918730456655</v>
      </c>
      <c r="X441">
        <f t="shared" si="352"/>
        <v>-50.722596128920728</v>
      </c>
      <c r="Y441">
        <f t="shared" si="336"/>
        <v>-172.93040331865851</v>
      </c>
      <c r="Z441">
        <f t="shared" si="353"/>
        <v>7.0695966813414941</v>
      </c>
      <c r="AC441">
        <v>1</v>
      </c>
      <c r="AD441">
        <f t="shared" si="337"/>
        <v>482.44024609357507</v>
      </c>
      <c r="AE441">
        <f t="shared" si="338"/>
        <v>-0.51607226397079653</v>
      </c>
      <c r="AF441">
        <f t="shared" si="339"/>
        <v>5.9547317884425001E-2</v>
      </c>
      <c r="AG441">
        <f t="shared" si="367"/>
        <v>104.53653474753622</v>
      </c>
      <c r="AH441">
        <f t="shared" si="368"/>
        <v>-922.76878467426297</v>
      </c>
      <c r="AJ441">
        <f t="shared" si="340"/>
        <v>20000</v>
      </c>
      <c r="AK441">
        <f t="shared" si="341"/>
        <v>88144.293299579993</v>
      </c>
      <c r="AL441">
        <v>1</v>
      </c>
      <c r="AM441">
        <f t="shared" si="342"/>
        <v>218.34967412997901</v>
      </c>
      <c r="AN441">
        <f t="shared" si="369"/>
        <v>404.09512480550347</v>
      </c>
      <c r="AO441">
        <f t="shared" si="370"/>
        <v>-89.745519214878527</v>
      </c>
      <c r="AQ441">
        <f t="shared" si="343"/>
        <v>1.9406544003077101E-3</v>
      </c>
      <c r="AR441">
        <f t="shared" si="344"/>
        <v>-4.4052854886985022</v>
      </c>
      <c r="AT441">
        <f t="shared" si="365"/>
        <v>-4064.8570672633327</v>
      </c>
      <c r="AU441">
        <f t="shared" si="366"/>
        <v>-462.30405486459279</v>
      </c>
      <c r="AV441">
        <f t="shared" si="354"/>
        <v>-3.028347321236978</v>
      </c>
      <c r="AW441">
        <f t="shared" si="355"/>
        <v>103.41117440653183</v>
      </c>
      <c r="AX441">
        <f t="shared" si="356"/>
        <v>-2893.1882221447286</v>
      </c>
      <c r="AY441">
        <f t="shared" si="364"/>
        <v>-1.5350685544633758</v>
      </c>
      <c r="BA441">
        <f t="shared" si="345"/>
        <v>1.4131300365230137</v>
      </c>
      <c r="BB441">
        <f t="shared" si="357"/>
        <v>3.0036425511386131</v>
      </c>
      <c r="BC441">
        <f t="shared" si="358"/>
        <v>-1.4932787667736023</v>
      </c>
      <c r="BD441">
        <f t="shared" si="346"/>
        <v>-265.5585710703927</v>
      </c>
      <c r="BF441">
        <f t="shared" si="347"/>
        <v>-54.737424421868752</v>
      </c>
      <c r="BG441">
        <f t="shared" si="348"/>
        <v>-187.47380626494748</v>
      </c>
      <c r="BH441">
        <f t="shared" si="359"/>
        <v>-7.4738062649474841</v>
      </c>
      <c r="BI441">
        <f t="shared" si="360"/>
        <v>-7.4738062649474841</v>
      </c>
      <c r="BJ441">
        <f t="shared" si="349"/>
        <v>0</v>
      </c>
      <c r="BK441">
        <f t="shared" si="361"/>
        <v>0</v>
      </c>
      <c r="BM441">
        <f t="shared" si="362"/>
        <v>-57.741066973007364</v>
      </c>
      <c r="BN441">
        <f t="shared" si="350"/>
        <v>-101.91523519455477</v>
      </c>
      <c r="BQ441" s="66">
        <f t="shared" si="363"/>
        <v>19.90560335142375</v>
      </c>
    </row>
    <row r="442" spans="1:69" x14ac:dyDescent="0.15">
      <c r="A442">
        <f t="shared" si="372"/>
        <v>1140000</v>
      </c>
      <c r="B442">
        <f t="shared" si="351"/>
        <v>1140</v>
      </c>
      <c r="C442">
        <f t="shared" si="320"/>
        <v>4.8320761118216389</v>
      </c>
      <c r="D442">
        <f t="shared" si="321"/>
        <v>1.3623394985196891</v>
      </c>
      <c r="F442">
        <f t="shared" si="322"/>
        <v>1.7812729231814238E-5</v>
      </c>
      <c r="G442">
        <f t="shared" si="323"/>
        <v>1.38242198409026E-3</v>
      </c>
      <c r="H442">
        <f t="shared" si="324"/>
        <v>-3.1402102280159099</v>
      </c>
      <c r="J442">
        <f t="shared" si="325"/>
        <v>15</v>
      </c>
      <c r="M442">
        <f t="shared" si="326"/>
        <v>8.359856249278094E-4</v>
      </c>
      <c r="N442">
        <f t="shared" si="327"/>
        <v>-1.5707963250000001</v>
      </c>
      <c r="O442">
        <f t="shared" si="328"/>
        <v>484.56656537237706</v>
      </c>
      <c r="P442">
        <f t="shared" si="329"/>
        <v>1.5687326253733129</v>
      </c>
      <c r="Q442">
        <f t="shared" si="330"/>
        <v>219.31384681721494</v>
      </c>
      <c r="R442">
        <f t="shared" si="331"/>
        <v>1.5662366353770865</v>
      </c>
      <c r="S442">
        <f t="shared" si="332"/>
        <v>0.220352797598864</v>
      </c>
      <c r="T442">
        <f t="shared" si="333"/>
        <v>-1.3486201832671312</v>
      </c>
      <c r="U442">
        <f t="shared" si="334"/>
        <v>0.11412891339242426</v>
      </c>
      <c r="V442">
        <f t="shared" si="335"/>
        <v>-1.456418187170998</v>
      </c>
      <c r="X442">
        <f t="shared" si="352"/>
        <v>-50.798238998841995</v>
      </c>
      <c r="Y442">
        <f t="shared" si="336"/>
        <v>-172.96084186888808</v>
      </c>
      <c r="Z442">
        <f t="shared" si="353"/>
        <v>7.0391581311119182</v>
      </c>
      <c r="AC442">
        <v>1</v>
      </c>
      <c r="AD442">
        <f t="shared" si="337"/>
        <v>484.5655335213001</v>
      </c>
      <c r="AE442">
        <f t="shared" si="338"/>
        <v>-0.52062917134541498</v>
      </c>
      <c r="AF442">
        <f t="shared" si="339"/>
        <v>5.9809640870700002E-2</v>
      </c>
      <c r="AG442">
        <f t="shared" si="367"/>
        <v>103.63347647659957</v>
      </c>
      <c r="AH442">
        <f t="shared" si="368"/>
        <v>-918.82529608329708</v>
      </c>
      <c r="AJ442">
        <f t="shared" si="340"/>
        <v>20000</v>
      </c>
      <c r="AK442">
        <f t="shared" si="341"/>
        <v>88532.594151120007</v>
      </c>
      <c r="AL442">
        <v>1</v>
      </c>
      <c r="AM442">
        <f t="shared" si="342"/>
        <v>219.31156696755599</v>
      </c>
      <c r="AN442">
        <f t="shared" si="369"/>
        <v>404.09152737096724</v>
      </c>
      <c r="AO442">
        <f t="shared" si="370"/>
        <v>-89.351914919872712</v>
      </c>
      <c r="AQ442">
        <f t="shared" si="343"/>
        <v>1.9236684511256441E-3</v>
      </c>
      <c r="AR442">
        <f t="shared" si="344"/>
        <v>-4.3859640685664685</v>
      </c>
      <c r="AT442">
        <f t="shared" si="365"/>
        <v>-4029.7353774621092</v>
      </c>
      <c r="AU442">
        <f t="shared" si="366"/>
        <v>-456.30021936116572</v>
      </c>
      <c r="AV442">
        <f t="shared" si="354"/>
        <v>-3.028839618924374</v>
      </c>
      <c r="AW442">
        <f t="shared" si="355"/>
        <v>106.04993882897946</v>
      </c>
      <c r="AX442">
        <f t="shared" si="356"/>
        <v>-2880.5742227234268</v>
      </c>
      <c r="AY442">
        <f t="shared" si="364"/>
        <v>-1.5339973913312934</v>
      </c>
      <c r="BA442">
        <f t="shared" si="345"/>
        <v>1.4069214631587292</v>
      </c>
      <c r="BB442">
        <f t="shared" si="357"/>
        <v>2.9653971005249073</v>
      </c>
      <c r="BC442">
        <f t="shared" si="358"/>
        <v>-1.4948422275930806</v>
      </c>
      <c r="BD442">
        <f t="shared" si="346"/>
        <v>-265.64815077688525</v>
      </c>
      <c r="BF442">
        <f t="shared" si="347"/>
        <v>-54.815493063967658</v>
      </c>
      <c r="BG442">
        <f t="shared" si="348"/>
        <v>-187.51264021326068</v>
      </c>
      <c r="BH442">
        <f t="shared" si="359"/>
        <v>-7.5126402132606813</v>
      </c>
      <c r="BI442">
        <f t="shared" si="360"/>
        <v>-7.5126402132606813</v>
      </c>
      <c r="BJ442">
        <f t="shared" si="349"/>
        <v>0</v>
      </c>
      <c r="BK442">
        <f t="shared" si="361"/>
        <v>0</v>
      </c>
      <c r="BM442">
        <f t="shared" si="362"/>
        <v>-57.780890164492568</v>
      </c>
      <c r="BN442">
        <f t="shared" si="350"/>
        <v>-101.86448943637545</v>
      </c>
      <c r="BQ442" s="66">
        <f t="shared" si="363"/>
        <v>19.867357900810042</v>
      </c>
    </row>
    <row r="443" spans="1:69" x14ac:dyDescent="0.15">
      <c r="A443">
        <f t="shared" si="372"/>
        <v>1145000</v>
      </c>
      <c r="B443">
        <f t="shared" si="351"/>
        <v>1145</v>
      </c>
      <c r="C443">
        <f t="shared" si="320"/>
        <v>4.8523636482885797</v>
      </c>
      <c r="D443">
        <f t="shared" si="321"/>
        <v>1.3632238130426251</v>
      </c>
      <c r="F443">
        <f t="shared" si="322"/>
        <v>1.7657496577339423E-5</v>
      </c>
      <c r="G443">
        <f t="shared" si="323"/>
        <v>1.3763849973649391E-3</v>
      </c>
      <c r="H443">
        <f t="shared" si="324"/>
        <v>-3.1402162650026351</v>
      </c>
      <c r="J443">
        <f t="shared" si="325"/>
        <v>15</v>
      </c>
      <c r="M443">
        <f t="shared" si="326"/>
        <v>8.3233503267921645E-4</v>
      </c>
      <c r="N443">
        <f t="shared" si="327"/>
        <v>-1.5707963250000001</v>
      </c>
      <c r="O443">
        <f t="shared" si="328"/>
        <v>486.69184829421164</v>
      </c>
      <c r="P443">
        <f t="shared" si="329"/>
        <v>1.5687416371444944</v>
      </c>
      <c r="Q443">
        <f t="shared" si="330"/>
        <v>220.27572969921937</v>
      </c>
      <c r="R443">
        <f t="shared" si="331"/>
        <v>1.5662565464191465</v>
      </c>
      <c r="S443">
        <f t="shared" si="332"/>
        <v>0.21943698932138642</v>
      </c>
      <c r="T443">
        <f t="shared" si="333"/>
        <v>-1.3495589697242698</v>
      </c>
      <c r="U443">
        <f t="shared" si="334"/>
        <v>0.11363698354477089</v>
      </c>
      <c r="V443">
        <f t="shared" si="335"/>
        <v>-1.4569133383914903</v>
      </c>
      <c r="X443">
        <f t="shared" si="352"/>
        <v>-50.873556828828519</v>
      </c>
      <c r="Y443">
        <f t="shared" si="336"/>
        <v>-172.9910216947392</v>
      </c>
      <c r="Z443">
        <f t="shared" si="353"/>
        <v>7.008978305260797</v>
      </c>
      <c r="AC443">
        <v>1</v>
      </c>
      <c r="AD443">
        <f t="shared" si="337"/>
        <v>486.69082094902512</v>
      </c>
      <c r="AE443">
        <f t="shared" si="338"/>
        <v>-0.52520610908211962</v>
      </c>
      <c r="AF443">
        <f t="shared" si="339"/>
        <v>6.0071963856975004E-2</v>
      </c>
      <c r="AG443">
        <f t="shared" si="367"/>
        <v>102.74201911711279</v>
      </c>
      <c r="AH443">
        <f t="shared" si="368"/>
        <v>-914.91492155301046</v>
      </c>
      <c r="AJ443">
        <f t="shared" si="340"/>
        <v>20000</v>
      </c>
      <c r="AK443">
        <f t="shared" si="341"/>
        <v>88920.895002659992</v>
      </c>
      <c r="AL443">
        <v>1</v>
      </c>
      <c r="AM443">
        <f t="shared" si="342"/>
        <v>220.273459805133</v>
      </c>
      <c r="AN443">
        <f t="shared" si="369"/>
        <v>404.08797696012448</v>
      </c>
      <c r="AO443">
        <f t="shared" si="370"/>
        <v>-88.961748003484331</v>
      </c>
      <c r="AQ443">
        <f t="shared" si="343"/>
        <v>1.9069045390239434E-3</v>
      </c>
      <c r="AR443">
        <f t="shared" si="344"/>
        <v>-4.3668113943648299</v>
      </c>
      <c r="AT443">
        <f t="shared" si="365"/>
        <v>-3995.0649850894879</v>
      </c>
      <c r="AU443">
        <f t="shared" si="366"/>
        <v>-450.39967517738745</v>
      </c>
      <c r="AV443">
        <f t="shared" si="354"/>
        <v>-3.0293276736418386</v>
      </c>
      <c r="AW443">
        <f t="shared" si="355"/>
        <v>108.65402921941603</v>
      </c>
      <c r="AX443">
        <f t="shared" si="356"/>
        <v>-2868.0694284385681</v>
      </c>
      <c r="AY443">
        <f t="shared" si="364"/>
        <v>-1.5329304045898302</v>
      </c>
      <c r="BA443">
        <f t="shared" si="345"/>
        <v>1.4007651521591182</v>
      </c>
      <c r="BB443">
        <f t="shared" si="357"/>
        <v>2.9273065790798656</v>
      </c>
      <c r="BC443">
        <f t="shared" si="358"/>
        <v>-1.4963972690520084</v>
      </c>
      <c r="BD443">
        <f t="shared" si="346"/>
        <v>-265.73724808955149</v>
      </c>
      <c r="BF443">
        <f t="shared" si="347"/>
        <v>-54.893218814367309</v>
      </c>
      <c r="BG443">
        <f t="shared" si="348"/>
        <v>-187.5514159298034</v>
      </c>
      <c r="BH443">
        <f t="shared" si="359"/>
        <v>-7.5514159298033974</v>
      </c>
      <c r="BI443">
        <f t="shared" si="360"/>
        <v>-7.5514159298033974</v>
      </c>
      <c r="BJ443">
        <f t="shared" si="349"/>
        <v>0</v>
      </c>
      <c r="BK443">
        <f t="shared" si="361"/>
        <v>0</v>
      </c>
      <c r="BM443">
        <f t="shared" si="362"/>
        <v>-57.820525393447184</v>
      </c>
      <c r="BN443">
        <f t="shared" si="350"/>
        <v>-101.81416784025191</v>
      </c>
      <c r="BQ443" s="66">
        <f t="shared" si="363"/>
        <v>19.829267379365</v>
      </c>
    </row>
    <row r="444" spans="1:69" x14ac:dyDescent="0.15">
      <c r="A444">
        <f t="shared" si="372"/>
        <v>1150000</v>
      </c>
      <c r="B444">
        <f t="shared" si="351"/>
        <v>1150</v>
      </c>
      <c r="C444">
        <f t="shared" si="320"/>
        <v>4.8726549477631842</v>
      </c>
      <c r="D444">
        <f t="shared" si="321"/>
        <v>1.364100763107464</v>
      </c>
      <c r="F444">
        <f t="shared" si="322"/>
        <v>1.7504284337218843E-5</v>
      </c>
      <c r="G444">
        <f t="shared" si="323"/>
        <v>1.3704005088912576E-3</v>
      </c>
      <c r="H444">
        <f t="shared" si="324"/>
        <v>-3.1402222494911087</v>
      </c>
      <c r="J444">
        <f t="shared" si="325"/>
        <v>15</v>
      </c>
      <c r="M444">
        <f t="shared" si="326"/>
        <v>8.28716184711046E-4</v>
      </c>
      <c r="N444">
        <f t="shared" si="327"/>
        <v>-1.5707963250000001</v>
      </c>
      <c r="O444">
        <f t="shared" si="328"/>
        <v>488.81713125522782</v>
      </c>
      <c r="P444">
        <f t="shared" si="329"/>
        <v>1.5687505705527776</v>
      </c>
      <c r="Q444">
        <f t="shared" si="330"/>
        <v>221.23761266779272</v>
      </c>
      <c r="R444">
        <f t="shared" si="331"/>
        <v>1.5662762843252631</v>
      </c>
      <c r="S444">
        <f t="shared" si="332"/>
        <v>0.21852857170999729</v>
      </c>
      <c r="T444">
        <f t="shared" si="333"/>
        <v>-1.3504899842852729</v>
      </c>
      <c r="U444">
        <f t="shared" si="334"/>
        <v>0.11314924884195081</v>
      </c>
      <c r="V444">
        <f t="shared" si="335"/>
        <v>-1.4574042393118389</v>
      </c>
      <c r="X444">
        <f t="shared" si="352"/>
        <v>-50.948552377280961</v>
      </c>
      <c r="Y444">
        <f t="shared" si="336"/>
        <v>-173.02094605374407</v>
      </c>
      <c r="Z444">
        <f t="shared" si="353"/>
        <v>6.9790539462559309</v>
      </c>
      <c r="AC444">
        <v>1</v>
      </c>
      <c r="AD444">
        <f t="shared" si="337"/>
        <v>488.81610837675004</v>
      </c>
      <c r="AE444">
        <f t="shared" si="338"/>
        <v>-0.52980307718091058</v>
      </c>
      <c r="AF444">
        <f t="shared" si="339"/>
        <v>6.0334286843250005E-2</v>
      </c>
      <c r="AG444">
        <f t="shared" si="367"/>
        <v>101.86196567553635</v>
      </c>
      <c r="AH444">
        <f t="shared" si="368"/>
        <v>-911.03725159461203</v>
      </c>
      <c r="AJ444">
        <f t="shared" si="340"/>
        <v>20000</v>
      </c>
      <c r="AK444">
        <f t="shared" si="341"/>
        <v>89309.195854200007</v>
      </c>
      <c r="AL444">
        <v>1</v>
      </c>
      <c r="AM444">
        <f t="shared" si="342"/>
        <v>221.23535264270998</v>
      </c>
      <c r="AN444">
        <f t="shared" si="369"/>
        <v>404.08447275698012</v>
      </c>
      <c r="AO444">
        <f t="shared" si="370"/>
        <v>-88.574973634028453</v>
      </c>
      <c r="AQ444">
        <f t="shared" si="343"/>
        <v>1.8903588108962551E-3</v>
      </c>
      <c r="AR444">
        <f t="shared" si="344"/>
        <v>-4.3478252650613864</v>
      </c>
      <c r="AT444">
        <f t="shared" si="365"/>
        <v>-3960.8382242308312</v>
      </c>
      <c r="AU444">
        <f t="shared" si="366"/>
        <v>-444.60021520851927</v>
      </c>
      <c r="AV444">
        <f t="shared" si="354"/>
        <v>-3.0298115397675551</v>
      </c>
      <c r="AW444">
        <f t="shared" si="355"/>
        <v>111.22405112328821</v>
      </c>
      <c r="AX444">
        <f t="shared" si="356"/>
        <v>-2855.6724310363893</v>
      </c>
      <c r="AY444">
        <f t="shared" si="364"/>
        <v>-1.5318675409177889</v>
      </c>
      <c r="BA444">
        <f t="shared" si="345"/>
        <v>1.3946604474486297</v>
      </c>
      <c r="BB444">
        <f t="shared" si="357"/>
        <v>2.8893696898355996</v>
      </c>
      <c r="BC444">
        <f t="shared" si="358"/>
        <v>-1.4979439988497663</v>
      </c>
      <c r="BD444">
        <f t="shared" si="346"/>
        <v>-265.82586917911141</v>
      </c>
      <c r="BF444">
        <f t="shared" si="347"/>
        <v>-54.970604775699464</v>
      </c>
      <c r="BG444">
        <f t="shared" si="348"/>
        <v>-187.59013436767938</v>
      </c>
      <c r="BH444">
        <f t="shared" si="359"/>
        <v>-7.5901343676793829</v>
      </c>
      <c r="BI444">
        <f t="shared" si="360"/>
        <v>-7.5901343676793829</v>
      </c>
      <c r="BJ444">
        <f t="shared" si="349"/>
        <v>0</v>
      </c>
      <c r="BK444">
        <f t="shared" si="361"/>
        <v>0</v>
      </c>
      <c r="BM444">
        <f t="shared" si="362"/>
        <v>-57.859974465535075</v>
      </c>
      <c r="BN444">
        <f t="shared" si="350"/>
        <v>-101.76426518856798</v>
      </c>
      <c r="BQ444" s="66">
        <f t="shared" si="363"/>
        <v>19.791330490120739</v>
      </c>
    </row>
    <row r="445" spans="1:69" x14ac:dyDescent="0.15">
      <c r="A445">
        <f t="shared" si="372"/>
        <v>1155000</v>
      </c>
      <c r="B445">
        <f t="shared" si="351"/>
        <v>1155</v>
      </c>
      <c r="C445">
        <f t="shared" si="320"/>
        <v>4.8929499634293299</v>
      </c>
      <c r="D445">
        <f t="shared" si="321"/>
        <v>1.3649704389959938</v>
      </c>
      <c r="F445">
        <f t="shared" si="322"/>
        <v>1.7353057600782832E-5</v>
      </c>
      <c r="G445">
        <f t="shared" si="323"/>
        <v>1.3644678368270322E-3</v>
      </c>
      <c r="H445">
        <f t="shared" si="324"/>
        <v>-3.140228182163173</v>
      </c>
      <c r="J445">
        <f t="shared" si="325"/>
        <v>15</v>
      </c>
      <c r="M445">
        <f t="shared" si="326"/>
        <v>8.2512866875991589E-4</v>
      </c>
      <c r="N445">
        <f t="shared" si="327"/>
        <v>-1.5707963250000001</v>
      </c>
      <c r="O445">
        <f t="shared" si="328"/>
        <v>490.94241425491668</v>
      </c>
      <c r="P445">
        <f t="shared" si="329"/>
        <v>1.5687594266158569</v>
      </c>
      <c r="Q445">
        <f t="shared" si="330"/>
        <v>222.19949572181062</v>
      </c>
      <c r="R445">
        <f t="shared" si="331"/>
        <v>1.5662958513438938</v>
      </c>
      <c r="S445">
        <f t="shared" si="332"/>
        <v>0.21762745805176742</v>
      </c>
      <c r="T445">
        <f t="shared" si="333"/>
        <v>-1.3514133214695192</v>
      </c>
      <c r="U445">
        <f t="shared" si="334"/>
        <v>0.11266565619835144</v>
      </c>
      <c r="V445">
        <f t="shared" si="335"/>
        <v>-1.4578909441904477</v>
      </c>
      <c r="X445">
        <f t="shared" si="352"/>
        <v>-51.023228367903059</v>
      </c>
      <c r="Y445">
        <f t="shared" si="336"/>
        <v>-173.0506181494062</v>
      </c>
      <c r="Z445">
        <f t="shared" si="353"/>
        <v>6.9493818505937952</v>
      </c>
      <c r="AC445">
        <v>1</v>
      </c>
      <c r="AD445">
        <f t="shared" si="337"/>
        <v>490.94139580447506</v>
      </c>
      <c r="AE445">
        <f t="shared" si="338"/>
        <v>-0.53442007564178762</v>
      </c>
      <c r="AF445">
        <f t="shared" si="339"/>
        <v>6.0596609829525007E-2</v>
      </c>
      <c r="AG445">
        <f t="shared" si="367"/>
        <v>100.99312330370347</v>
      </c>
      <c r="AH445">
        <f t="shared" si="368"/>
        <v>-907.19188333999398</v>
      </c>
      <c r="AJ445">
        <f t="shared" si="340"/>
        <v>20000</v>
      </c>
      <c r="AK445">
        <f t="shared" si="341"/>
        <v>89697.496705740006</v>
      </c>
      <c r="AL445">
        <v>1</v>
      </c>
      <c r="AM445">
        <f t="shared" si="342"/>
        <v>222.19724548028697</v>
      </c>
      <c r="AN445">
        <f t="shared" si="369"/>
        <v>404.08101396316243</v>
      </c>
      <c r="AO445">
        <f t="shared" si="370"/>
        <v>-88.191547756047058</v>
      </c>
      <c r="AQ445">
        <f t="shared" si="343"/>
        <v>1.8740274968558504E-3</v>
      </c>
      <c r="AR445">
        <f t="shared" si="344"/>
        <v>-4.3290035177370143</v>
      </c>
      <c r="AT445">
        <f t="shared" si="365"/>
        <v>-3927.0475903512365</v>
      </c>
      <c r="AU445">
        <f t="shared" si="366"/>
        <v>-438.89968858328393</v>
      </c>
      <c r="AV445">
        <f t="shared" si="354"/>
        <v>-3.0302912707585259</v>
      </c>
      <c r="AW445">
        <f t="shared" si="355"/>
        <v>113.76059691054299</v>
      </c>
      <c r="AX445">
        <f t="shared" si="356"/>
        <v>-2843.3818463120083</v>
      </c>
      <c r="AY445">
        <f t="shared" si="364"/>
        <v>-1.5308087479369517</v>
      </c>
      <c r="BA445">
        <f t="shared" si="345"/>
        <v>1.388606703771182</v>
      </c>
      <c r="BB445">
        <f t="shared" si="357"/>
        <v>2.8515851513475265</v>
      </c>
      <c r="BC445">
        <f t="shared" si="358"/>
        <v>-1.4994825228215742</v>
      </c>
      <c r="BD445">
        <f t="shared" si="346"/>
        <v>-265.91402010947644</v>
      </c>
      <c r="BF445">
        <f t="shared" si="347"/>
        <v>-55.047654008885118</v>
      </c>
      <c r="BG445">
        <f t="shared" si="348"/>
        <v>-187.62879645710132</v>
      </c>
      <c r="BH445">
        <f t="shared" si="359"/>
        <v>-7.6287964571013163</v>
      </c>
      <c r="BI445">
        <f t="shared" si="360"/>
        <v>-7.6287964571013163</v>
      </c>
      <c r="BJ445">
        <f t="shared" si="349"/>
        <v>0</v>
      </c>
      <c r="BK445">
        <f t="shared" si="361"/>
        <v>0</v>
      </c>
      <c r="BM445">
        <f t="shared" si="362"/>
        <v>-57.899239160232639</v>
      </c>
      <c r="BN445">
        <f t="shared" si="350"/>
        <v>-101.71477634762491</v>
      </c>
      <c r="BQ445" s="66">
        <f t="shared" si="363"/>
        <v>19.753545951632667</v>
      </c>
    </row>
    <row r="446" spans="1:69" x14ac:dyDescent="0.15">
      <c r="A446">
        <f t="shared" si="372"/>
        <v>1160000</v>
      </c>
      <c r="B446">
        <f t="shared" si="351"/>
        <v>1160</v>
      </c>
      <c r="C446">
        <f t="shared" si="320"/>
        <v>4.9132486492359186</v>
      </c>
      <c r="D446">
        <f t="shared" si="321"/>
        <v>1.3658329295424603</v>
      </c>
      <c r="F446">
        <f t="shared" si="322"/>
        <v>1.7203782208146807E-5</v>
      </c>
      <c r="G446">
        <f t="shared" si="323"/>
        <v>1.3585863110869795E-3</v>
      </c>
      <c r="H446">
        <f t="shared" si="324"/>
        <v>-3.1402340636889132</v>
      </c>
      <c r="J446">
        <f t="shared" si="325"/>
        <v>15</v>
      </c>
      <c r="M446">
        <f t="shared" si="326"/>
        <v>8.2157207967043346E-4</v>
      </c>
      <c r="N446">
        <f t="shared" si="327"/>
        <v>-1.5707963250000001</v>
      </c>
      <c r="O446">
        <f t="shared" si="328"/>
        <v>493.06769729277812</v>
      </c>
      <c r="P446">
        <f t="shared" si="329"/>
        <v>1.5687682063338801</v>
      </c>
      <c r="Q446">
        <f t="shared" si="330"/>
        <v>223.1613788601683</v>
      </c>
      <c r="R446">
        <f t="shared" si="331"/>
        <v>1.5663152496847315</v>
      </c>
      <c r="S446">
        <f t="shared" si="332"/>
        <v>0.21673356294446583</v>
      </c>
      <c r="T446">
        <f t="shared" si="333"/>
        <v>-1.3523290742962992</v>
      </c>
      <c r="U446">
        <f t="shared" si="334"/>
        <v>0.11218615341428968</v>
      </c>
      <c r="V446">
        <f t="shared" si="335"/>
        <v>-1.4583735063700591</v>
      </c>
      <c r="X446">
        <f t="shared" si="352"/>
        <v>-51.097587490277107</v>
      </c>
      <c r="Y446">
        <f t="shared" si="336"/>
        <v>-173.0800411323078</v>
      </c>
      <c r="Z446">
        <f t="shared" si="353"/>
        <v>6.9199588676922019</v>
      </c>
      <c r="AC446">
        <v>1</v>
      </c>
      <c r="AD446">
        <f t="shared" si="337"/>
        <v>493.06668323220003</v>
      </c>
      <c r="AE446">
        <f t="shared" si="338"/>
        <v>-0.53905710446475097</v>
      </c>
      <c r="AF446">
        <f t="shared" si="339"/>
        <v>6.0858932815800008E-2</v>
      </c>
      <c r="AG446">
        <f t="shared" si="367"/>
        <v>100.13530319504663</v>
      </c>
      <c r="AH446">
        <f t="shared" si="368"/>
        <v>-903.37842041075658</v>
      </c>
      <c r="AJ446">
        <f t="shared" si="340"/>
        <v>20000</v>
      </c>
      <c r="AK446">
        <f t="shared" si="341"/>
        <v>90085.797557279991</v>
      </c>
      <c r="AL446">
        <v>1</v>
      </c>
      <c r="AM446">
        <f t="shared" si="342"/>
        <v>223.15913831786398</v>
      </c>
      <c r="AN446">
        <f t="shared" si="369"/>
        <v>404.07759979746771</v>
      </c>
      <c r="AO446">
        <f t="shared" si="370"/>
        <v>-87.811427073582095</v>
      </c>
      <c r="AQ446">
        <f t="shared" si="343"/>
        <v>1.8579069080880447E-3</v>
      </c>
      <c r="AR446">
        <f t="shared" si="344"/>
        <v>-4.3103440267642634</v>
      </c>
      <c r="AT446">
        <f t="shared" si="365"/>
        <v>-3893.6857362536903</v>
      </c>
      <c r="AU446">
        <f t="shared" si="366"/>
        <v>-433.29599900289651</v>
      </c>
      <c r="AV446">
        <f t="shared" si="354"/>
        <v>-3.0307669191699076</v>
      </c>
      <c r="AW446">
        <f t="shared" si="355"/>
        <v>116.26424611847492</v>
      </c>
      <c r="AX446">
        <f t="shared" si="356"/>
        <v>-2831.1963135994456</v>
      </c>
      <c r="AY446">
        <f t="shared" si="364"/>
        <v>-1.5297539741914497</v>
      </c>
      <c r="BA446">
        <f t="shared" si="345"/>
        <v>1.3826032864709283</v>
      </c>
      <c r="BB446">
        <f t="shared" si="357"/>
        <v>2.8139516974564662</v>
      </c>
      <c r="BC446">
        <f t="shared" si="358"/>
        <v>-1.5010129449784579</v>
      </c>
      <c r="BD446">
        <f t="shared" si="346"/>
        <v>-266.00170684003939</v>
      </c>
      <c r="BF446">
        <f t="shared" si="347"/>
        <v>-55.124369533877626</v>
      </c>
      <c r="BG446">
        <f t="shared" si="348"/>
        <v>-187.66740310602771</v>
      </c>
      <c r="BH446">
        <f t="shared" si="359"/>
        <v>-7.6674031060277059</v>
      </c>
      <c r="BI446">
        <f t="shared" si="360"/>
        <v>-7.6674031060277059</v>
      </c>
      <c r="BJ446">
        <f t="shared" si="349"/>
        <v>0</v>
      </c>
      <c r="BK446">
        <f t="shared" si="361"/>
        <v>0</v>
      </c>
      <c r="BM446">
        <f t="shared" si="362"/>
        <v>-57.938321231334093</v>
      </c>
      <c r="BN446">
        <f t="shared" si="350"/>
        <v>-101.66569626598836</v>
      </c>
      <c r="BQ446" s="66">
        <f t="shared" si="363"/>
        <v>19.715912497741602</v>
      </c>
    </row>
    <row r="447" spans="1:69" x14ac:dyDescent="0.15">
      <c r="A447">
        <f t="shared" si="372"/>
        <v>1165000</v>
      </c>
      <c r="B447">
        <f t="shared" si="351"/>
        <v>1165</v>
      </c>
      <c r="C447">
        <f t="shared" si="320"/>
        <v>4.9335509598814857</v>
      </c>
      <c r="D447">
        <f t="shared" si="321"/>
        <v>1.3666883221620019</v>
      </c>
      <c r="F447">
        <f t="shared" si="322"/>
        <v>1.7056424730918649E-5</v>
      </c>
      <c r="G447">
        <f t="shared" si="323"/>
        <v>1.352755273090396E-3</v>
      </c>
      <c r="H447">
        <f t="shared" si="324"/>
        <v>-3.1402398947269097</v>
      </c>
      <c r="J447">
        <f t="shared" si="325"/>
        <v>15</v>
      </c>
      <c r="M447">
        <f t="shared" si="326"/>
        <v>8.1804601924266335E-4</v>
      </c>
      <c r="N447">
        <f t="shared" si="327"/>
        <v>-1.5707963250000001</v>
      </c>
      <c r="O447">
        <f t="shared" si="328"/>
        <v>495.19298036832072</v>
      </c>
      <c r="P447">
        <f t="shared" si="329"/>
        <v>1.5687769106898257</v>
      </c>
      <c r="Q447">
        <f t="shared" si="330"/>
        <v>224.12326208177984</v>
      </c>
      <c r="R447">
        <f t="shared" si="331"/>
        <v>1.5663344815195348</v>
      </c>
      <c r="S447">
        <f t="shared" si="332"/>
        <v>0.21584680227275718</v>
      </c>
      <c r="T447">
        <f t="shared" si="333"/>
        <v>-1.3532373343139088</v>
      </c>
      <c r="U447">
        <f t="shared" si="334"/>
        <v>0.11171068915773449</v>
      </c>
      <c r="V447">
        <f t="shared" si="335"/>
        <v>-1.4588519782969047</v>
      </c>
      <c r="X447">
        <f t="shared" si="352"/>
        <v>-51.171632400427512</v>
      </c>
      <c r="Y447">
        <f t="shared" si="336"/>
        <v>-173.10921810118978</v>
      </c>
      <c r="Z447">
        <f t="shared" si="353"/>
        <v>6.8907818988102179</v>
      </c>
      <c r="AC447">
        <v>1</v>
      </c>
      <c r="AD447">
        <f t="shared" si="337"/>
        <v>495.19197065992506</v>
      </c>
      <c r="AE447">
        <f t="shared" si="338"/>
        <v>-0.54371416364980063</v>
      </c>
      <c r="AF447">
        <f t="shared" si="339"/>
        <v>6.1121255802075003E-2</v>
      </c>
      <c r="AG447">
        <f t="shared" si="367"/>
        <v>99.288320483829551</v>
      </c>
      <c r="AH447">
        <f t="shared" si="368"/>
        <v>-899.59647279027411</v>
      </c>
      <c r="AJ447">
        <f t="shared" si="340"/>
        <v>20000</v>
      </c>
      <c r="AK447">
        <f t="shared" si="341"/>
        <v>90474.098408820006</v>
      </c>
      <c r="AL447">
        <v>1</v>
      </c>
      <c r="AM447">
        <f t="shared" si="342"/>
        <v>224.12103115544102</v>
      </c>
      <c r="AN447">
        <f t="shared" si="369"/>
        <v>404.07422949542018</v>
      </c>
      <c r="AO447">
        <f t="shared" si="370"/>
        <v>-87.434569033879114</v>
      </c>
      <c r="AQ447">
        <f t="shared" si="343"/>
        <v>1.8419934347669998E-3</v>
      </c>
      <c r="AR447">
        <f t="shared" si="344"/>
        <v>-4.2918447030071096</v>
      </c>
      <c r="AT447">
        <f t="shared" si="365"/>
        <v>-3860.7454681543368</v>
      </c>
      <c r="AU447">
        <f t="shared" si="366"/>
        <v>-427.78710313581541</v>
      </c>
      <c r="AV447">
        <f t="shared" si="354"/>
        <v>-3.0312385366738677</v>
      </c>
      <c r="AW447">
        <f t="shared" si="355"/>
        <v>118.7355657842032</v>
      </c>
      <c r="AX447">
        <f t="shared" si="356"/>
        <v>-2819.1144952745553</v>
      </c>
      <c r="AY447">
        <f t="shared" si="364"/>
        <v>-1.5287031691276736</v>
      </c>
      <c r="BA447">
        <f t="shared" si="345"/>
        <v>1.3766495712782536</v>
      </c>
      <c r="BB447">
        <f t="shared" si="357"/>
        <v>2.7764680770550769</v>
      </c>
      <c r="BC447">
        <f t="shared" si="358"/>
        <v>-1.5025353675461941</v>
      </c>
      <c r="BD447">
        <f t="shared" si="346"/>
        <v>-266.08893522790578</v>
      </c>
      <c r="BF447">
        <f t="shared" si="347"/>
        <v>-55.200754330389408</v>
      </c>
      <c r="BG447">
        <f t="shared" si="348"/>
        <v>-187.70595520077956</v>
      </c>
      <c r="BH447">
        <f t="shared" si="359"/>
        <v>-7.705955200779556</v>
      </c>
      <c r="BI447">
        <f t="shared" si="360"/>
        <v>-7.705955200779556</v>
      </c>
      <c r="BJ447">
        <f t="shared" si="349"/>
        <v>0</v>
      </c>
      <c r="BK447">
        <f t="shared" si="361"/>
        <v>0</v>
      </c>
      <c r="BM447">
        <f t="shared" si="362"/>
        <v>-57.977222407444486</v>
      </c>
      <c r="BN447">
        <f t="shared" si="350"/>
        <v>-101.61701997287375</v>
      </c>
      <c r="BQ447" s="66">
        <f t="shared" si="363"/>
        <v>19.678428877340213</v>
      </c>
    </row>
    <row r="448" spans="1:69" x14ac:dyDescent="0.15">
      <c r="A448">
        <f t="shared" si="372"/>
        <v>1170000</v>
      </c>
      <c r="B448">
        <f t="shared" si="351"/>
        <v>1170</v>
      </c>
      <c r="C448">
        <f t="shared" si="320"/>
        <v>4.9538568507991787</v>
      </c>
      <c r="D448">
        <f t="shared" si="321"/>
        <v>1.3675367028784295</v>
      </c>
      <c r="F448">
        <f t="shared" si="322"/>
        <v>1.6910952453481928E-5</v>
      </c>
      <c r="G448">
        <f t="shared" si="323"/>
        <v>1.3469740755153103E-3</v>
      </c>
      <c r="H448">
        <f t="shared" si="324"/>
        <v>-3.140245675924485</v>
      </c>
      <c r="J448">
        <f t="shared" si="325"/>
        <v>15</v>
      </c>
      <c r="M448">
        <f t="shared" si="326"/>
        <v>8.1455009608350664E-4</v>
      </c>
      <c r="N448">
        <f t="shared" si="327"/>
        <v>-1.5707963250000001</v>
      </c>
      <c r="O448">
        <f t="shared" si="328"/>
        <v>497.31826348106131</v>
      </c>
      <c r="P448">
        <f t="shared" si="329"/>
        <v>1.5687855406498685</v>
      </c>
      <c r="Q448">
        <f t="shared" si="330"/>
        <v>225.08514538557787</v>
      </c>
      <c r="R448">
        <f t="shared" si="331"/>
        <v>1.5663535489829403</v>
      </c>
      <c r="S448">
        <f t="shared" si="332"/>
        <v>0.21496709318489265</v>
      </c>
      <c r="T448">
        <f t="shared" si="333"/>
        <v>-1.3541381916280841</v>
      </c>
      <c r="U448">
        <f t="shared" si="334"/>
        <v>0.11123921294647723</v>
      </c>
      <c r="V448">
        <f t="shared" si="335"/>
        <v>-1.4593264115393796</v>
      </c>
      <c r="X448">
        <f t="shared" si="352"/>
        <v>-51.245365721373027</v>
      </c>
      <c r="Y448">
        <f t="shared" si="336"/>
        <v>-173.13815210400617</v>
      </c>
      <c r="Z448">
        <f t="shared" si="353"/>
        <v>6.8618478959938329</v>
      </c>
      <c r="AC448">
        <v>1</v>
      </c>
      <c r="AD448">
        <f t="shared" si="337"/>
        <v>497.31725808765009</v>
      </c>
      <c r="AE448">
        <f t="shared" si="338"/>
        <v>-0.54839125319693649</v>
      </c>
      <c r="AF448">
        <f t="shared" si="339"/>
        <v>6.1383578788350004E-2</v>
      </c>
      <c r="AG448">
        <f t="shared" si="367"/>
        <v>98.451994147284211</v>
      </c>
      <c r="AH448">
        <f t="shared" si="368"/>
        <v>-895.84565669871358</v>
      </c>
      <c r="AJ448">
        <f t="shared" si="340"/>
        <v>20000</v>
      </c>
      <c r="AK448">
        <f t="shared" si="341"/>
        <v>90862.399260360005</v>
      </c>
      <c r="AL448">
        <v>1</v>
      </c>
      <c r="AM448">
        <f t="shared" si="342"/>
        <v>225.082923993018</v>
      </c>
      <c r="AN448">
        <f t="shared" si="369"/>
        <v>404.07090230884302</v>
      </c>
      <c r="AO448">
        <f t="shared" si="370"/>
        <v>-87.060931811508794</v>
      </c>
      <c r="AQ448">
        <f t="shared" si="343"/>
        <v>1.8262835440347096E-3</v>
      </c>
      <c r="AR448">
        <f t="shared" si="344"/>
        <v>-4.2735034930412201</v>
      </c>
      <c r="AT448">
        <f t="shared" si="365"/>
        <v>-3828.2197418709693</v>
      </c>
      <c r="AU448">
        <f t="shared" si="366"/>
        <v>-422.37100906611664</v>
      </c>
      <c r="AV448">
        <f t="shared" si="354"/>
        <v>-3.0317061740779692</v>
      </c>
      <c r="AW448">
        <f t="shared" si="355"/>
        <v>121.17511076713102</v>
      </c>
      <c r="AX448">
        <f t="shared" si="356"/>
        <v>-2807.1350762704551</v>
      </c>
      <c r="AY448">
        <f t="shared" si="364"/>
        <v>-1.5276562830747051</v>
      </c>
      <c r="BA448">
        <f t="shared" si="345"/>
        <v>1.3707449441008637</v>
      </c>
      <c r="BB448">
        <f t="shared" si="357"/>
        <v>2.7391330538585681</v>
      </c>
      <c r="BC448">
        <f t="shared" si="358"/>
        <v>-1.504049891003264</v>
      </c>
      <c r="BD448">
        <f t="shared" si="346"/>
        <v>-266.17571103006861</v>
      </c>
      <c r="BF448">
        <f t="shared" si="347"/>
        <v>-55.27681133860262</v>
      </c>
      <c r="BG448">
        <f t="shared" si="348"/>
        <v>-187.74445360663719</v>
      </c>
      <c r="BH448">
        <f t="shared" si="359"/>
        <v>-7.7444536066371938</v>
      </c>
      <c r="BI448">
        <f t="shared" si="360"/>
        <v>-7.7444536066371938</v>
      </c>
      <c r="BJ448">
        <f t="shared" si="349"/>
        <v>0</v>
      </c>
      <c r="BK448">
        <f t="shared" si="361"/>
        <v>0</v>
      </c>
      <c r="BM448">
        <f t="shared" si="362"/>
        <v>-58.015944392461194</v>
      </c>
      <c r="BN448">
        <f t="shared" si="350"/>
        <v>-101.56874257656858</v>
      </c>
      <c r="BQ448" s="66">
        <f t="shared" si="363"/>
        <v>19.641093854143705</v>
      </c>
    </row>
    <row r="449" spans="1:69" x14ac:dyDescent="0.15">
      <c r="A449">
        <f t="shared" si="372"/>
        <v>1175000</v>
      </c>
      <c r="B449">
        <f t="shared" si="351"/>
        <v>1175</v>
      </c>
      <c r="C449">
        <f t="shared" si="320"/>
        <v>4.9741662781420795</v>
      </c>
      <c r="D449">
        <f t="shared" si="321"/>
        <v>1.3683781563513668</v>
      </c>
      <c r="F449">
        <f t="shared" si="322"/>
        <v>1.676733335483552E-5</v>
      </c>
      <c r="G449">
        <f t="shared" si="323"/>
        <v>1.3412420820589099E-3</v>
      </c>
      <c r="H449">
        <f t="shared" si="324"/>
        <v>-3.1402514079179413</v>
      </c>
      <c r="J449">
        <f t="shared" si="325"/>
        <v>15</v>
      </c>
      <c r="M449">
        <f t="shared" si="326"/>
        <v>8.1108392546187466E-4</v>
      </c>
      <c r="N449">
        <f t="shared" si="327"/>
        <v>-1.5707963250000001</v>
      </c>
      <c r="O449">
        <f t="shared" si="328"/>
        <v>499.44354663052508</v>
      </c>
      <c r="P449">
        <f t="shared" si="329"/>
        <v>1.5687940971637386</v>
      </c>
      <c r="Q449">
        <f t="shared" si="330"/>
        <v>226.04702877051329</v>
      </c>
      <c r="R449">
        <f t="shared" si="331"/>
        <v>1.5663724541732507</v>
      </c>
      <c r="S449">
        <f t="shared" si="332"/>
        <v>0.21409435406988447</v>
      </c>
      <c r="T449">
        <f t="shared" si="333"/>
        <v>-1.3550317349297909</v>
      </c>
      <c r="U449">
        <f t="shared" si="334"/>
        <v>0.11077167513073621</v>
      </c>
      <c r="V449">
        <f t="shared" si="335"/>
        <v>-1.4597968568062551</v>
      </c>
      <c r="X449">
        <f t="shared" si="352"/>
        <v>-51.318790043667562</v>
      </c>
      <c r="Y449">
        <f t="shared" si="336"/>
        <v>-173.16684613895237</v>
      </c>
      <c r="Z449">
        <f t="shared" si="353"/>
        <v>6.8331538610476343</v>
      </c>
      <c r="AC449">
        <v>1</v>
      </c>
      <c r="AD449">
        <f t="shared" si="337"/>
        <v>499.44254551537512</v>
      </c>
      <c r="AE449">
        <f t="shared" si="338"/>
        <v>-0.55308837310615844</v>
      </c>
      <c r="AF449">
        <f t="shared" si="339"/>
        <v>6.1645901774625006E-2</v>
      </c>
      <c r="AG449">
        <f t="shared" si="367"/>
        <v>97.6261469105591</v>
      </c>
      <c r="AH449">
        <f t="shared" si="368"/>
        <v>-892.12559447093088</v>
      </c>
      <c r="AJ449">
        <f t="shared" si="340"/>
        <v>20000</v>
      </c>
      <c r="AK449">
        <f t="shared" si="341"/>
        <v>91250.700111900005</v>
      </c>
      <c r="AL449">
        <v>1</v>
      </c>
      <c r="AM449">
        <f t="shared" si="342"/>
        <v>226.04481683059498</v>
      </c>
      <c r="AN449">
        <f t="shared" si="369"/>
        <v>404.06761750544354</v>
      </c>
      <c r="AO449">
        <f t="shared" si="370"/>
        <v>-86.690474292893683</v>
      </c>
      <c r="AQ449">
        <f t="shared" si="343"/>
        <v>1.8107737780400583E-3</v>
      </c>
      <c r="AR449">
        <f t="shared" si="344"/>
        <v>-4.2553183783941373</v>
      </c>
      <c r="AT449">
        <f t="shared" si="365"/>
        <v>-3796.1016591210705</v>
      </c>
      <c r="AU449">
        <f t="shared" si="366"/>
        <v>-417.04577479349456</v>
      </c>
      <c r="AV449">
        <f t="shared" si="354"/>
        <v>-3.0321698813431004</v>
      </c>
      <c r="AW449">
        <f t="shared" si="355"/>
        <v>123.58342406173534</v>
      </c>
      <c r="AX449">
        <f t="shared" si="356"/>
        <v>-2795.2567636051235</v>
      </c>
      <c r="AY449">
        <f t="shared" si="364"/>
        <v>-1.5266132672252561</v>
      </c>
      <c r="BA449">
        <f t="shared" si="345"/>
        <v>1.3648888008198148</v>
      </c>
      <c r="BB449">
        <f t="shared" si="357"/>
        <v>2.701945406179509</v>
      </c>
      <c r="BC449">
        <f t="shared" si="358"/>
        <v>-1.5055566141178442</v>
      </c>
      <c r="BD449">
        <f t="shared" si="346"/>
        <v>-266.2620399055275</v>
      </c>
      <c r="BF449">
        <f t="shared" si="347"/>
        <v>-55.352543459864364</v>
      </c>
      <c r="BG449">
        <f t="shared" si="348"/>
        <v>-187.78289916841871</v>
      </c>
      <c r="BH449">
        <f t="shared" si="359"/>
        <v>-7.7828991684187088</v>
      </c>
      <c r="BI449">
        <f t="shared" si="360"/>
        <v>-7.7828991684187088</v>
      </c>
      <c r="BJ449">
        <f t="shared" si="349"/>
        <v>0</v>
      </c>
      <c r="BK449">
        <f t="shared" si="361"/>
        <v>0</v>
      </c>
      <c r="BM449">
        <f t="shared" si="362"/>
        <v>-58.054488866043876</v>
      </c>
      <c r="BN449">
        <f t="shared" si="350"/>
        <v>-101.52085926289119</v>
      </c>
      <c r="BQ449" s="66">
        <f t="shared" si="363"/>
        <v>19.603906206464647</v>
      </c>
    </row>
    <row r="450" spans="1:69" x14ac:dyDescent="0.15">
      <c r="A450">
        <f t="shared" si="372"/>
        <v>1180000</v>
      </c>
      <c r="B450">
        <f t="shared" si="351"/>
        <v>1180</v>
      </c>
      <c r="C450">
        <f t="shared" si="320"/>
        <v>4.9944791987688921</v>
      </c>
      <c r="D450">
        <f t="shared" si="321"/>
        <v>1.3692127659027686</v>
      </c>
      <c r="F450">
        <f t="shared" si="322"/>
        <v>1.6625536090970777E-5</v>
      </c>
      <c r="G450">
        <f t="shared" si="323"/>
        <v>1.3355586672040623E-3</v>
      </c>
      <c r="H450">
        <f t="shared" si="324"/>
        <v>-3.1402570913327961</v>
      </c>
      <c r="J450">
        <f t="shared" si="325"/>
        <v>15</v>
      </c>
      <c r="M450">
        <f t="shared" si="326"/>
        <v>8.076471291675447E-4</v>
      </c>
      <c r="N450">
        <f t="shared" si="327"/>
        <v>-1.5707963250000001</v>
      </c>
      <c r="O450">
        <f t="shared" si="328"/>
        <v>501.56882981624517</v>
      </c>
      <c r="P450">
        <f t="shared" si="329"/>
        <v>1.568802581165069</v>
      </c>
      <c r="Q450">
        <f t="shared" si="330"/>
        <v>227.00891223555465</v>
      </c>
      <c r="R450">
        <f t="shared" si="331"/>
        <v>1.5663911991532062</v>
      </c>
      <c r="S450">
        <f t="shared" si="332"/>
        <v>0.2132285045351521</v>
      </c>
      <c r="T450">
        <f t="shared" si="333"/>
        <v>-1.3559180515223868</v>
      </c>
      <c r="U450">
        <f t="shared" si="334"/>
        <v>0.11030802687618424</v>
      </c>
      <c r="V450">
        <f t="shared" si="335"/>
        <v>-1.4602633639644398</v>
      </c>
      <c r="X450">
        <f t="shared" si="352"/>
        <v>-51.391907925930134</v>
      </c>
      <c r="Y450">
        <f t="shared" si="336"/>
        <v>-173.1953031554693</v>
      </c>
      <c r="Z450">
        <f t="shared" si="353"/>
        <v>6.8046968445306959</v>
      </c>
      <c r="AC450">
        <v>1</v>
      </c>
      <c r="AD450">
        <f t="shared" si="337"/>
        <v>501.56783294310009</v>
      </c>
      <c r="AE450">
        <f t="shared" si="338"/>
        <v>-0.55780552337746669</v>
      </c>
      <c r="AF450">
        <f t="shared" si="339"/>
        <v>6.1908224760900007E-2</v>
      </c>
      <c r="AG450">
        <f t="shared" si="367"/>
        <v>96.81060515438682</v>
      </c>
      <c r="AH450">
        <f t="shared" si="368"/>
        <v>-888.43591443716957</v>
      </c>
      <c r="AJ450">
        <f t="shared" si="340"/>
        <v>20000</v>
      </c>
      <c r="AK450">
        <f t="shared" si="341"/>
        <v>91639.000963440005</v>
      </c>
      <c r="AL450">
        <v>1</v>
      </c>
      <c r="AM450">
        <f t="shared" si="342"/>
        <v>227.00670966817199</v>
      </c>
      <c r="AN450">
        <f t="shared" si="369"/>
        <v>404.06437436841009</v>
      </c>
      <c r="AO450">
        <f t="shared" si="370"/>
        <v>-86.32315606122846</v>
      </c>
      <c r="AQ450">
        <f t="shared" si="343"/>
        <v>1.7954607520359179E-3</v>
      </c>
      <c r="AR450">
        <f t="shared" si="344"/>
        <v>-4.2372873748047661</v>
      </c>
      <c r="AT450">
        <f t="shared" si="365"/>
        <v>-3764.3844639258105</v>
      </c>
      <c r="AU450">
        <f t="shared" si="366"/>
        <v>-411.80950678296358</v>
      </c>
      <c r="AV450">
        <f t="shared" si="354"/>
        <v>-3.0326297076009641</v>
      </c>
      <c r="AW450">
        <f t="shared" si="355"/>
        <v>125.96103710101471</v>
      </c>
      <c r="AX450">
        <f t="shared" si="356"/>
        <v>-2783.4782859207826</v>
      </c>
      <c r="AY450">
        <f t="shared" si="364"/>
        <v>-1.5255740736170993</v>
      </c>
      <c r="BA450">
        <f t="shared" si="345"/>
        <v>1.3590805470903622</v>
      </c>
      <c r="BB450">
        <f t="shared" si="357"/>
        <v>2.6649039267067343</v>
      </c>
      <c r="BC450">
        <f t="shared" si="358"/>
        <v>-1.5070556339838648</v>
      </c>
      <c r="BD450">
        <f t="shared" si="346"/>
        <v>-266.34792741735492</v>
      </c>
      <c r="BF450">
        <f t="shared" si="347"/>
        <v>-55.427953557366642</v>
      </c>
      <c r="BG450">
        <f t="shared" si="348"/>
        <v>-187.8212927110396</v>
      </c>
      <c r="BH450">
        <f t="shared" si="359"/>
        <v>-7.8212927110396038</v>
      </c>
      <c r="BI450">
        <f t="shared" si="360"/>
        <v>-7.8212927110396038</v>
      </c>
      <c r="BJ450">
        <f t="shared" si="349"/>
        <v>0</v>
      </c>
      <c r="BK450">
        <f t="shared" si="361"/>
        <v>0</v>
      </c>
      <c r="BM450">
        <f t="shared" si="362"/>
        <v>-58.092857484073377</v>
      </c>
      <c r="BN450">
        <f t="shared" si="350"/>
        <v>-101.47336529368469</v>
      </c>
      <c r="BQ450" s="66">
        <f t="shared" si="363"/>
        <v>19.56686472699187</v>
      </c>
    </row>
    <row r="451" spans="1:69" x14ac:dyDescent="0.15">
      <c r="A451">
        <f t="shared" si="372"/>
        <v>1185000</v>
      </c>
      <c r="B451">
        <f t="shared" si="351"/>
        <v>1185</v>
      </c>
      <c r="C451">
        <f t="shared" si="320"/>
        <v>5.0147955702299525</v>
      </c>
      <c r="D451">
        <f t="shared" si="321"/>
        <v>1.3700406135428331</v>
      </c>
      <c r="F451">
        <f t="shared" si="322"/>
        <v>1.6485529977768077E-5</v>
      </c>
      <c r="G451">
        <f t="shared" si="323"/>
        <v>1.3299232159917479E-3</v>
      </c>
      <c r="H451">
        <f t="shared" si="324"/>
        <v>-3.1402627267840084</v>
      </c>
      <c r="J451">
        <f t="shared" si="325"/>
        <v>15</v>
      </c>
      <c r="M451">
        <f t="shared" si="326"/>
        <v>8.0423933537358881E-4</v>
      </c>
      <c r="N451">
        <f t="shared" si="327"/>
        <v>-1.5707963250000001</v>
      </c>
      <c r="O451">
        <f t="shared" si="328"/>
        <v>503.69411303776269</v>
      </c>
      <c r="P451">
        <f t="shared" si="329"/>
        <v>1.5688109935717347</v>
      </c>
      <c r="Q451">
        <f t="shared" si="330"/>
        <v>227.97079577968799</v>
      </c>
      <c r="R451">
        <f t="shared" si="331"/>
        <v>1.5664097859507335</v>
      </c>
      <c r="S451">
        <f t="shared" si="332"/>
        <v>0.21236946538462967</v>
      </c>
      <c r="T451">
        <f t="shared" si="333"/>
        <v>-1.3567972273481732</v>
      </c>
      <c r="U451">
        <f t="shared" si="334"/>
        <v>0.10984822014738668</v>
      </c>
      <c r="V451">
        <f t="shared" si="335"/>
        <v>-1.4607259820563052</v>
      </c>
      <c r="X451">
        <f t="shared" si="352"/>
        <v>-51.46472189536405</v>
      </c>
      <c r="Y451">
        <f t="shared" si="336"/>
        <v>-173.2235260552234</v>
      </c>
      <c r="Z451">
        <f t="shared" si="353"/>
        <v>6.7764739447765976</v>
      </c>
      <c r="AC451">
        <v>1</v>
      </c>
      <c r="AD451">
        <f t="shared" si="337"/>
        <v>503.69312037082506</v>
      </c>
      <c r="AE451">
        <f t="shared" si="338"/>
        <v>-0.56254270401086115</v>
      </c>
      <c r="AF451">
        <f t="shared" si="339"/>
        <v>6.2170547747175009E-2</v>
      </c>
      <c r="AG451">
        <f t="shared" si="367"/>
        <v>96.00519882538309</v>
      </c>
      <c r="AH451">
        <f t="shared" si="368"/>
        <v>-884.77625080648977</v>
      </c>
      <c r="AJ451">
        <f t="shared" si="340"/>
        <v>20000</v>
      </c>
      <c r="AK451">
        <f t="shared" si="341"/>
        <v>92027.30181497999</v>
      </c>
      <c r="AL451">
        <v>1</v>
      </c>
      <c r="AM451">
        <f t="shared" si="342"/>
        <v>227.96860250574898</v>
      </c>
      <c r="AN451">
        <f t="shared" si="369"/>
        <v>404.06117219602135</v>
      </c>
      <c r="AO451">
        <f t="shared" si="370"/>
        <v>-85.958937381781794</v>
      </c>
      <c r="AQ451">
        <f t="shared" si="343"/>
        <v>1.7803411525323305E-3</v>
      </c>
      <c r="AR451">
        <f t="shared" si="344"/>
        <v>-4.2194085315016236</v>
      </c>
      <c r="AT451">
        <f t="shared" si="365"/>
        <v>-3733.0615391165975</v>
      </c>
      <c r="AU451">
        <f t="shared" si="366"/>
        <v>-406.66035856242513</v>
      </c>
      <c r="AV451">
        <f t="shared" si="354"/>
        <v>-3.0330857011711334</v>
      </c>
      <c r="AW451">
        <f t="shared" si="355"/>
        <v>128.30847005091414</v>
      </c>
      <c r="AX451">
        <f t="shared" si="356"/>
        <v>-2771.7983930347445</v>
      </c>
      <c r="AY451">
        <f t="shared" si="364"/>
        <v>-1.5245386551149749</v>
      </c>
      <c r="BA451">
        <f t="shared" si="345"/>
        <v>1.3533195981474968</v>
      </c>
      <c r="BB451">
        <f t="shared" si="357"/>
        <v>2.6280074222882588</v>
      </c>
      <c r="BC451">
        <f t="shared" si="358"/>
        <v>-1.5085470460561585</v>
      </c>
      <c r="BD451">
        <f t="shared" si="346"/>
        <v>-266.43337903470984</v>
      </c>
      <c r="BF451">
        <f t="shared" si="347"/>
        <v>-55.503044456811622</v>
      </c>
      <c r="BG451">
        <f t="shared" si="348"/>
        <v>-187.85963504005525</v>
      </c>
      <c r="BH451">
        <f t="shared" si="359"/>
        <v>-7.8596350400552524</v>
      </c>
      <c r="BI451">
        <f t="shared" si="360"/>
        <v>-7.8596350400552524</v>
      </c>
      <c r="BJ451">
        <f t="shared" si="349"/>
        <v>0</v>
      </c>
      <c r="BK451">
        <f t="shared" si="361"/>
        <v>0</v>
      </c>
      <c r="BM451">
        <f t="shared" si="362"/>
        <v>-58.131051879099871</v>
      </c>
      <c r="BN451">
        <f t="shared" si="350"/>
        <v>-101.42625600534542</v>
      </c>
      <c r="BQ451" s="66">
        <f t="shared" si="363"/>
        <v>19.529968222573395</v>
      </c>
    </row>
    <row r="452" spans="1:69" x14ac:dyDescent="0.15">
      <c r="A452">
        <f t="shared" si="372"/>
        <v>1190000</v>
      </c>
      <c r="B452">
        <f t="shared" si="351"/>
        <v>1190</v>
      </c>
      <c r="C452">
        <f t="shared" si="320"/>
        <v>5.0351153507535651</v>
      </c>
      <c r="D452">
        <f t="shared" si="321"/>
        <v>1.3708617799953235</v>
      </c>
      <c r="F452">
        <f t="shared" si="322"/>
        <v>1.6347284974395404E-5</v>
      </c>
      <c r="G452">
        <f t="shared" si="323"/>
        <v>1.3243351237992268E-3</v>
      </c>
      <c r="H452">
        <f t="shared" si="324"/>
        <v>-3.140268314876201</v>
      </c>
      <c r="J452">
        <f t="shared" si="325"/>
        <v>15</v>
      </c>
      <c r="M452">
        <f t="shared" si="326"/>
        <v>8.0086017850227126E-4</v>
      </c>
      <c r="N452">
        <f t="shared" si="327"/>
        <v>-1.5707963250000001</v>
      </c>
      <c r="O452">
        <f t="shared" si="328"/>
        <v>505.81939629462636</v>
      </c>
      <c r="P452">
        <f t="shared" si="329"/>
        <v>1.5688193352861848</v>
      </c>
      <c r="Q452">
        <f t="shared" si="330"/>
        <v>228.93267940191637</v>
      </c>
      <c r="R452">
        <f t="shared" si="331"/>
        <v>1.5664282165596777</v>
      </c>
      <c r="S452">
        <f t="shared" si="332"/>
        <v>0.21151715859732428</v>
      </c>
      <c r="T452">
        <f t="shared" si="333"/>
        <v>-1.3576693470143513</v>
      </c>
      <c r="U452">
        <f t="shared" si="334"/>
        <v>0.1093922076916387</v>
      </c>
      <c r="V452">
        <f t="shared" si="335"/>
        <v>-1.4611847593165876</v>
      </c>
      <c r="X452">
        <f t="shared" si="352"/>
        <v>-51.53723444826575</v>
      </c>
      <c r="Y452">
        <f t="shared" si="336"/>
        <v>-173.25151769306299</v>
      </c>
      <c r="Z452">
        <f t="shared" si="353"/>
        <v>6.7484823069370066</v>
      </c>
      <c r="AC452">
        <v>1</v>
      </c>
      <c r="AD452">
        <f t="shared" si="337"/>
        <v>505.81840779855003</v>
      </c>
      <c r="AE452">
        <f t="shared" si="338"/>
        <v>-0.56729991500634203</v>
      </c>
      <c r="AF452">
        <f t="shared" si="339"/>
        <v>6.243287073345001E-2</v>
      </c>
      <c r="AG452">
        <f t="shared" si="367"/>
        <v>95.209761348891817</v>
      </c>
      <c r="AH452">
        <f t="shared" si="368"/>
        <v>-881.1462435528548</v>
      </c>
      <c r="AJ452">
        <f t="shared" si="340"/>
        <v>20000</v>
      </c>
      <c r="AK452">
        <f t="shared" si="341"/>
        <v>92415.602666520004</v>
      </c>
      <c r="AL452">
        <v>1</v>
      </c>
      <c r="AM452">
        <f t="shared" si="342"/>
        <v>228.93049534332599</v>
      </c>
      <c r="AN452">
        <f t="shared" si="369"/>
        <v>404.05801030126611</v>
      </c>
      <c r="AO452">
        <f t="shared" si="370"/>
        <v>-85.597779187568662</v>
      </c>
      <c r="AQ452">
        <f t="shared" si="343"/>
        <v>1.7654117355038954E-3</v>
      </c>
      <c r="AR452">
        <f t="shared" si="344"/>
        <v>-4.2016799304992709</v>
      </c>
      <c r="AT452">
        <f t="shared" si="365"/>
        <v>-3702.1264029408326</v>
      </c>
      <c r="AU452">
        <f t="shared" si="366"/>
        <v>-401.59652936632733</v>
      </c>
      <c r="AV452">
        <f t="shared" si="354"/>
        <v>-3.0335379095776949</v>
      </c>
      <c r="AW452">
        <f t="shared" si="355"/>
        <v>130.62623209603109</v>
      </c>
      <c r="AX452">
        <f t="shared" si="356"/>
        <v>-2760.2158555013784</v>
      </c>
      <c r="AY452">
        <f t="shared" si="364"/>
        <v>-1.5235069653929609</v>
      </c>
      <c r="BA452">
        <f t="shared" si="345"/>
        <v>1.347605378616034</v>
      </c>
      <c r="BB452">
        <f t="shared" si="357"/>
        <v>2.5912547137180471</v>
      </c>
      <c r="BC452">
        <f t="shared" si="358"/>
        <v>-1.5100309441847339</v>
      </c>
      <c r="BD452">
        <f t="shared" si="346"/>
        <v>-266.51840013480171</v>
      </c>
      <c r="BF452">
        <f t="shared" si="347"/>
        <v>-55.577818947062482</v>
      </c>
      <c r="BG452">
        <f t="shared" si="348"/>
        <v>-187.89792694218647</v>
      </c>
      <c r="BH452">
        <f t="shared" si="359"/>
        <v>-7.8979269421864728</v>
      </c>
      <c r="BI452">
        <f t="shared" si="360"/>
        <v>-7.8979269421864728</v>
      </c>
      <c r="BJ452">
        <f t="shared" si="349"/>
        <v>0</v>
      </c>
      <c r="BK452">
        <f t="shared" si="361"/>
        <v>0</v>
      </c>
      <c r="BM452">
        <f t="shared" si="362"/>
        <v>-58.169073660780526</v>
      </c>
      <c r="BN452">
        <f t="shared" si="350"/>
        <v>-101.37952680738476</v>
      </c>
      <c r="BQ452" s="66">
        <f t="shared" si="363"/>
        <v>19.493215514003182</v>
      </c>
    </row>
    <row r="453" spans="1:69" x14ac:dyDescent="0.15">
      <c r="A453">
        <f t="shared" si="372"/>
        <v>1195000</v>
      </c>
      <c r="B453">
        <f t="shared" si="351"/>
        <v>1195</v>
      </c>
      <c r="C453">
        <f t="shared" si="320"/>
        <v>5.0554384992326726</v>
      </c>
      <c r="D453">
        <f t="shared" si="321"/>
        <v>1.371676344722317</v>
      </c>
      <c r="F453">
        <f t="shared" si="322"/>
        <v>1.6210771667192164E-5</v>
      </c>
      <c r="G453">
        <f t="shared" si="323"/>
        <v>1.3187937961237795E-3</v>
      </c>
      <c r="H453">
        <f t="shared" si="324"/>
        <v>-3.1402738562038763</v>
      </c>
      <c r="J453">
        <f t="shared" si="325"/>
        <v>15</v>
      </c>
      <c r="M453">
        <f t="shared" si="326"/>
        <v>7.9750929909431188E-4</v>
      </c>
      <c r="N453">
        <f t="shared" si="327"/>
        <v>-1.5707963250000001</v>
      </c>
      <c r="O453">
        <f t="shared" si="328"/>
        <v>507.94467958639257</v>
      </c>
      <c r="P453">
        <f t="shared" si="329"/>
        <v>1.5688276071957648</v>
      </c>
      <c r="Q453">
        <f t="shared" si="330"/>
        <v>229.89456310125954</v>
      </c>
      <c r="R453">
        <f t="shared" si="331"/>
        <v>1.5664464929405153</v>
      </c>
      <c r="S453">
        <f t="shared" si="332"/>
        <v>0.21067150730631515</v>
      </c>
      <c r="T453">
        <f t="shared" si="333"/>
        <v>-1.3585344938183961</v>
      </c>
      <c r="U453">
        <f t="shared" si="334"/>
        <v>0.1089399430231907</v>
      </c>
      <c r="V453">
        <f t="shared" si="335"/>
        <v>-1.4616397431888761</v>
      </c>
      <c r="X453">
        <f t="shared" si="352"/>
        <v>-51.609448050523284</v>
      </c>
      <c r="Y453">
        <f t="shared" si="336"/>
        <v>-173.27928087795189</v>
      </c>
      <c r="Z453">
        <f t="shared" si="353"/>
        <v>6.7207191220481093</v>
      </c>
      <c r="AC453">
        <v>1</v>
      </c>
      <c r="AD453">
        <f t="shared" si="337"/>
        <v>507.94369522627505</v>
      </c>
      <c r="AE453">
        <f t="shared" si="338"/>
        <v>-0.57207715636390899</v>
      </c>
      <c r="AF453">
        <f t="shared" si="339"/>
        <v>6.2695193719725012E-2</v>
      </c>
      <c r="AG453">
        <f t="shared" si="367"/>
        <v>94.424129544295084</v>
      </c>
      <c r="AH453">
        <f t="shared" si="368"/>
        <v>-877.54553830380939</v>
      </c>
      <c r="AJ453">
        <f t="shared" si="340"/>
        <v>20000</v>
      </c>
      <c r="AK453">
        <f t="shared" si="341"/>
        <v>92803.903518060004</v>
      </c>
      <c r="AL453">
        <v>1</v>
      </c>
      <c r="AM453">
        <f t="shared" si="342"/>
        <v>229.892388180903</v>
      </c>
      <c r="AN453">
        <f t="shared" si="369"/>
        <v>404.05488801147544</v>
      </c>
      <c r="AO453">
        <f t="shared" si="370"/>
        <v>-85.239643065382481</v>
      </c>
      <c r="AQ453">
        <f t="shared" si="343"/>
        <v>1.7506693246495467E-3</v>
      </c>
      <c r="AR453">
        <f t="shared" si="344"/>
        <v>-4.1840996859124164</v>
      </c>
      <c r="AT453">
        <f t="shared" si="365"/>
        <v>-3671.5727057637114</v>
      </c>
      <c r="AU453">
        <f t="shared" si="366"/>
        <v>-396.61626282372993</v>
      </c>
      <c r="AV453">
        <f t="shared" si="354"/>
        <v>-3.03398637956548</v>
      </c>
      <c r="AW453">
        <f t="shared" si="355"/>
        <v>132.91482171689958</v>
      </c>
      <c r="AX453">
        <f t="shared" si="356"/>
        <v>-2748.7294641848921</v>
      </c>
      <c r="AY453">
        <f t="shared" si="364"/>
        <v>-1.5224789589172927</v>
      </c>
      <c r="BA453">
        <f t="shared" si="345"/>
        <v>1.3419373223251467</v>
      </c>
      <c r="BB453">
        <f t="shared" si="357"/>
        <v>2.5546446355266634</v>
      </c>
      <c r="BC453">
        <f t="shared" si="358"/>
        <v>-1.5115074206481873</v>
      </c>
      <c r="BD453">
        <f t="shared" si="346"/>
        <v>-266.60299600480465</v>
      </c>
      <c r="BF453">
        <f t="shared" si="347"/>
        <v>-55.652279780780241</v>
      </c>
      <c r="BG453">
        <f t="shared" si="348"/>
        <v>-187.93616918582816</v>
      </c>
      <c r="BH453">
        <f t="shared" si="359"/>
        <v>-7.9361691858281631</v>
      </c>
      <c r="BI453">
        <f t="shared" si="360"/>
        <v>-7.9361691858281631</v>
      </c>
      <c r="BJ453">
        <f t="shared" si="349"/>
        <v>0</v>
      </c>
      <c r="BK453">
        <f t="shared" si="361"/>
        <v>0</v>
      </c>
      <c r="BM453">
        <f t="shared" si="362"/>
        <v>-58.206924416306904</v>
      </c>
      <c r="BN453">
        <f t="shared" si="350"/>
        <v>-101.33317318102354</v>
      </c>
      <c r="BQ453" s="66">
        <f t="shared" si="363"/>
        <v>19.456605435811799</v>
      </c>
    </row>
    <row r="454" spans="1:69" x14ac:dyDescent="0.15">
      <c r="A454">
        <f t="shared" si="372"/>
        <v>1200000</v>
      </c>
      <c r="B454">
        <f t="shared" si="351"/>
        <v>1200</v>
      </c>
      <c r="C454">
        <f t="shared" si="320"/>
        <v>5.0757649752118219</v>
      </c>
      <c r="D454">
        <f t="shared" si="321"/>
        <v>1.3724843859483908</v>
      </c>
      <c r="F454">
        <f t="shared" si="322"/>
        <v>1.6075961254022077E-5</v>
      </c>
      <c r="G454">
        <f t="shared" si="323"/>
        <v>1.3132986483718532E-3</v>
      </c>
      <c r="H454">
        <f t="shared" si="324"/>
        <v>-3.1402793513516283</v>
      </c>
      <c r="J454">
        <f t="shared" si="325"/>
        <v>15</v>
      </c>
      <c r="M454">
        <f t="shared" si="326"/>
        <v>7.9418634368141894E-4</v>
      </c>
      <c r="N454">
        <f t="shared" si="327"/>
        <v>-1.5707963250000001</v>
      </c>
      <c r="O454">
        <f t="shared" si="328"/>
        <v>510.06996291262493</v>
      </c>
      <c r="P454">
        <f t="shared" si="329"/>
        <v>1.5688358101730311</v>
      </c>
      <c r="Q454">
        <f t="shared" si="330"/>
        <v>230.85644687675358</v>
      </c>
      <c r="R454">
        <f t="shared" si="331"/>
        <v>1.566464617021049</v>
      </c>
      <c r="S454">
        <f t="shared" si="332"/>
        <v>0.20983243577818292</v>
      </c>
      <c r="T454">
        <f t="shared" si="333"/>
        <v>-1.3593927497728682</v>
      </c>
      <c r="U454">
        <f t="shared" si="334"/>
        <v>0.10849138040785117</v>
      </c>
      <c r="V454">
        <f t="shared" si="335"/>
        <v>-1.4620909803417004</v>
      </c>
      <c r="X454">
        <f t="shared" si="352"/>
        <v>-51.681365138104994</v>
      </c>
      <c r="Y454">
        <f t="shared" si="336"/>
        <v>-173.30681837388136</v>
      </c>
      <c r="Z454">
        <f t="shared" si="353"/>
        <v>6.6931816261186441</v>
      </c>
      <c r="AC454">
        <v>1</v>
      </c>
      <c r="AD454">
        <f t="shared" si="337"/>
        <v>510.06898265400008</v>
      </c>
      <c r="AE454">
        <f t="shared" si="338"/>
        <v>-0.57687442808356226</v>
      </c>
      <c r="AF454">
        <f t="shared" si="339"/>
        <v>6.2957516706000013E-2</v>
      </c>
      <c r="AG454">
        <f t="shared" si="367"/>
        <v>93.648143542707771</v>
      </c>
      <c r="AH454">
        <f t="shared" si="368"/>
        <v>-873.97378623167685</v>
      </c>
      <c r="AJ454">
        <f t="shared" si="340"/>
        <v>20000</v>
      </c>
      <c r="AK454">
        <f t="shared" si="341"/>
        <v>93192.204369600004</v>
      </c>
      <c r="AL454">
        <v>1</v>
      </c>
      <c r="AM454">
        <f t="shared" si="342"/>
        <v>230.85428101848001</v>
      </c>
      <c r="AN454">
        <f t="shared" si="369"/>
        <v>404.05180466796412</v>
      </c>
      <c r="AO454">
        <f t="shared" si="370"/>
        <v>-84.884491242176139</v>
      </c>
      <c r="AQ454">
        <f t="shared" si="343"/>
        <v>1.7361108097029845E-3</v>
      </c>
      <c r="AR454">
        <f t="shared" si="344"/>
        <v>-4.1666659432871622</v>
      </c>
      <c r="AT454">
        <f t="shared" si="365"/>
        <v>-3641.3942268629494</v>
      </c>
      <c r="AU454">
        <f t="shared" si="366"/>
        <v>-391.71784568914188</v>
      </c>
      <c r="AV454">
        <f t="shared" si="354"/>
        <v>-3.0344311571159084</v>
      </c>
      <c r="AW454">
        <f t="shared" si="355"/>
        <v>135.1747269591306</v>
      </c>
      <c r="AX454">
        <f t="shared" si="356"/>
        <v>-2737.338029842595</v>
      </c>
      <c r="AY454">
        <f t="shared" si="364"/>
        <v>-1.5214545909296155</v>
      </c>
      <c r="BA454">
        <f t="shared" si="345"/>
        <v>1.3363148721272129</v>
      </c>
      <c r="BB454">
        <f t="shared" si="357"/>
        <v>2.518176035775646</v>
      </c>
      <c r="BC454">
        <f t="shared" si="358"/>
        <v>-1.5129765661862928</v>
      </c>
      <c r="BD454">
        <f t="shared" si="346"/>
        <v>-266.68717184372474</v>
      </c>
      <c r="BF454">
        <f t="shared" si="347"/>
        <v>-55.72642967504693</v>
      </c>
      <c r="BG454">
        <f t="shared" si="348"/>
        <v>-187.97436252154313</v>
      </c>
      <c r="BH454">
        <f t="shared" si="359"/>
        <v>-7.974362521543128</v>
      </c>
      <c r="BI454">
        <f t="shared" si="360"/>
        <v>-7.974362521543128</v>
      </c>
      <c r="BJ454">
        <f t="shared" si="349"/>
        <v>0</v>
      </c>
      <c r="BK454">
        <f t="shared" si="361"/>
        <v>0</v>
      </c>
      <c r="BM454">
        <f t="shared" si="362"/>
        <v>-58.244605710822583</v>
      </c>
      <c r="BN454">
        <f t="shared" si="350"/>
        <v>-101.28719067781837</v>
      </c>
      <c r="BQ454" s="66">
        <f t="shared" si="363"/>
        <v>19.420136836060781</v>
      </c>
    </row>
    <row r="455" spans="1:69" x14ac:dyDescent="0.15">
      <c r="A455">
        <f t="shared" si="372"/>
        <v>1205000</v>
      </c>
      <c r="B455">
        <f t="shared" si="351"/>
        <v>1205</v>
      </c>
      <c r="C455">
        <f t="shared" si="320"/>
        <v>5.0960947388744344</v>
      </c>
      <c r="D455">
        <f t="shared" si="321"/>
        <v>1.3732859806842643</v>
      </c>
      <c r="F455">
        <f t="shared" si="322"/>
        <v>1.5942825529079656E-5</v>
      </c>
      <c r="G455">
        <f t="shared" si="323"/>
        <v>1.3078491056534567E-3</v>
      </c>
      <c r="H455">
        <f t="shared" si="324"/>
        <v>-3.1402848008943467</v>
      </c>
      <c r="J455">
        <f t="shared" si="325"/>
        <v>15</v>
      </c>
      <c r="M455">
        <f t="shared" si="326"/>
        <v>7.9089096466199399E-4</v>
      </c>
      <c r="N455">
        <f t="shared" si="327"/>
        <v>-1.5707963250000001</v>
      </c>
      <c r="O455">
        <f t="shared" si="328"/>
        <v>512.19524627289456</v>
      </c>
      <c r="P455">
        <f t="shared" si="329"/>
        <v>1.5688439450760578</v>
      </c>
      <c r="Q455">
        <f t="shared" si="330"/>
        <v>231.81833072745059</v>
      </c>
      <c r="R455">
        <f t="shared" si="331"/>
        <v>1.5664825906970858</v>
      </c>
      <c r="S455">
        <f t="shared" si="332"/>
        <v>0.20899986939286047</v>
      </c>
      <c r="T455">
        <f t="shared" si="333"/>
        <v>-1.36024419562967</v>
      </c>
      <c r="U455">
        <f t="shared" si="334"/>
        <v>0.10804647484795631</v>
      </c>
      <c r="V455">
        <f t="shared" si="335"/>
        <v>-1.4625385166842306</v>
      </c>
      <c r="X455">
        <f t="shared" si="352"/>
        <v>-51.752988117538422</v>
      </c>
      <c r="Y455">
        <f t="shared" si="336"/>
        <v>-173.33413290076007</v>
      </c>
      <c r="Z455">
        <f t="shared" si="353"/>
        <v>6.6658670992399323</v>
      </c>
      <c r="AC455">
        <v>1</v>
      </c>
      <c r="AD455">
        <f t="shared" si="337"/>
        <v>512.19427008172511</v>
      </c>
      <c r="AE455">
        <f t="shared" si="338"/>
        <v>-0.58169173016530173</v>
      </c>
      <c r="AF455">
        <f t="shared" si="339"/>
        <v>6.3219839692275015E-2</v>
      </c>
      <c r="AG455">
        <f t="shared" si="367"/>
        <v>92.881646706982352</v>
      </c>
      <c r="AH455">
        <f t="shared" si="368"/>
        <v>-870.43064394721853</v>
      </c>
      <c r="AJ455">
        <f t="shared" si="340"/>
        <v>20000</v>
      </c>
      <c r="AK455">
        <f t="shared" si="341"/>
        <v>93580.505221140003</v>
      </c>
      <c r="AL455">
        <v>1</v>
      </c>
      <c r="AM455">
        <f t="shared" si="342"/>
        <v>231.81617385605699</v>
      </c>
      <c r="AN455">
        <f t="shared" si="369"/>
        <v>404.04875962568417</v>
      </c>
      <c r="AO455">
        <f t="shared" si="370"/>
        <v>-84.532286571782294</v>
      </c>
      <c r="AQ455">
        <f t="shared" si="343"/>
        <v>1.7217331447920757E-3</v>
      </c>
      <c r="AR455">
        <f t="shared" si="344"/>
        <v>-4.1493768789489023</v>
      </c>
      <c r="AT455">
        <f t="shared" si="365"/>
        <v>-3611.5848713135147</v>
      </c>
      <c r="AU455">
        <f t="shared" si="366"/>
        <v>-386.89960661457962</v>
      </c>
      <c r="AV455">
        <f t="shared" si="354"/>
        <v>-3.0348722874624436</v>
      </c>
      <c r="AW455">
        <f t="shared" si="355"/>
        <v>137.4064256946867</v>
      </c>
      <c r="AX455">
        <f t="shared" si="356"/>
        <v>-2726.0403827183782</v>
      </c>
      <c r="AY455">
        <f t="shared" si="364"/>
        <v>-1.5204338174306637</v>
      </c>
      <c r="BA455">
        <f t="shared" si="345"/>
        <v>1.3307374797208664</v>
      </c>
      <c r="BB455">
        <f t="shared" si="357"/>
        <v>2.4818477758555506</v>
      </c>
      <c r="BC455">
        <f t="shared" si="358"/>
        <v>-1.5144384700317799</v>
      </c>
      <c r="BD455">
        <f t="shared" si="346"/>
        <v>-266.77093276422085</v>
      </c>
      <c r="BF455">
        <f t="shared" si="347"/>
        <v>-55.800271311975521</v>
      </c>
      <c r="BG455">
        <f t="shared" si="348"/>
        <v>-188.01250768253965</v>
      </c>
      <c r="BH455">
        <f t="shared" si="359"/>
        <v>-8.0125076825396491</v>
      </c>
      <c r="BI455">
        <f t="shared" si="360"/>
        <v>-8.0125076825396491</v>
      </c>
      <c r="BJ455">
        <f t="shared" si="349"/>
        <v>0</v>
      </c>
      <c r="BK455">
        <f t="shared" si="361"/>
        <v>0</v>
      </c>
      <c r="BM455">
        <f t="shared" si="362"/>
        <v>-58.28211908783107</v>
      </c>
      <c r="BN455">
        <f t="shared" si="350"/>
        <v>-101.24157491831885</v>
      </c>
      <c r="BQ455" s="66">
        <f t="shared" si="363"/>
        <v>19.383808576140687</v>
      </c>
    </row>
    <row r="456" spans="1:69" x14ac:dyDescent="0.15">
      <c r="A456">
        <f t="shared" si="372"/>
        <v>1210000</v>
      </c>
      <c r="B456">
        <f t="shared" si="351"/>
        <v>1210</v>
      </c>
      <c r="C456">
        <f t="shared" si="320"/>
        <v>5.1164277510303773</v>
      </c>
      <c r="D456">
        <f t="shared" si="321"/>
        <v>1.3740812047499114</v>
      </c>
      <c r="F456">
        <f t="shared" si="322"/>
        <v>1.5811336868135212E-5</v>
      </c>
      <c r="G456">
        <f t="shared" si="323"/>
        <v>1.3024446025816556E-3</v>
      </c>
      <c r="H456">
        <f t="shared" si="324"/>
        <v>-3.1402902053974184</v>
      </c>
      <c r="J456">
        <f t="shared" si="325"/>
        <v>15</v>
      </c>
      <c r="M456">
        <f t="shared" si="326"/>
        <v>7.8762282017991962E-4</v>
      </c>
      <c r="N456">
        <f t="shared" si="327"/>
        <v>-1.5707963250000001</v>
      </c>
      <c r="O456">
        <f t="shared" si="328"/>
        <v>514.32052966677941</v>
      </c>
      <c r="P456">
        <f t="shared" si="329"/>
        <v>1.5688520127487362</v>
      </c>
      <c r="Q456">
        <f t="shared" si="330"/>
        <v>232.78021465241827</v>
      </c>
      <c r="R456">
        <f t="shared" si="331"/>
        <v>1.5665004158330982</v>
      </c>
      <c r="S456">
        <f t="shared" si="332"/>
        <v>0.20817373462389502</v>
      </c>
      <c r="T456">
        <f t="shared" si="333"/>
        <v>-1.3610889109037694</v>
      </c>
      <c r="U456">
        <f t="shared" si="334"/>
        <v>0.1076051820676968</v>
      </c>
      <c r="V456">
        <f t="shared" si="335"/>
        <v>-1.4629823973815974</v>
      </c>
      <c r="X456">
        <f t="shared" si="352"/>
        <v>-51.824319366379726</v>
      </c>
      <c r="Y456">
        <f t="shared" si="336"/>
        <v>-173.36122713528346</v>
      </c>
      <c r="Z456">
        <f t="shared" si="353"/>
        <v>6.6387728647165432</v>
      </c>
      <c r="AC456">
        <v>1</v>
      </c>
      <c r="AD456">
        <f t="shared" si="337"/>
        <v>514.31955750945008</v>
      </c>
      <c r="AE456">
        <f t="shared" si="338"/>
        <v>-0.58652906260912741</v>
      </c>
      <c r="AF456">
        <f t="shared" si="339"/>
        <v>6.3482162678550003E-2</v>
      </c>
      <c r="AG456">
        <f t="shared" si="367"/>
        <v>92.124485553948858</v>
      </c>
      <c r="AH456">
        <f t="shared" si="368"/>
        <v>-866.91577339568278</v>
      </c>
      <c r="AJ456">
        <f t="shared" si="340"/>
        <v>20000</v>
      </c>
      <c r="AK456">
        <f t="shared" si="341"/>
        <v>93968.806072680003</v>
      </c>
      <c r="AL456">
        <v>1</v>
      </c>
      <c r="AM456">
        <f t="shared" si="342"/>
        <v>232.778066693634</v>
      </c>
      <c r="AN456">
        <f t="shared" si="369"/>
        <v>404.04575225288664</v>
      </c>
      <c r="AO456">
        <f t="shared" si="370"/>
        <v>-84.182992521962632</v>
      </c>
      <c r="AQ456">
        <f t="shared" si="343"/>
        <v>1.7075333468456139E-3</v>
      </c>
      <c r="AR456">
        <f t="shared" si="344"/>
        <v>-4.132230699366386</v>
      </c>
      <c r="AT456">
        <f t="shared" si="365"/>
        <v>-3582.138666959449</v>
      </c>
      <c r="AU456">
        <f t="shared" si="366"/>
        <v>-382.15991496134217</v>
      </c>
      <c r="AV456">
        <f t="shared" si="354"/>
        <v>-3.0353098151056783</v>
      </c>
      <c r="AW456">
        <f t="shared" si="355"/>
        <v>139.61038587554773</v>
      </c>
      <c r="AX456">
        <f t="shared" si="356"/>
        <v>-2714.8353721460849</v>
      </c>
      <c r="AY456">
        <f t="shared" si="364"/>
        <v>-1.5194165951643464</v>
      </c>
      <c r="BA456">
        <f t="shared" si="345"/>
        <v>1.325204605478143</v>
      </c>
      <c r="BB456">
        <f t="shared" si="357"/>
        <v>2.4456587302876192</v>
      </c>
      <c r="BC456">
        <f t="shared" si="358"/>
        <v>-1.515893219941332</v>
      </c>
      <c r="BD456">
        <f t="shared" si="346"/>
        <v>-266.85428379438042</v>
      </c>
      <c r="BF456">
        <f t="shared" si="347"/>
        <v>-55.873807339306737</v>
      </c>
      <c r="BG456">
        <f t="shared" si="348"/>
        <v>-188.05060538513513</v>
      </c>
      <c r="BH456">
        <f t="shared" si="359"/>
        <v>-8.0506053851351282</v>
      </c>
      <c r="BI456">
        <f t="shared" si="360"/>
        <v>-8.0506053851351282</v>
      </c>
      <c r="BJ456">
        <f t="shared" si="349"/>
        <v>0</v>
      </c>
      <c r="BK456">
        <f t="shared" si="361"/>
        <v>0</v>
      </c>
      <c r="BM456">
        <f t="shared" si="362"/>
        <v>-58.319466069594355</v>
      </c>
      <c r="BN456">
        <f t="shared" si="350"/>
        <v>-101.19632159075469</v>
      </c>
      <c r="BQ456" s="66">
        <f t="shared" si="363"/>
        <v>19.347619530572754</v>
      </c>
    </row>
    <row r="457" spans="1:69" x14ac:dyDescent="0.15">
      <c r="A457">
        <f t="shared" si="372"/>
        <v>1215000</v>
      </c>
      <c r="B457">
        <f t="shared" si="351"/>
        <v>1215</v>
      </c>
      <c r="C457">
        <f t="shared" ref="C457:C520" si="373">SQRT((A457/Fesr)^2+1)</f>
        <v>5.1367639731038164</v>
      </c>
      <c r="D457">
        <f t="shared" ref="D457:D520" si="374">ATAN(A457/Fesr)</f>
        <v>1.3748701327971511</v>
      </c>
      <c r="F457">
        <f t="shared" ref="F457:F520" si="375">(Ro/(Ro+Rdcr))/SQRT((A457/(Q*Fo))^2+(1-(A457^2/Fo^2))^2)</f>
        <v>1.5681468214204107E-5</v>
      </c>
      <c r="G457">
        <f t="shared" ref="G457:G520" si="376">-ATAN(A457*Fo/(Q*(Fo^2-A457^2)))</f>
        <v>1.2970845830770187E-3</v>
      </c>
      <c r="H457">
        <f t="shared" ref="H457:H520" si="377">IF(G457&gt;0,G457-Pi,G457)</f>
        <v>-3.1402955654169231</v>
      </c>
      <c r="J457">
        <f t="shared" ref="J457:J520" si="378">Vin/Vramp</f>
        <v>15</v>
      </c>
      <c r="M457">
        <f t="shared" ref="M457:M520" si="379">1/(2*Pi*_Rfb1*(Cc1ea_u+Cc2ea_u)*A457)</f>
        <v>7.8438157400633976E-4</v>
      </c>
      <c r="N457">
        <f t="shared" ref="N457:N520" si="380">-Pi/2</f>
        <v>-1.5707963250000001</v>
      </c>
      <c r="O457">
        <f t="shared" ref="O457:O520" si="381">SQRT(1+(A457/Fz1_u)^2)</f>
        <v>516.44581309386444</v>
      </c>
      <c r="P457">
        <f t="shared" ref="P457:P520" si="382">ATAN2(Fz1_u,A457)</f>
        <v>1.5688600140210665</v>
      </c>
      <c r="Q457">
        <f t="shared" ref="Q457:Q520" si="383">SQRT(1+(A457/Fz2_u)^2)</f>
        <v>233.74209865073979</v>
      </c>
      <c r="R457">
        <f t="shared" ref="R457:R520" si="384">ATAN2(Fz2_u,A457)</f>
        <v>1.5665180942628685</v>
      </c>
      <c r="S457">
        <f t="shared" ref="S457:S520" si="385">1/SQRT(1+(A457/Fp1_u)^2)</f>
        <v>0.20735395901911208</v>
      </c>
      <c r="T457">
        <f t="shared" ref="T457:T520" si="386">-ATAN2(Fp1_u,A457)</f>
        <v>-1.3619269738963942</v>
      </c>
      <c r="U457">
        <f t="shared" ref="U457:U520" si="387">1/SQRT(1+(A457/Fp2_u)^2)</f>
        <v>0.10716745849879145</v>
      </c>
      <c r="V457">
        <f t="shared" ref="V457:V520" si="388">-ATAN2(Fp2_u,A457)</f>
        <v>-1.4634226668698442</v>
      </c>
      <c r="X457">
        <f t="shared" si="352"/>
        <v>-51.895361233673817</v>
      </c>
      <c r="Y457">
        <f t="shared" ref="Y457:Y520" si="389">(180/Pi)*(D457+H457+N457+P457+R457+T457+V457)</f>
        <v>-173.38810371178249</v>
      </c>
      <c r="Z457">
        <f t="shared" si="353"/>
        <v>6.6118962882175083</v>
      </c>
      <c r="AC457">
        <v>1</v>
      </c>
      <c r="AD457">
        <f t="shared" ref="AD457:AD520" si="390">Rcea1_u*Cc1ea_u*A457*2*Pi</f>
        <v>516.44484493717505</v>
      </c>
      <c r="AE457">
        <f t="shared" ref="AE457:AE520" si="391">-Rcea1_u*Cc1ea_u*Cc2ea_u*(A457*2*Pi)^2</f>
        <v>-0.59138642541503939</v>
      </c>
      <c r="AF457">
        <f t="shared" ref="AF457:AF520" si="392">(Cc2ea_u+Cc1ea_u)*A457*2*Pi</f>
        <v>6.3744485664825004E-2</v>
      </c>
      <c r="AG457">
        <f t="shared" si="367"/>
        <v>91.376509678820511</v>
      </c>
      <c r="AH457">
        <f t="shared" si="368"/>
        <v>-863.42884175519384</v>
      </c>
      <c r="AJ457">
        <f t="shared" ref="AJ457:AJ520" si="393">_Rfb1</f>
        <v>20000</v>
      </c>
      <c r="AK457">
        <f t="shared" ref="AK457:AK520" si="394">_Rfb1*Rcea2_u*Cc3ea_u*A457*2*Pi</f>
        <v>94357.106924220003</v>
      </c>
      <c r="AL457">
        <v>1</v>
      </c>
      <c r="AM457">
        <f t="shared" ref="AM457:AM520" si="395">(_Rfb1+Rcea2_u)*Cc3ea_u*A457*2*Pi</f>
        <v>233.73995953121099</v>
      </c>
      <c r="AN457">
        <f t="shared" si="369"/>
        <v>404.04278193079432</v>
      </c>
      <c r="AO457">
        <f t="shared" si="370"/>
        <v>-83.836573161777167</v>
      </c>
      <c r="AQ457">
        <f t="shared" ref="AQ457:AQ520" si="396">Eadcg/(1+(Eadcg*A457/GBP)^2)</f>
        <v>1.6935084940458782E-3</v>
      </c>
      <c r="AR457">
        <f t="shared" ref="AR457:AR520" si="397">-(A457*Eadcg*Eadcg/GBP)/(1+(Eadcg*A457/GBP)^2)</f>
        <v>-4.1152256405314835</v>
      </c>
      <c r="AT457">
        <f t="shared" si="365"/>
        <v>-3553.0497614700776</v>
      </c>
      <c r="AU457">
        <f t="shared" si="366"/>
        <v>-377.49717965007204</v>
      </c>
      <c r="AV457">
        <f t="shared" si="354"/>
        <v>-3.0357437838280568</v>
      </c>
      <c r="AW457">
        <f t="shared" si="355"/>
        <v>141.78706578002274</v>
      </c>
      <c r="AX457">
        <f t="shared" si="356"/>
        <v>-2703.721866162522</v>
      </c>
      <c r="AY457">
        <f t="shared" si="364"/>
        <v>-1.518402881602235</v>
      </c>
      <c r="BA457">
        <f t="shared" ref="BA457:BA520" si="398">SQRT(AT457^2+AU457^2)/SQRT(AW457^2+AX457^2)</f>
        <v>1.3197157182756096</v>
      </c>
      <c r="BB457">
        <f t="shared" si="357"/>
        <v>2.4096077865289764</v>
      </c>
      <c r="BC457">
        <f t="shared" si="358"/>
        <v>-1.5173409022258217</v>
      </c>
      <c r="BD457">
        <f t="shared" ref="BD457:BD520" si="399">BC457*180/Pi-180</f>
        <v>-266.93722987945233</v>
      </c>
      <c r="BF457">
        <f t="shared" ref="BF457:BF520" si="400">20*LOG(BA457*J457*F457*C457)</f>
        <v>-55.947040370993399</v>
      </c>
      <c r="BG457">
        <f t="shared" ref="BG457:BG520" si="401">(180/Pi)*(D457+H457+BC457)</f>
        <v>-188.08865632920512</v>
      </c>
      <c r="BH457">
        <f t="shared" si="359"/>
        <v>-8.0886563292051221</v>
      </c>
      <c r="BI457">
        <f t="shared" si="360"/>
        <v>-8.0886563292051221</v>
      </c>
      <c r="BJ457">
        <f t="shared" ref="BJ457:BJ520" si="402">SUM((BF458&lt;0)*(BF457&gt;0))*A457</f>
        <v>0</v>
      </c>
      <c r="BK457">
        <f t="shared" si="361"/>
        <v>0</v>
      </c>
      <c r="BM457">
        <f t="shared" si="362"/>
        <v>-58.356648157522372</v>
      </c>
      <c r="BN457">
        <f t="shared" ref="BN457:BN520" si="403">(H457+D457)*180/Pi</f>
        <v>-101.15142644975279</v>
      </c>
      <c r="BQ457" s="66">
        <f t="shared" si="363"/>
        <v>19.311568586814111</v>
      </c>
    </row>
    <row r="458" spans="1:69" x14ac:dyDescent="0.15">
      <c r="A458">
        <f t="shared" si="372"/>
        <v>1220000</v>
      </c>
      <c r="B458">
        <f t="shared" ref="B458:B521" si="404">A458/1000</f>
        <v>1220</v>
      </c>
      <c r="C458">
        <f t="shared" si="373"/>
        <v>5.1571033671213433</v>
      </c>
      <c r="D458">
        <f t="shared" si="374"/>
        <v>1.3756528383317386</v>
      </c>
      <c r="F458">
        <f t="shared" si="375"/>
        <v>1.5553193063626269E-5</v>
      </c>
      <c r="G458">
        <f t="shared" si="376"/>
        <v>1.2917685001768702E-3</v>
      </c>
      <c r="H458">
        <f t="shared" si="377"/>
        <v>-3.1403008814998232</v>
      </c>
      <c r="J458">
        <f t="shared" si="378"/>
        <v>15</v>
      </c>
      <c r="M458">
        <f t="shared" si="379"/>
        <v>7.8116689542434656E-4</v>
      </c>
      <c r="N458">
        <f t="shared" si="380"/>
        <v>-1.5707963250000001</v>
      </c>
      <c r="O458">
        <f t="shared" si="381"/>
        <v>518.57109655374154</v>
      </c>
      <c r="P458">
        <f t="shared" si="382"/>
        <v>1.568867949709442</v>
      </c>
      <c r="Q458">
        <f t="shared" si="383"/>
        <v>234.7039827215132</v>
      </c>
      <c r="R458">
        <f t="shared" si="384"/>
        <v>1.5665356277901181</v>
      </c>
      <c r="S458">
        <f t="shared" si="385"/>
        <v>0.20654047118167326</v>
      </c>
      <c r="T458">
        <f t="shared" si="386"/>
        <v>-1.3627584617177213</v>
      </c>
      <c r="U458">
        <f t="shared" si="387"/>
        <v>0.10673326126649853</v>
      </c>
      <c r="V458">
        <f t="shared" si="388"/>
        <v>-1.4638593688705213</v>
      </c>
      <c r="X458">
        <f t="shared" ref="X458:X521" si="405">20*LOG(C458*J458*O458*Q458*F458*M458*S458*U458)</f>
        <v>-51.966116040405439</v>
      </c>
      <c r="Y458">
        <f t="shared" si="389"/>
        <v>-173.41476522305271</v>
      </c>
      <c r="Z458">
        <f t="shared" ref="Z458:Z521" si="406">Y458+180</f>
        <v>6.5852347769472885</v>
      </c>
      <c r="AC458">
        <v>1</v>
      </c>
      <c r="AD458">
        <f t="shared" si="390"/>
        <v>518.57013236490002</v>
      </c>
      <c r="AE458">
        <f t="shared" si="391"/>
        <v>-0.59626381858303756</v>
      </c>
      <c r="AF458">
        <f t="shared" si="392"/>
        <v>6.4006808651100006E-2</v>
      </c>
      <c r="AG458">
        <f t="shared" si="367"/>
        <v>90.637571681695391</v>
      </c>
      <c r="AH458">
        <f t="shared" si="368"/>
        <v>-859.96952133740706</v>
      </c>
      <c r="AJ458">
        <f t="shared" si="393"/>
        <v>20000</v>
      </c>
      <c r="AK458">
        <f t="shared" si="394"/>
        <v>94745.407775760003</v>
      </c>
      <c r="AL458">
        <v>1</v>
      </c>
      <c r="AM458">
        <f t="shared" si="395"/>
        <v>234.70185236878797</v>
      </c>
      <c r="AN458">
        <f t="shared" si="369"/>
        <v>404.03984805328355</v>
      </c>
      <c r="AO458">
        <f t="shared" si="370"/>
        <v>-83.492993149263711</v>
      </c>
      <c r="AQ458">
        <f t="shared" si="396"/>
        <v>1.6796557243254965E-3</v>
      </c>
      <c r="AR458">
        <f t="shared" si="397"/>
        <v>-4.0983599673542113</v>
      </c>
      <c r="AT458">
        <f t="shared" si="365"/>
        <v>-3524.3124194778784</v>
      </c>
      <c r="AU458">
        <f t="shared" si="366"/>
        <v>-372.9098480477179</v>
      </c>
      <c r="AV458">
        <f t="shared" ref="AV458:AV521" si="407">ATAN2(AT458,AU458)</f>
        <v>-3.0361742367082449</v>
      </c>
      <c r="AW458">
        <f t="shared" ref="AW458:AW521" si="408">AG458-AH458*AO458/_Rfb2+AG458*AN458/_Rfb2+AN458-AO458*AR458+AQ458*AN458</f>
        <v>143.93691425195058</v>
      </c>
      <c r="AX458">
        <f t="shared" ref="AX458:AX521" si="409">AH458+AH458*AN458/_Rfb2+AG458*AO458/_Rfb2+AO458+AO458*AQ458+AN458*AR458</f>
        <v>-2692.6987511298262</v>
      </c>
      <c r="AY458">
        <f t="shared" si="364"/>
        <v>-1.5173926349284346</v>
      </c>
      <c r="BA458">
        <f t="shared" si="398"/>
        <v>1.3142702953293677</v>
      </c>
      <c r="BB458">
        <f t="shared" ref="BB458:BB521" si="410">20*LOG(BA458)</f>
        <v>2.3736938447812506</v>
      </c>
      <c r="BC458">
        <f t="shared" ref="BC458:BC521" si="411">AV458-AY458</f>
        <v>-1.5187816017798104</v>
      </c>
      <c r="BD458">
        <f t="shared" si="399"/>
        <v>-267.01977588353662</v>
      </c>
      <c r="BF458">
        <f t="shared" si="400"/>
        <v>-56.019972987772306</v>
      </c>
      <c r="BG458">
        <f t="shared" si="401"/>
        <v>-188.12666119861882</v>
      </c>
      <c r="BH458">
        <f t="shared" ref="BH458:BH521" si="412">IF(BG458&gt;180,BG458-180,BG458+180)</f>
        <v>-8.1266611986188195</v>
      </c>
      <c r="BI458">
        <f t="shared" ref="BI458:BI521" si="413">IF(BH458&gt;180,BH458-360,BH458)</f>
        <v>-8.1266611986188195</v>
      </c>
      <c r="BJ458">
        <f t="shared" si="402"/>
        <v>0</v>
      </c>
      <c r="BK458">
        <f t="shared" ref="BK458:BK521" si="414">IF(BJ458&gt;0,BI458,0)</f>
        <v>0</v>
      </c>
      <c r="BM458">
        <f t="shared" ref="BM458:BM521" si="415">20*LOG(J458*F458*C458)</f>
        <v>-58.393666832553556</v>
      </c>
      <c r="BN458">
        <f t="shared" si="403"/>
        <v>-101.10688531508222</v>
      </c>
      <c r="BQ458" s="66">
        <f t="shared" ref="BQ458:BQ521" si="416">20*LOG(BA458*7)</f>
        <v>19.275654645066385</v>
      </c>
    </row>
    <row r="459" spans="1:69" x14ac:dyDescent="0.15">
      <c r="A459">
        <f t="shared" si="372"/>
        <v>1225000</v>
      </c>
      <c r="B459">
        <f t="shared" si="404"/>
        <v>1225</v>
      </c>
      <c r="C459">
        <f t="shared" si="373"/>
        <v>5.1774458957003837</v>
      </c>
      <c r="D459">
        <f t="shared" si="374"/>
        <v>1.3764293937349599</v>
      </c>
      <c r="F459">
        <f t="shared" si="375"/>
        <v>1.5426485452542644E-5</v>
      </c>
      <c r="G459">
        <f t="shared" si="376"/>
        <v>1.2864958158492197E-3</v>
      </c>
      <c r="H459">
        <f t="shared" si="377"/>
        <v>-3.140306154184151</v>
      </c>
      <c r="J459">
        <f t="shared" si="378"/>
        <v>15</v>
      </c>
      <c r="M459">
        <f t="shared" si="379"/>
        <v>7.7797845911649214E-4</v>
      </c>
      <c r="N459">
        <f t="shared" si="380"/>
        <v>-1.5707963250000001</v>
      </c>
      <c r="O459">
        <f t="shared" si="381"/>
        <v>520.69638004600915</v>
      </c>
      <c r="P459">
        <f t="shared" si="382"/>
        <v>1.568875820616928</v>
      </c>
      <c r="Q459">
        <f t="shared" si="383"/>
        <v>235.66586686385142</v>
      </c>
      <c r="R459">
        <f t="shared" si="384"/>
        <v>1.566553018189121</v>
      </c>
      <c r="S459">
        <f t="shared" si="385"/>
        <v>0.20573320075151774</v>
      </c>
      <c r="T459">
        <f t="shared" si="386"/>
        <v>-1.3635834503090647</v>
      </c>
      <c r="U459">
        <f t="shared" si="387"/>
        <v>0.10630254817595552</v>
      </c>
      <c r="V459">
        <f t="shared" si="388"/>
        <v>-1.4642925464049341</v>
      </c>
      <c r="X459">
        <f t="shared" si="405"/>
        <v>-52.036586079941529</v>
      </c>
      <c r="Y459">
        <f t="shared" si="389"/>
        <v>-173.44121422116433</v>
      </c>
      <c r="Z459">
        <f t="shared" si="406"/>
        <v>6.55878577883567</v>
      </c>
      <c r="AC459">
        <v>1</v>
      </c>
      <c r="AD459">
        <f t="shared" si="390"/>
        <v>520.6954197926251</v>
      </c>
      <c r="AE459">
        <f t="shared" si="391"/>
        <v>-0.60116124211312194</v>
      </c>
      <c r="AF459">
        <f t="shared" si="392"/>
        <v>6.4269131637375007E-2</v>
      </c>
      <c r="AG459">
        <f t="shared" si="367"/>
        <v>89.907527096089524</v>
      </c>
      <c r="AH459">
        <f t="shared" si="368"/>
        <v>-856.53748949038618</v>
      </c>
      <c r="AJ459">
        <f t="shared" si="393"/>
        <v>20000</v>
      </c>
      <c r="AK459">
        <f t="shared" si="394"/>
        <v>95133.708627300002</v>
      </c>
      <c r="AL459">
        <v>1</v>
      </c>
      <c r="AM459">
        <f t="shared" si="395"/>
        <v>235.66374520636501</v>
      </c>
      <c r="AN459">
        <f t="shared" si="369"/>
        <v>404.03695002657423</v>
      </c>
      <c r="AO459">
        <f t="shared" si="370"/>
        <v>-83.152217719419312</v>
      </c>
      <c r="AQ459">
        <f t="shared" si="396"/>
        <v>1.6659722339071664E-3</v>
      </c>
      <c r="AR459">
        <f t="shared" si="397"/>
        <v>-4.0816319730725574</v>
      </c>
      <c r="AT459">
        <f t="shared" si="365"/>
        <v>-3495.9210197954985</v>
      </c>
      <c r="AU459">
        <f t="shared" si="366"/>
        <v>-368.3964048900778</v>
      </c>
      <c r="AV459">
        <f t="shared" si="407"/>
        <v>-3.0366012161351597</v>
      </c>
      <c r="AW459">
        <f t="shared" si="408"/>
        <v>146.06037093302209</v>
      </c>
      <c r="AX459">
        <f t="shared" si="409"/>
        <v>-2681.7649313669144</v>
      </c>
      <c r="AY459">
        <f t="shared" ref="AY459:AY522" si="417">ATAN2(AW459,AX459)</f>
        <v>-1.5163858140248334</v>
      </c>
      <c r="BA459">
        <f t="shared" si="398"/>
        <v>1.3088678220338443</v>
      </c>
      <c r="BB459">
        <f t="shared" si="410"/>
        <v>2.3379158178026578</v>
      </c>
      <c r="BC459">
        <f t="shared" si="411"/>
        <v>-1.5202154021103262</v>
      </c>
      <c r="BD459">
        <f t="shared" si="399"/>
        <v>-267.10192659123351</v>
      </c>
      <c r="BF459">
        <f t="shared" si="400"/>
        <v>-56.092607737724137</v>
      </c>
      <c r="BG459">
        <f t="shared" si="401"/>
        <v>-188.16462066166122</v>
      </c>
      <c r="BH459">
        <f t="shared" si="412"/>
        <v>-8.1646206616612176</v>
      </c>
      <c r="BI459">
        <f t="shared" si="413"/>
        <v>-8.1646206616612176</v>
      </c>
      <c r="BJ459">
        <f t="shared" si="402"/>
        <v>0</v>
      </c>
      <c r="BK459">
        <f t="shared" si="414"/>
        <v>0</v>
      </c>
      <c r="BM459">
        <f t="shared" si="415"/>
        <v>-58.430523555526797</v>
      </c>
      <c r="BN459">
        <f t="shared" si="403"/>
        <v>-101.06269407042775</v>
      </c>
      <c r="BQ459" s="66">
        <f t="shared" si="416"/>
        <v>19.239876618087795</v>
      </c>
    </row>
    <row r="460" spans="1:69" x14ac:dyDescent="0.15">
      <c r="A460">
        <f t="shared" si="372"/>
        <v>1230000</v>
      </c>
      <c r="B460">
        <f t="shared" si="404"/>
        <v>1230</v>
      </c>
      <c r="C460">
        <f t="shared" si="373"/>
        <v>5.1977915220378614</v>
      </c>
      <c r="D460">
        <f t="shared" si="374"/>
        <v>1.3771998702847505</v>
      </c>
      <c r="F460">
        <f t="shared" si="375"/>
        <v>1.5301319943755691E-5</v>
      </c>
      <c r="G460">
        <f t="shared" si="376"/>
        <v>1.2812660008112249E-3</v>
      </c>
      <c r="H460">
        <f t="shared" si="377"/>
        <v>-3.140311383999189</v>
      </c>
      <c r="J460">
        <f t="shared" si="378"/>
        <v>15</v>
      </c>
      <c r="M460">
        <f t="shared" si="379"/>
        <v>7.7481594505504289E-4</v>
      </c>
      <c r="N460">
        <f t="shared" si="380"/>
        <v>-1.5707963250000001</v>
      </c>
      <c r="O460">
        <f t="shared" si="381"/>
        <v>522.82166357027234</v>
      </c>
      <c r="P460">
        <f t="shared" si="382"/>
        <v>1.5688836275335312</v>
      </c>
      <c r="Q460">
        <f t="shared" si="383"/>
        <v>236.62775107688165</v>
      </c>
      <c r="R460">
        <f t="shared" si="384"/>
        <v>1.5665702672053015</v>
      </c>
      <c r="S460">
        <f t="shared" si="385"/>
        <v>0.20493207838717989</v>
      </c>
      <c r="T460">
        <f t="shared" si="386"/>
        <v>-1.3644020144645781</v>
      </c>
      <c r="U460">
        <f t="shared" si="387"/>
        <v>0.10587527769883849</v>
      </c>
      <c r="V460">
        <f t="shared" si="388"/>
        <v>-1.4647222418080512</v>
      </c>
      <c r="X460">
        <f t="shared" si="405"/>
        <v>-52.106773618464786</v>
      </c>
      <c r="Y460">
        <f t="shared" si="389"/>
        <v>-173.46745321825293</v>
      </c>
      <c r="Z460">
        <f t="shared" si="406"/>
        <v>6.5325467817470724</v>
      </c>
      <c r="AC460">
        <v>1</v>
      </c>
      <c r="AD460">
        <f t="shared" si="390"/>
        <v>522.82070722035007</v>
      </c>
      <c r="AE460">
        <f t="shared" si="391"/>
        <v>-0.60607869600529263</v>
      </c>
      <c r="AF460">
        <f t="shared" si="392"/>
        <v>6.4531454623650009E-2</v>
      </c>
      <c r="AG460">
        <f t="shared" si="367"/>
        <v>89.186234319436593</v>
      </c>
      <c r="AH460">
        <f t="shared" si="368"/>
        <v>-853.13242850363417</v>
      </c>
      <c r="AJ460">
        <f t="shared" si="393"/>
        <v>20000</v>
      </c>
      <c r="AK460">
        <f t="shared" si="394"/>
        <v>95522.009478840002</v>
      </c>
      <c r="AL460">
        <v>1</v>
      </c>
      <c r="AM460">
        <f t="shared" si="395"/>
        <v>236.62563804394202</v>
      </c>
      <c r="AN460">
        <f t="shared" si="369"/>
        <v>404.0340872689307</v>
      </c>
      <c r="AO460">
        <f t="shared" si="370"/>
        <v>-82.814212672474852</v>
      </c>
      <c r="AQ460">
        <f t="shared" si="396"/>
        <v>1.6524552758848444E-3</v>
      </c>
      <c r="AR460">
        <f t="shared" si="397"/>
        <v>-4.0650399786767171</v>
      </c>
      <c r="AT460">
        <f t="shared" si="365"/>
        <v>-3467.8700527093915</v>
      </c>
      <c r="AU460">
        <f t="shared" si="366"/>
        <v>-363.95537123864847</v>
      </c>
      <c r="AV460">
        <f t="shared" si="407"/>
        <v>-3.0370247638216634</v>
      </c>
      <c r="AW460">
        <f t="shared" si="408"/>
        <v>148.15786648845028</v>
      </c>
      <c r="AX460">
        <f t="shared" si="409"/>
        <v>-2670.9193287897933</v>
      </c>
      <c r="AY460">
        <f t="shared" si="417"/>
        <v>-1.5153823784567153</v>
      </c>
      <c r="BA460">
        <f t="shared" si="398"/>
        <v>1.3035077918042457</v>
      </c>
      <c r="BB460">
        <f t="shared" si="410"/>
        <v>2.3022726307233041</v>
      </c>
      <c r="BC460">
        <f t="shared" si="411"/>
        <v>-1.5216423853649481</v>
      </c>
      <c r="BD460">
        <f t="shared" si="399"/>
        <v>-267.18368670925258</v>
      </c>
      <c r="BF460">
        <f t="shared" si="400"/>
        <v>-56.164947136821759</v>
      </c>
      <c r="BG460">
        <f t="shared" si="401"/>
        <v>-188.20253537144271</v>
      </c>
      <c r="BH460">
        <f t="shared" si="412"/>
        <v>-8.2025353714427069</v>
      </c>
      <c r="BI460">
        <f t="shared" si="413"/>
        <v>-8.2025353714427069</v>
      </c>
      <c r="BJ460">
        <f t="shared" si="402"/>
        <v>0</v>
      </c>
      <c r="BK460">
        <f t="shared" si="414"/>
        <v>0</v>
      </c>
      <c r="BM460">
        <f t="shared" si="415"/>
        <v>-58.46721976754506</v>
      </c>
      <c r="BN460">
        <f t="shared" si="403"/>
        <v>-101.01884866219014</v>
      </c>
      <c r="BQ460" s="66">
        <f t="shared" si="416"/>
        <v>19.20423343100844</v>
      </c>
    </row>
    <row r="461" spans="1:69" x14ac:dyDescent="0.15">
      <c r="A461">
        <f t="shared" si="372"/>
        <v>1235000</v>
      </c>
      <c r="B461">
        <f t="shared" si="404"/>
        <v>1235</v>
      </c>
      <c r="C461">
        <f t="shared" si="373"/>
        <v>5.2181402098991203</v>
      </c>
      <c r="D461">
        <f t="shared" si="374"/>
        <v>1.3779643381763469</v>
      </c>
      <c r="F461">
        <f t="shared" si="375"/>
        <v>1.5177671613961523E-5</v>
      </c>
      <c r="G461">
        <f t="shared" si="376"/>
        <v>1.2760785343520693E-3</v>
      </c>
      <c r="H461">
        <f t="shared" si="377"/>
        <v>-3.140316571465648</v>
      </c>
      <c r="J461">
        <f t="shared" si="378"/>
        <v>15</v>
      </c>
      <c r="M461">
        <f t="shared" si="379"/>
        <v>7.7167903839490102E-4</v>
      </c>
      <c r="N461">
        <f t="shared" si="380"/>
        <v>-1.5707963250000001</v>
      </c>
      <c r="O461">
        <f t="shared" si="381"/>
        <v>524.94694712614228</v>
      </c>
      <c r="P461">
        <f t="shared" si="382"/>
        <v>1.5688913712364652</v>
      </c>
      <c r="Q461">
        <f t="shared" si="383"/>
        <v>237.58963535974536</v>
      </c>
      <c r="R461">
        <f t="shared" si="384"/>
        <v>1.5665873765558189</v>
      </c>
      <c r="S461">
        <f t="shared" si="385"/>
        <v>0.20413703574797371</v>
      </c>
      <c r="T461">
        <f t="shared" si="386"/>
        <v>-1.3652142278524864</v>
      </c>
      <c r="U461">
        <f t="shared" si="387"/>
        <v>0.10545140896033219</v>
      </c>
      <c r="V461">
        <f t="shared" si="388"/>
        <v>-1.4651484967420836</v>
      </c>
      <c r="X461">
        <f t="shared" si="405"/>
        <v>-52.176680895398931</v>
      </c>
      <c r="Y461">
        <f t="shared" si="389"/>
        <v>-173.49348468729249</v>
      </c>
      <c r="Z461">
        <f t="shared" si="406"/>
        <v>6.5065153127075064</v>
      </c>
      <c r="AC461">
        <v>1</v>
      </c>
      <c r="AD461">
        <f t="shared" si="390"/>
        <v>524.94599464807504</v>
      </c>
      <c r="AE461">
        <f t="shared" si="391"/>
        <v>-0.61101618025954951</v>
      </c>
      <c r="AF461">
        <f t="shared" si="392"/>
        <v>6.479377760992501E-2</v>
      </c>
      <c r="AG461">
        <f t="shared" si="367"/>
        <v>88.473554545494054</v>
      </c>
      <c r="AH461">
        <f t="shared" si="368"/>
        <v>-849.75402551523507</v>
      </c>
      <c r="AJ461">
        <f t="shared" si="393"/>
        <v>20000</v>
      </c>
      <c r="AK461">
        <f t="shared" si="394"/>
        <v>95910.310330380002</v>
      </c>
      <c r="AL461">
        <v>1</v>
      </c>
      <c r="AM461">
        <f t="shared" si="395"/>
        <v>237.587530881519</v>
      </c>
      <c r="AN461">
        <f t="shared" si="369"/>
        <v>404.0312592103686</v>
      </c>
      <c r="AO461">
        <f t="shared" si="370"/>
        <v>-82.47894436245403</v>
      </c>
      <c r="AQ461">
        <f t="shared" si="396"/>
        <v>1.6391021588450625E-3</v>
      </c>
      <c r="AR461">
        <f t="shared" si="397"/>
        <v>-4.048582332347304</v>
      </c>
      <c r="AT461">
        <f t="shared" si="365"/>
        <v>-3440.1541173477249</v>
      </c>
      <c r="AU461">
        <f t="shared" si="366"/>
        <v>-359.58530347056205</v>
      </c>
      <c r="AV461">
        <f t="shared" si="407"/>
        <v>-3.0374449208179364</v>
      </c>
      <c r="AW461">
        <f t="shared" si="408"/>
        <v>150.22982282620521</v>
      </c>
      <c r="AX461">
        <f t="shared" si="409"/>
        <v>-2660.160882560448</v>
      </c>
      <c r="AY461">
        <f t="shared" si="417"/>
        <v>-1.5143822884587277</v>
      </c>
      <c r="BA461">
        <f t="shared" si="398"/>
        <v>1.298189705922608</v>
      </c>
      <c r="BB461">
        <f t="shared" si="410"/>
        <v>2.2667632208638495</v>
      </c>
      <c r="BC461">
        <f t="shared" si="411"/>
        <v>-1.5230626323592087</v>
      </c>
      <c r="BD461">
        <f t="shared" si="399"/>
        <v>-267.26506086798287</v>
      </c>
      <c r="BF461">
        <f t="shared" si="400"/>
        <v>-56.236993669466841</v>
      </c>
      <c r="BG461">
        <f t="shared" si="401"/>
        <v>-188.24040596629601</v>
      </c>
      <c r="BH461">
        <f t="shared" si="412"/>
        <v>-8.2404059662960094</v>
      </c>
      <c r="BI461">
        <f t="shared" si="413"/>
        <v>-8.2404059662960094</v>
      </c>
      <c r="BJ461">
        <f t="shared" si="402"/>
        <v>0</v>
      </c>
      <c r="BK461">
        <f t="shared" si="414"/>
        <v>0</v>
      </c>
      <c r="BM461">
        <f t="shared" si="415"/>
        <v>-58.503756890330685</v>
      </c>
      <c r="BN461">
        <f t="shared" si="403"/>
        <v>-100.97534509831318</v>
      </c>
      <c r="BQ461" s="66">
        <f t="shared" si="416"/>
        <v>19.168724021148986</v>
      </c>
    </row>
    <row r="462" spans="1:69" x14ac:dyDescent="0.15">
      <c r="A462">
        <f t="shared" si="372"/>
        <v>1240000</v>
      </c>
      <c r="B462">
        <f t="shared" si="404"/>
        <v>1240</v>
      </c>
      <c r="C462">
        <f t="shared" si="373"/>
        <v>5.2384919236071035</v>
      </c>
      <c r="D462">
        <f t="shared" si="374"/>
        <v>1.3787228665424807</v>
      </c>
      <c r="F462">
        <f t="shared" si="375"/>
        <v>1.5055516041341703E-5</v>
      </c>
      <c r="G462">
        <f t="shared" si="376"/>
        <v>1.2709329041601226E-3</v>
      </c>
      <c r="H462">
        <f t="shared" si="377"/>
        <v>-3.1403217170958402</v>
      </c>
      <c r="J462">
        <f t="shared" si="378"/>
        <v>15</v>
      </c>
      <c r="M462">
        <f t="shared" si="379"/>
        <v>7.6856742936911519E-4</v>
      </c>
      <c r="N462">
        <f t="shared" si="380"/>
        <v>-1.5707963250000001</v>
      </c>
      <c r="O462">
        <f t="shared" si="381"/>
        <v>527.07223071323676</v>
      </c>
      <c r="P462">
        <f t="shared" si="382"/>
        <v>1.5688990524904076</v>
      </c>
      <c r="Q462">
        <f t="shared" si="383"/>
        <v>238.55151971159776</v>
      </c>
      <c r="R462">
        <f t="shared" si="384"/>
        <v>1.5666043479301377</v>
      </c>
      <c r="S462">
        <f t="shared" si="385"/>
        <v>0.20334800547653703</v>
      </c>
      <c r="T462">
        <f t="shared" si="386"/>
        <v>-1.3660201630358537</v>
      </c>
      <c r="U462">
        <f t="shared" si="387"/>
        <v>0.10503090172640291</v>
      </c>
      <c r="V462">
        <f t="shared" si="388"/>
        <v>-1.4655713522097458</v>
      </c>
      <c r="X462">
        <f t="shared" si="405"/>
        <v>-52.246310123825673</v>
      </c>
      <c r="Y462">
        <f t="shared" si="389"/>
        <v>-173.51931106285033</v>
      </c>
      <c r="Z462">
        <f t="shared" si="406"/>
        <v>6.4806889371496652</v>
      </c>
      <c r="AC462">
        <v>1</v>
      </c>
      <c r="AD462">
        <f t="shared" si="390"/>
        <v>527.07128207580013</v>
      </c>
      <c r="AE462">
        <f t="shared" si="391"/>
        <v>-0.61597369487589271</v>
      </c>
      <c r="AF462">
        <f t="shared" si="392"/>
        <v>6.5056100596200012E-2</v>
      </c>
      <c r="AG462">
        <f t="shared" si="367"/>
        <v>87.769351698595301</v>
      </c>
      <c r="AH462">
        <f t="shared" si="368"/>
        <v>-846.40197242104261</v>
      </c>
      <c r="AJ462">
        <f t="shared" si="393"/>
        <v>20000</v>
      </c>
      <c r="AK462">
        <f t="shared" si="394"/>
        <v>96298.611181920001</v>
      </c>
      <c r="AL462">
        <v>1</v>
      </c>
      <c r="AM462">
        <f t="shared" si="395"/>
        <v>238.54942371909598</v>
      </c>
      <c r="AN462">
        <f t="shared" si="369"/>
        <v>404.02846529237155</v>
      </c>
      <c r="AO462">
        <f t="shared" si="370"/>
        <v>-82.146379686009539</v>
      </c>
      <c r="AQ462">
        <f t="shared" si="396"/>
        <v>1.6259102455270802E-3</v>
      </c>
      <c r="AR462">
        <f t="shared" si="397"/>
        <v>-4.0322574089071592</v>
      </c>
      <c r="AT462">
        <f t="shared" si="365"/>
        <v>-3412.7679191202124</v>
      </c>
      <c r="AU462">
        <f t="shared" si="366"/>
        <v>-355.2847923004328</v>
      </c>
      <c r="AV462">
        <f t="shared" si="407"/>
        <v>-3.0378617275245334</v>
      </c>
      <c r="AW462">
        <f t="shared" si="408"/>
        <v>152.2766533100212</v>
      </c>
      <c r="AX462">
        <f t="shared" si="409"/>
        <v>-2649.4885487440943</v>
      </c>
      <c r="AY462">
        <f t="shared" si="417"/>
        <v>-1.5133855049211922</v>
      </c>
      <c r="BA462">
        <f t="shared" si="398"/>
        <v>1.2929130733873271</v>
      </c>
      <c r="BB462">
        <f t="shared" si="410"/>
        <v>2.2313865375572957</v>
      </c>
      <c r="BC462">
        <f t="shared" si="411"/>
        <v>-1.5244762226033413</v>
      </c>
      <c r="BD462">
        <f t="shared" si="399"/>
        <v>-267.34605362302506</v>
      </c>
      <c r="BF462">
        <f t="shared" si="400"/>
        <v>-56.308749789015607</v>
      </c>
      <c r="BG462">
        <f t="shared" si="401"/>
        <v>-188.27823307016141</v>
      </c>
      <c r="BH462">
        <f t="shared" si="412"/>
        <v>-8.2782330701614057</v>
      </c>
      <c r="BI462">
        <f t="shared" si="413"/>
        <v>-8.2782330701614057</v>
      </c>
      <c r="BJ462">
        <f t="shared" si="402"/>
        <v>0</v>
      </c>
      <c r="BK462">
        <f t="shared" si="414"/>
        <v>0</v>
      </c>
      <c r="BM462">
        <f t="shared" si="415"/>
        <v>-58.540136326572906</v>
      </c>
      <c r="BN462">
        <f t="shared" si="403"/>
        <v>-100.93217944713638</v>
      </c>
      <c r="BQ462" s="66">
        <f t="shared" si="416"/>
        <v>19.133347337842434</v>
      </c>
    </row>
    <row r="463" spans="1:69" x14ac:dyDescent="0.15">
      <c r="A463">
        <f t="shared" si="372"/>
        <v>1245000</v>
      </c>
      <c r="B463">
        <f t="shared" si="404"/>
        <v>1245</v>
      </c>
      <c r="C463">
        <f t="shared" si="373"/>
        <v>5.2588466280317725</v>
      </c>
      <c r="D463">
        <f t="shared" si="374"/>
        <v>1.3794755234731317</v>
      </c>
      <c r="F463">
        <f t="shared" si="375"/>
        <v>1.4934829293503188E-5</v>
      </c>
      <c r="G463">
        <f t="shared" si="376"/>
        <v>1.2658286061542681E-3</v>
      </c>
      <c r="H463">
        <f t="shared" si="377"/>
        <v>-3.1403268213938458</v>
      </c>
      <c r="J463">
        <f t="shared" si="378"/>
        <v>15</v>
      </c>
      <c r="M463">
        <f t="shared" si="379"/>
        <v>7.6548081318690987E-4</v>
      </c>
      <c r="N463">
        <f t="shared" si="380"/>
        <v>-1.5707963250000001</v>
      </c>
      <c r="O463">
        <f t="shared" si="381"/>
        <v>529.19751433117972</v>
      </c>
      <c r="P463">
        <f t="shared" si="382"/>
        <v>1.5689066720477525</v>
      </c>
      <c r="Q463">
        <f t="shared" si="383"/>
        <v>239.51340413160773</v>
      </c>
      <c r="R463">
        <f t="shared" si="384"/>
        <v>1.5666211829905827</v>
      </c>
      <c r="S463">
        <f t="shared" si="385"/>
        <v>0.20256492118172617</v>
      </c>
      <c r="T463">
        <f t="shared" si="386"/>
        <v>-1.3668198914929026</v>
      </c>
      <c r="U463">
        <f t="shared" si="387"/>
        <v>0.10461371639136555</v>
      </c>
      <c r="V463">
        <f t="shared" si="388"/>
        <v>-1.465990848567204</v>
      </c>
      <c r="X463">
        <f t="shared" si="405"/>
        <v>-52.315663490893641</v>
      </c>
      <c r="Y463">
        <f t="shared" si="389"/>
        <v>-173.5449347418251</v>
      </c>
      <c r="Z463">
        <f t="shared" si="406"/>
        <v>6.4550652581748977</v>
      </c>
      <c r="AC463">
        <v>1</v>
      </c>
      <c r="AD463">
        <f t="shared" si="390"/>
        <v>529.1965695035251</v>
      </c>
      <c r="AE463">
        <f t="shared" si="391"/>
        <v>-0.62095123985432199</v>
      </c>
      <c r="AF463">
        <f t="shared" si="392"/>
        <v>6.5318423582475013E-2</v>
      </c>
      <c r="AG463">
        <f t="shared" si="367"/>
        <v>87.07349236969138</v>
      </c>
      <c r="AH463">
        <f t="shared" si="368"/>
        <v>-843.07596578587049</v>
      </c>
      <c r="AJ463">
        <f t="shared" si="393"/>
        <v>20000</v>
      </c>
      <c r="AK463">
        <f t="shared" si="394"/>
        <v>96686.912033460001</v>
      </c>
      <c r="AL463">
        <v>1</v>
      </c>
      <c r="AM463">
        <f t="shared" si="395"/>
        <v>239.51131655667299</v>
      </c>
      <c r="AN463">
        <f t="shared" si="369"/>
        <v>404.02570496761552</v>
      </c>
      <c r="AO463">
        <f t="shared" si="370"/>
        <v>-81.816486071528061</v>
      </c>
      <c r="AQ463">
        <f t="shared" si="396"/>
        <v>1.6128769515206284E-3</v>
      </c>
      <c r="AR463">
        <f t="shared" si="397"/>
        <v>-4.0160636092863644</v>
      </c>
      <c r="AT463">
        <f t="shared" si="365"/>
        <v>-3385.7062672276588</v>
      </c>
      <c r="AU463">
        <f t="shared" si="366"/>
        <v>-351.05246183298846</v>
      </c>
      <c r="AV463">
        <f t="shared" si="407"/>
        <v>-3.0382752237051331</v>
      </c>
      <c r="AW463">
        <f t="shared" si="408"/>
        <v>154.29876296638051</v>
      </c>
      <c r="AX463">
        <f t="shared" si="409"/>
        <v>-2638.9012999745555</v>
      </c>
      <c r="AY463">
        <f t="shared" si="417"/>
        <v>-1.5123919893767517</v>
      </c>
      <c r="BA463">
        <f t="shared" si="398"/>
        <v>1.2876774107660902</v>
      </c>
      <c r="BB463">
        <f t="shared" si="410"/>
        <v>2.1961415419739239</v>
      </c>
      <c r="BC463">
        <f t="shared" si="411"/>
        <v>-1.5258832343283815</v>
      </c>
      <c r="BD463">
        <f t="shared" si="399"/>
        <v>-267.42666945668742</v>
      </c>
      <c r="BF463">
        <f t="shared" si="400"/>
        <v>-56.38021791829356</v>
      </c>
      <c r="BG463">
        <f t="shared" si="401"/>
        <v>-188.31601729296034</v>
      </c>
      <c r="BH463">
        <f t="shared" si="412"/>
        <v>-8.3160172929603391</v>
      </c>
      <c r="BI463">
        <f t="shared" si="413"/>
        <v>-8.3160172929603391</v>
      </c>
      <c r="BJ463">
        <f t="shared" si="402"/>
        <v>0</v>
      </c>
      <c r="BK463">
        <f t="shared" si="414"/>
        <v>0</v>
      </c>
      <c r="BM463">
        <f t="shared" si="415"/>
        <v>-58.576359460267483</v>
      </c>
      <c r="BN463">
        <f t="shared" si="403"/>
        <v>-100.88934783627295</v>
      </c>
      <c r="BQ463" s="66">
        <f t="shared" si="416"/>
        <v>19.098102342259061</v>
      </c>
    </row>
    <row r="464" spans="1:69" x14ac:dyDescent="0.15">
      <c r="A464">
        <f t="shared" si="372"/>
        <v>1250000</v>
      </c>
      <c r="B464">
        <f t="shared" si="404"/>
        <v>1250</v>
      </c>
      <c r="C464">
        <f t="shared" si="373"/>
        <v>5.2792042885797557</v>
      </c>
      <c r="D464">
        <f t="shared" si="374"/>
        <v>1.3802223760348469</v>
      </c>
      <c r="F464">
        <f t="shared" si="375"/>
        <v>1.4815587915755262E-5</v>
      </c>
      <c r="G464">
        <f t="shared" si="376"/>
        <v>1.2607651443192766E-3</v>
      </c>
      <c r="H464">
        <f t="shared" si="377"/>
        <v>-3.1403318848556809</v>
      </c>
      <c r="J464">
        <f t="shared" si="378"/>
        <v>15</v>
      </c>
      <c r="M464">
        <f t="shared" si="379"/>
        <v>7.6241888993416223E-4</v>
      </c>
      <c r="N464">
        <f t="shared" si="380"/>
        <v>-1.5707963250000001</v>
      </c>
      <c r="O464">
        <f t="shared" si="381"/>
        <v>531.32279797960086</v>
      </c>
      <c r="P464">
        <f t="shared" si="382"/>
        <v>1.5689142306488555</v>
      </c>
      <c r="Q464">
        <f t="shared" si="383"/>
        <v>240.47528861895731</v>
      </c>
      <c r="R464">
        <f t="shared" si="384"/>
        <v>1.5666378833728827</v>
      </c>
      <c r="S464">
        <f t="shared" si="385"/>
        <v>0.20178771742185406</v>
      </c>
      <c r="T464">
        <f t="shared" si="386"/>
        <v>-1.3676134836368925</v>
      </c>
      <c r="U464">
        <f t="shared" si="387"/>
        <v>0.10419981396573749</v>
      </c>
      <c r="V464">
        <f t="shared" si="388"/>
        <v>-1.4664070255367221</v>
      </c>
      <c r="X464">
        <f t="shared" si="405"/>
        <v>-52.384743158219464</v>
      </c>
      <c r="Y464">
        <f t="shared" si="389"/>
        <v>-173.57035808416722</v>
      </c>
      <c r="Z464">
        <f t="shared" si="406"/>
        <v>6.4296419158327751</v>
      </c>
      <c r="AC464">
        <v>1</v>
      </c>
      <c r="AD464">
        <f t="shared" si="390"/>
        <v>531.32185693125007</v>
      </c>
      <c r="AE464">
        <f t="shared" si="391"/>
        <v>-0.62594881519483758</v>
      </c>
      <c r="AF464">
        <f t="shared" si="392"/>
        <v>6.5580746568750015E-2</v>
      </c>
      <c r="AG464">
        <f t="shared" si="367"/>
        <v>86.385845754126805</v>
      </c>
      <c r="AH464">
        <f t="shared" si="368"/>
        <v>-839.77570675663276</v>
      </c>
      <c r="AJ464">
        <f t="shared" si="393"/>
        <v>20000</v>
      </c>
      <c r="AK464">
        <f t="shared" si="394"/>
        <v>97075.212885000001</v>
      </c>
      <c r="AL464">
        <v>1</v>
      </c>
      <c r="AM464">
        <f t="shared" si="395"/>
        <v>240.47320939424998</v>
      </c>
      <c r="AN464">
        <f t="shared" si="369"/>
        <v>404.02297769970068</v>
      </c>
      <c r="AO464">
        <f t="shared" si="370"/>
        <v>-81.489231468496655</v>
      </c>
      <c r="AQ464">
        <f t="shared" si="396"/>
        <v>1.599999744000041E-3</v>
      </c>
      <c r="AR464">
        <f t="shared" si="397"/>
        <v>-3.9999993600001025</v>
      </c>
      <c r="AT464">
        <f t="shared" si="365"/>
        <v>-3358.9640722390732</v>
      </c>
      <c r="AU464">
        <f t="shared" si="366"/>
        <v>-346.88696864540287</v>
      </c>
      <c r="AV464">
        <f t="shared" si="407"/>
        <v>-3.0386854484989931</v>
      </c>
      <c r="AW464">
        <f t="shared" si="408"/>
        <v>156.29654868566445</v>
      </c>
      <c r="AX464">
        <f t="shared" si="409"/>
        <v>-2628.3981251275418</v>
      </c>
      <c r="AY464">
        <f t="shared" si="417"/>
        <v>-1.5114017039873406</v>
      </c>
      <c r="BA464">
        <f t="shared" si="398"/>
        <v>1.2824822420521176</v>
      </c>
      <c r="BB464">
        <f t="shared" si="410"/>
        <v>2.1610272069493033</v>
      </c>
      <c r="BC464">
        <f t="shared" si="411"/>
        <v>-1.5272837445116525</v>
      </c>
      <c r="BD464">
        <f t="shared" si="399"/>
        <v>-267.50691277944566</v>
      </c>
      <c r="BF464">
        <f t="shared" si="400"/>
        <v>-56.451400450099655</v>
      </c>
      <c r="BG464">
        <f t="shared" si="401"/>
        <v>-188.35375923095805</v>
      </c>
      <c r="BH464">
        <f t="shared" si="412"/>
        <v>-8.3537592309580475</v>
      </c>
      <c r="BI464">
        <f t="shared" si="413"/>
        <v>-8.3537592309580475</v>
      </c>
      <c r="BJ464">
        <f t="shared" si="402"/>
        <v>0</v>
      </c>
      <c r="BK464">
        <f t="shared" si="414"/>
        <v>0</v>
      </c>
      <c r="BM464">
        <f t="shared" si="415"/>
        <v>-58.612427657048947</v>
      </c>
      <c r="BN464">
        <f t="shared" si="403"/>
        <v>-100.84684645151246</v>
      </c>
      <c r="BQ464" s="66">
        <f t="shared" si="416"/>
        <v>19.062988007234441</v>
      </c>
    </row>
    <row r="465" spans="1:69" x14ac:dyDescent="0.15">
      <c r="A465">
        <f t="shared" si="372"/>
        <v>1255000</v>
      </c>
      <c r="B465">
        <f t="shared" si="404"/>
        <v>1255</v>
      </c>
      <c r="C465">
        <f t="shared" si="373"/>
        <v>5.2995648711842449</v>
      </c>
      <c r="D465">
        <f t="shared" si="374"/>
        <v>1.3809634902896375</v>
      </c>
      <c r="F465">
        <f t="shared" si="375"/>
        <v>1.4697768919712808E-5</v>
      </c>
      <c r="G465">
        <f t="shared" si="376"/>
        <v>1.2557420305451198E-3</v>
      </c>
      <c r="H465">
        <f t="shared" si="377"/>
        <v>-3.1403369079694552</v>
      </c>
      <c r="J465">
        <f t="shared" si="378"/>
        <v>15</v>
      </c>
      <c r="M465">
        <f t="shared" si="379"/>
        <v>7.5938136447625717E-4</v>
      </c>
      <c r="N465">
        <f t="shared" si="380"/>
        <v>-1.5707963250000001</v>
      </c>
      <c r="O465">
        <f t="shared" si="381"/>
        <v>533.44808165813583</v>
      </c>
      <c r="P465">
        <f t="shared" si="382"/>
        <v>1.5689217290222737</v>
      </c>
      <c r="Q465">
        <f t="shared" si="383"/>
        <v>241.43717317284177</v>
      </c>
      <c r="R465">
        <f t="shared" si="384"/>
        <v>1.5666544506866991</v>
      </c>
      <c r="S465">
        <f t="shared" si="385"/>
        <v>0.20101632968826375</v>
      </c>
      <c r="T465">
        <f t="shared" si="386"/>
        <v>-1.3684010088355727</v>
      </c>
      <c r="U465">
        <f t="shared" si="387"/>
        <v>0.10378915606437114</v>
      </c>
      <c r="V465">
        <f t="shared" si="388"/>
        <v>-1.466819922219013</v>
      </c>
      <c r="X465">
        <f t="shared" si="405"/>
        <v>-52.453551262281202</v>
      </c>
      <c r="Y465">
        <f t="shared" si="389"/>
        <v>-173.59558341358402</v>
      </c>
      <c r="Z465">
        <f t="shared" si="406"/>
        <v>6.4044165864159766</v>
      </c>
      <c r="AC465">
        <v>1</v>
      </c>
      <c r="AD465">
        <f t="shared" si="390"/>
        <v>533.44714435897504</v>
      </c>
      <c r="AE465">
        <f t="shared" si="391"/>
        <v>-0.63096642089743926</v>
      </c>
      <c r="AF465">
        <f t="shared" si="392"/>
        <v>6.5843069555025002E-2</v>
      </c>
      <c r="AG465">
        <f t="shared" si="367"/>
        <v>85.706283591096422</v>
      </c>
      <c r="AH465">
        <f t="shared" si="368"/>
        <v>-836.50090097738484</v>
      </c>
      <c r="AJ465">
        <f t="shared" si="393"/>
        <v>20000</v>
      </c>
      <c r="AK465">
        <f t="shared" si="394"/>
        <v>97463.513736540001</v>
      </c>
      <c r="AL465">
        <v>1</v>
      </c>
      <c r="AM465">
        <f t="shared" si="395"/>
        <v>241.43510223182702</v>
      </c>
      <c r="AN465">
        <f t="shared" si="369"/>
        <v>404.02028296289035</v>
      </c>
      <c r="AO465">
        <f t="shared" si="370"/>
        <v>-81.164584337123287</v>
      </c>
      <c r="AQ465">
        <f t="shared" si="396"/>
        <v>1.5872761404936207E-3</v>
      </c>
      <c r="AR465">
        <f t="shared" si="397"/>
        <v>-3.9840631126389878</v>
      </c>
      <c r="AT465">
        <f t="shared" si="365"/>
        <v>-3332.5363437342435</v>
      </c>
      <c r="AU465">
        <f t="shared" si="366"/>
        <v>-342.78700089828624</v>
      </c>
      <c r="AV465">
        <f t="shared" si="407"/>
        <v>-3.0390924404331101</v>
      </c>
      <c r="AW465">
        <f t="shared" si="408"/>
        <v>158.27039941766262</v>
      </c>
      <c r="AX465">
        <f t="shared" si="409"/>
        <v>-2617.9780290016133</v>
      </c>
      <c r="AY465">
        <f t="shared" si="417"/>
        <v>-1.5104146115314718</v>
      </c>
      <c r="BA465">
        <f t="shared" si="398"/>
        <v>1.2773270985236265</v>
      </c>
      <c r="BB465">
        <f t="shared" si="410"/>
        <v>2.1260425168152826</v>
      </c>
      <c r="BC465">
        <f t="shared" si="411"/>
        <v>-1.5286778289016383</v>
      </c>
      <c r="BD465">
        <f t="shared" si="399"/>
        <v>-267.58678793136812</v>
      </c>
      <c r="BF465">
        <f t="shared" si="400"/>
        <v>-56.522299747700089</v>
      </c>
      <c r="BG465">
        <f t="shared" si="401"/>
        <v>-188.3914594671152</v>
      </c>
      <c r="BH465">
        <f t="shared" si="412"/>
        <v>-8.3914594671151974</v>
      </c>
      <c r="BI465">
        <f t="shared" si="413"/>
        <v>-8.3914594671151974</v>
      </c>
      <c r="BJ465">
        <f t="shared" si="402"/>
        <v>0</v>
      </c>
      <c r="BK465">
        <f t="shared" si="414"/>
        <v>0</v>
      </c>
      <c r="BM465">
        <f t="shared" si="415"/>
        <v>-58.648342264515378</v>
      </c>
      <c r="BN465">
        <f t="shared" si="403"/>
        <v>-100.80467153574706</v>
      </c>
      <c r="BQ465" s="66">
        <f t="shared" si="416"/>
        <v>19.028003317100421</v>
      </c>
    </row>
    <row r="466" spans="1:69" x14ac:dyDescent="0.15">
      <c r="A466">
        <f t="shared" si="372"/>
        <v>1260000</v>
      </c>
      <c r="B466">
        <f t="shared" si="404"/>
        <v>1260</v>
      </c>
      <c r="C466">
        <f t="shared" si="373"/>
        <v>5.3199283422951051</v>
      </c>
      <c r="D466">
        <f t="shared" si="374"/>
        <v>1.3816989313134669</v>
      </c>
      <c r="F466">
        <f t="shared" si="375"/>
        <v>1.4581349772215499E-5</v>
      </c>
      <c r="G466">
        <f t="shared" si="376"/>
        <v>1.2507587844701041E-3</v>
      </c>
      <c r="H466">
        <f t="shared" si="377"/>
        <v>-3.1403418912155301</v>
      </c>
      <c r="J466">
        <f t="shared" si="378"/>
        <v>15</v>
      </c>
      <c r="M466">
        <f t="shared" si="379"/>
        <v>7.5636794636325618E-4</v>
      </c>
      <c r="N466">
        <f t="shared" si="380"/>
        <v>-1.5707963250000001</v>
      </c>
      <c r="O466">
        <f t="shared" si="381"/>
        <v>535.57336536642617</v>
      </c>
      <c r="P466">
        <f t="shared" si="382"/>
        <v>1.5689291678849999</v>
      </c>
      <c r="Q466">
        <f t="shared" si="383"/>
        <v>242.39905779246891</v>
      </c>
      <c r="R466">
        <f t="shared" si="384"/>
        <v>1.5666708865161447</v>
      </c>
      <c r="S466">
        <f t="shared" si="385"/>
        <v>0.20025069438923057</v>
      </c>
      <c r="T466">
        <f t="shared" si="386"/>
        <v>-1.3691825354302147</v>
      </c>
      <c r="U466">
        <f t="shared" si="387"/>
        <v>0.10338170489485835</v>
      </c>
      <c r="V466">
        <f t="shared" si="388"/>
        <v>-1.4672295771053043</v>
      </c>
      <c r="X466">
        <f t="shared" si="405"/>
        <v>-52.522089914804198</v>
      </c>
      <c r="Y466">
        <f t="shared" si="389"/>
        <v>-173.6206130182278</v>
      </c>
      <c r="Z466">
        <f t="shared" si="406"/>
        <v>6.3793869817721998</v>
      </c>
      <c r="AC466">
        <v>1</v>
      </c>
      <c r="AD466">
        <f t="shared" si="390"/>
        <v>535.57243178670001</v>
      </c>
      <c r="AE466">
        <f t="shared" si="391"/>
        <v>-0.63600405696212736</v>
      </c>
      <c r="AF466">
        <f t="shared" si="392"/>
        <v>6.6105392541300004E-2</v>
      </c>
      <c r="AG466">
        <f t="shared" si="367"/>
        <v>85.034680104731251</v>
      </c>
      <c r="AH466">
        <f t="shared" si="368"/>
        <v>-833.25125850621794</v>
      </c>
      <c r="AJ466">
        <f t="shared" si="393"/>
        <v>20000</v>
      </c>
      <c r="AK466">
        <f t="shared" si="394"/>
        <v>97851.81458808</v>
      </c>
      <c r="AL466">
        <v>1</v>
      </c>
      <c r="AM466">
        <f t="shared" si="395"/>
        <v>242.396995069404</v>
      </c>
      <c r="AN466">
        <f t="shared" si="369"/>
        <v>404.01762024185888</v>
      </c>
      <c r="AO466">
        <f t="shared" si="370"/>
        <v>-80.842513638204736</v>
      </c>
      <c r="AQ466">
        <f t="shared" si="396"/>
        <v>1.5747037076871209E-3</v>
      </c>
      <c r="AR466">
        <f t="shared" si="397"/>
        <v>-3.9682533433715448</v>
      </c>
      <c r="AT466">
        <f t="shared" si="365"/>
        <v>-3306.4181880098035</v>
      </c>
      <c r="AU466">
        <f t="shared" si="366"/>
        <v>-338.7512774743343</v>
      </c>
      <c r="AV466">
        <f t="shared" si="407"/>
        <v>-3.0394962374341015</v>
      </c>
      <c r="AW466">
        <f t="shared" si="408"/>
        <v>160.2206963616168</v>
      </c>
      <c r="AX466">
        <f t="shared" si="409"/>
        <v>-2607.6400320066259</v>
      </c>
      <c r="AY466">
        <f t="shared" si="417"/>
        <v>-1.509430675391829</v>
      </c>
      <c r="BA466">
        <f t="shared" si="398"/>
        <v>1.2722115186064409</v>
      </c>
      <c r="BB466">
        <f t="shared" si="410"/>
        <v>2.0911864672339511</v>
      </c>
      <c r="BC466">
        <f t="shared" si="411"/>
        <v>-1.5300655620422725</v>
      </c>
      <c r="BD466">
        <f t="shared" si="399"/>
        <v>-267.66629918350776</v>
      </c>
      <c r="BF466">
        <f t="shared" si="400"/>
        <v>-56.592918145312119</v>
      </c>
      <c r="BG466">
        <f t="shared" si="401"/>
        <v>-188.42911857142914</v>
      </c>
      <c r="BH466">
        <f t="shared" si="412"/>
        <v>-8.429118571429143</v>
      </c>
      <c r="BI466">
        <f t="shared" si="413"/>
        <v>-8.429118571429143</v>
      </c>
      <c r="BJ466">
        <f t="shared" si="402"/>
        <v>0</v>
      </c>
      <c r="BK466">
        <f t="shared" si="414"/>
        <v>0</v>
      </c>
      <c r="BM466">
        <f t="shared" si="415"/>
        <v>-58.684104612546065</v>
      </c>
      <c r="BN466">
        <f t="shared" si="403"/>
        <v>-100.7628193879214</v>
      </c>
      <c r="BQ466" s="66">
        <f t="shared" si="416"/>
        <v>18.993147267519088</v>
      </c>
    </row>
    <row r="467" spans="1:69" x14ac:dyDescent="0.15">
      <c r="A467">
        <f t="shared" si="372"/>
        <v>1265000</v>
      </c>
      <c r="B467">
        <f t="shared" si="404"/>
        <v>1265</v>
      </c>
      <c r="C467">
        <f t="shared" si="373"/>
        <v>5.3402946688692055</v>
      </c>
      <c r="D467">
        <f t="shared" si="374"/>
        <v>1.3824287632143346</v>
      </c>
      <c r="F467">
        <f t="shared" si="375"/>
        <v>1.4466308384553013E-5</v>
      </c>
      <c r="G467">
        <f t="shared" si="376"/>
        <v>1.2458149333277313E-3</v>
      </c>
      <c r="H467">
        <f t="shared" si="377"/>
        <v>-3.1403468350666723</v>
      </c>
      <c r="J467">
        <f t="shared" si="378"/>
        <v>15</v>
      </c>
      <c r="M467">
        <f t="shared" si="379"/>
        <v>7.5337834973731438E-4</v>
      </c>
      <c r="N467">
        <f t="shared" si="380"/>
        <v>-1.5707963250000001</v>
      </c>
      <c r="O467">
        <f t="shared" si="381"/>
        <v>537.69864910411923</v>
      </c>
      <c r="P467">
        <f t="shared" si="382"/>
        <v>1.5689365479426916</v>
      </c>
      <c r="Q467">
        <f t="shared" si="383"/>
        <v>243.3609424770593</v>
      </c>
      <c r="R467">
        <f t="shared" si="384"/>
        <v>1.5666871924202874</v>
      </c>
      <c r="S467">
        <f t="shared" si="385"/>
        <v>0.19949074883418438</v>
      </c>
      <c r="T467">
        <f t="shared" si="386"/>
        <v>-1.3699581307542403</v>
      </c>
      <c r="U467">
        <f t="shared" si="387"/>
        <v>0.10297742324619873</v>
      </c>
      <c r="V467">
        <f t="shared" si="388"/>
        <v>-1.4676360280891234</v>
      </c>
      <c r="X467">
        <f t="shared" si="405"/>
        <v>-52.590361203139658</v>
      </c>
      <c r="Y467">
        <f t="shared" si="389"/>
        <v>-173.64544915136912</v>
      </c>
      <c r="Z467">
        <f t="shared" si="406"/>
        <v>6.354550848630879</v>
      </c>
      <c r="AC467">
        <v>1</v>
      </c>
      <c r="AD467">
        <f t="shared" si="390"/>
        <v>537.69771921442509</v>
      </c>
      <c r="AE467">
        <f t="shared" si="391"/>
        <v>-0.64106172338890166</v>
      </c>
      <c r="AF467">
        <f t="shared" si="392"/>
        <v>6.6367715527575005E-2</v>
      </c>
      <c r="AG467">
        <f t="shared" si="367"/>
        <v>84.370911946764338</v>
      </c>
      <c r="AH467">
        <f t="shared" si="368"/>
        <v>-830.02649373396071</v>
      </c>
      <c r="AJ467">
        <f t="shared" si="393"/>
        <v>20000</v>
      </c>
      <c r="AK467">
        <f t="shared" si="394"/>
        <v>98240.11543962</v>
      </c>
      <c r="AL467">
        <v>1</v>
      </c>
      <c r="AM467">
        <f t="shared" si="395"/>
        <v>243.35888790698101</v>
      </c>
      <c r="AN467">
        <f t="shared" si="369"/>
        <v>404.01498903144358</v>
      </c>
      <c r="AO467">
        <f t="shared" si="370"/>
        <v>-80.5229888232343</v>
      </c>
      <c r="AQ467">
        <f t="shared" si="396"/>
        <v>1.5622800602602665E-3</v>
      </c>
      <c r="AR467">
        <f t="shared" si="397"/>
        <v>-3.9525685524584744</v>
      </c>
      <c r="AT467">
        <f t="shared" si="365"/>
        <v>-3280.6048058468236</v>
      </c>
      <c r="AU467">
        <f t="shared" si="366"/>
        <v>-334.77854714367203</v>
      </c>
      <c r="AV467">
        <f t="shared" si="407"/>
        <v>-3.0398968768398125</v>
      </c>
      <c r="AW467">
        <f t="shared" si="408"/>
        <v>162.1478131509763</v>
      </c>
      <c r="AX467">
        <f t="shared" si="409"/>
        <v>-2597.3831698594404</v>
      </c>
      <c r="AY467">
        <f t="shared" si="417"/>
        <v>-1.5084498595431595</v>
      </c>
      <c r="BA467">
        <f t="shared" si="398"/>
        <v>1.2671350477396606</v>
      </c>
      <c r="BB467">
        <f t="shared" si="410"/>
        <v>2.0564580650344757</v>
      </c>
      <c r="BC467">
        <f t="shared" si="411"/>
        <v>-1.531447017296653</v>
      </c>
      <c r="BD467">
        <f t="shared" si="399"/>
        <v>-267.74545073926038</v>
      </c>
      <c r="BF467">
        <f t="shared" si="400"/>
        <v>-56.663257948577865</v>
      </c>
      <c r="BG467">
        <f t="shared" si="401"/>
        <v>-188.46673710126558</v>
      </c>
      <c r="BH467">
        <f t="shared" si="412"/>
        <v>-8.4667371012655792</v>
      </c>
      <c r="BI467">
        <f t="shared" si="413"/>
        <v>-8.4667371012655792</v>
      </c>
      <c r="BJ467">
        <f t="shared" si="402"/>
        <v>0</v>
      </c>
      <c r="BK467">
        <f t="shared" si="414"/>
        <v>0</v>
      </c>
      <c r="BM467">
        <f t="shared" si="415"/>
        <v>-58.719716013612341</v>
      </c>
      <c r="BN467">
        <f t="shared" si="403"/>
        <v>-100.72128636200519</v>
      </c>
      <c r="BQ467" s="66">
        <f t="shared" si="416"/>
        <v>18.958418865319612</v>
      </c>
    </row>
    <row r="468" spans="1:69" x14ac:dyDescent="0.15">
      <c r="A468">
        <f t="shared" si="372"/>
        <v>1270000</v>
      </c>
      <c r="B468">
        <f t="shared" si="404"/>
        <v>1270</v>
      </c>
      <c r="C468">
        <f t="shared" si="373"/>
        <v>5.3606638183609716</v>
      </c>
      <c r="D468">
        <f t="shared" si="374"/>
        <v>1.3831530491499719</v>
      </c>
      <c r="F468">
        <f t="shared" si="375"/>
        <v>1.4352623101986572E-5</v>
      </c>
      <c r="G468">
        <f t="shared" si="376"/>
        <v>1.2409100117971724E-3</v>
      </c>
      <c r="H468">
        <f t="shared" si="377"/>
        <v>-3.1403517399882031</v>
      </c>
      <c r="J468">
        <f t="shared" si="378"/>
        <v>15</v>
      </c>
      <c r="M468">
        <f t="shared" si="379"/>
        <v>7.5041229324228559E-4</v>
      </c>
      <c r="N468">
        <f t="shared" si="380"/>
        <v>-1.5707963250000001</v>
      </c>
      <c r="O468">
        <f t="shared" si="381"/>
        <v>539.82393287086745</v>
      </c>
      <c r="P468">
        <f t="shared" si="382"/>
        <v>1.5689438698898928</v>
      </c>
      <c r="Q468">
        <f t="shared" si="383"/>
        <v>244.32282722584563</v>
      </c>
      <c r="R468">
        <f t="shared" si="384"/>
        <v>1.5667033699336437</v>
      </c>
      <c r="S468">
        <f t="shared" si="385"/>
        <v>0.19873643121824616</v>
      </c>
      <c r="T468">
        <f t="shared" si="386"/>
        <v>-1.3707278611514493</v>
      </c>
      <c r="U468">
        <f t="shared" si="387"/>
        <v>0.10257627447772605</v>
      </c>
      <c r="V468">
        <f t="shared" si="388"/>
        <v>-1.4680393124778122</v>
      </c>
      <c r="X468">
        <f t="shared" si="405"/>
        <v>-52.658367190636028</v>
      </c>
      <c r="Y468">
        <f t="shared" si="389"/>
        <v>-173.67009403205472</v>
      </c>
      <c r="Z468">
        <f t="shared" si="406"/>
        <v>6.3299059679452796</v>
      </c>
      <c r="AC468">
        <v>1</v>
      </c>
      <c r="AD468">
        <f t="shared" si="390"/>
        <v>539.82300664215006</v>
      </c>
      <c r="AE468">
        <f t="shared" si="391"/>
        <v>-0.64613942017776216</v>
      </c>
      <c r="AF468">
        <f t="shared" si="392"/>
        <v>6.6630038513850007E-2</v>
      </c>
      <c r="AG468">
        <f t="shared" si="367"/>
        <v>83.714858140727756</v>
      </c>
      <c r="AH468">
        <f t="shared" si="368"/>
        <v>-826.82632530464309</v>
      </c>
      <c r="AJ468">
        <f t="shared" si="393"/>
        <v>20000</v>
      </c>
      <c r="AK468">
        <f t="shared" si="394"/>
        <v>98628.41629116</v>
      </c>
      <c r="AL468">
        <v>1</v>
      </c>
      <c r="AM468">
        <f t="shared" si="395"/>
        <v>244.32078074455799</v>
      </c>
      <c r="AN468">
        <f t="shared" si="369"/>
        <v>404.01238883640633</v>
      </c>
      <c r="AO468">
        <f t="shared" si="370"/>
        <v>-80.20597982474348</v>
      </c>
      <c r="AQ468">
        <f t="shared" si="396"/>
        <v>1.5500028597552763E-3</v>
      </c>
      <c r="AR468">
        <f t="shared" si="397"/>
        <v>-3.9370072637784017</v>
      </c>
      <c r="AT468">
        <f t="shared" si="365"/>
        <v>-3255.0914903380617</v>
      </c>
      <c r="AU468">
        <f t="shared" si="366"/>
        <v>-330.86758775496679</v>
      </c>
      <c r="AV468">
        <f t="shared" si="407"/>
        <v>-3.0402943954106525</v>
      </c>
      <c r="AW468">
        <f t="shared" si="408"/>
        <v>164.05211603303172</v>
      </c>
      <c r="AX468">
        <f t="shared" si="409"/>
        <v>-2587.2064932867138</v>
      </c>
      <c r="AY468">
        <f t="shared" si="417"/>
        <v>-1.5074721285404544</v>
      </c>
      <c r="BA468">
        <f t="shared" si="398"/>
        <v>1.2620972382443125</v>
      </c>
      <c r="BB468">
        <f t="shared" si="410"/>
        <v>2.0218563280527584</v>
      </c>
      <c r="BC468">
        <f t="shared" si="411"/>
        <v>-1.5328222668701981</v>
      </c>
      <c r="BD468">
        <f t="shared" si="399"/>
        <v>-267.82424673569176</v>
      </c>
      <c r="BF468">
        <f t="shared" si="400"/>
        <v>-56.733321435028643</v>
      </c>
      <c r="BG468">
        <f t="shared" si="401"/>
        <v>-188.50431560167968</v>
      </c>
      <c r="BH468">
        <f t="shared" si="412"/>
        <v>-8.5043156016796786</v>
      </c>
      <c r="BI468">
        <f t="shared" si="413"/>
        <v>-8.5043156016796786</v>
      </c>
      <c r="BJ468">
        <f t="shared" si="402"/>
        <v>0</v>
      </c>
      <c r="BK468">
        <f t="shared" si="414"/>
        <v>0</v>
      </c>
      <c r="BM468">
        <f t="shared" si="415"/>
        <v>-58.755177763081399</v>
      </c>
      <c r="BN468">
        <f t="shared" si="403"/>
        <v>-100.68006886598795</v>
      </c>
      <c r="BQ468" s="66">
        <f t="shared" si="416"/>
        <v>18.923817128337895</v>
      </c>
    </row>
    <row r="469" spans="1:69" x14ac:dyDescent="0.15">
      <c r="A469">
        <f t="shared" si="372"/>
        <v>1275000</v>
      </c>
      <c r="B469">
        <f t="shared" si="404"/>
        <v>1275</v>
      </c>
      <c r="C469">
        <f t="shared" si="373"/>
        <v>5.3810357587131366</v>
      </c>
      <c r="D469">
        <f t="shared" si="374"/>
        <v>1.3838718513451547</v>
      </c>
      <c r="F469">
        <f t="shared" si="375"/>
        <v>1.4240272693557604E-5</v>
      </c>
      <c r="G469">
        <f t="shared" si="376"/>
        <v>1.236043561857263E-3</v>
      </c>
      <c r="H469">
        <f t="shared" si="377"/>
        <v>-3.140356606438143</v>
      </c>
      <c r="J469">
        <f t="shared" si="378"/>
        <v>15</v>
      </c>
      <c r="M469">
        <f t="shared" si="379"/>
        <v>7.4746949993545312E-4</v>
      </c>
      <c r="N469">
        <f t="shared" si="380"/>
        <v>-1.5707963250000001</v>
      </c>
      <c r="O469">
        <f t="shared" si="381"/>
        <v>541.94921666632911</v>
      </c>
      <c r="P469">
        <f t="shared" si="382"/>
        <v>1.5689511344102534</v>
      </c>
      <c r="Q469">
        <f t="shared" si="383"/>
        <v>245.28471203807263</v>
      </c>
      <c r="R469">
        <f t="shared" si="384"/>
        <v>1.5667194205666592</v>
      </c>
      <c r="S469">
        <f t="shared" si="385"/>
        <v>0.19798768060707095</v>
      </c>
      <c r="T469">
        <f t="shared" si="386"/>
        <v>-1.3714917919938612</v>
      </c>
      <c r="U469">
        <f t="shared" si="387"/>
        <v>0.10217822250828452</v>
      </c>
      <c r="V469">
        <f t="shared" si="388"/>
        <v>-1.4684394670037784</v>
      </c>
      <c r="X469">
        <f t="shared" si="405"/>
        <v>-52.726109917003399</v>
      </c>
      <c r="Y469">
        <f t="shared" si="389"/>
        <v>-173.69454984575057</v>
      </c>
      <c r="Z469">
        <f t="shared" si="406"/>
        <v>6.3054501542494279</v>
      </c>
      <c r="AC469">
        <v>1</v>
      </c>
      <c r="AD469">
        <f t="shared" si="390"/>
        <v>541.94829406987515</v>
      </c>
      <c r="AE469">
        <f t="shared" si="391"/>
        <v>-0.65123714732870897</v>
      </c>
      <c r="AF469">
        <f t="shared" si="392"/>
        <v>6.6892361500125008E-2</v>
      </c>
      <c r="AG469">
        <f t="shared" si="367"/>
        <v>83.066400027635311</v>
      </c>
      <c r="AH469">
        <f t="shared" si="368"/>
        <v>-823.65047603768107</v>
      </c>
      <c r="AJ469">
        <f t="shared" si="393"/>
        <v>20000</v>
      </c>
      <c r="AK469">
        <f t="shared" si="394"/>
        <v>99016.717142699999</v>
      </c>
      <c r="AL469">
        <v>1</v>
      </c>
      <c r="AM469">
        <f t="shared" si="395"/>
        <v>245.28267358213498</v>
      </c>
      <c r="AN469">
        <f t="shared" si="369"/>
        <v>404.00981917120021</v>
      </c>
      <c r="AO469">
        <f t="shared" si="370"/>
        <v>-79.891457046870926</v>
      </c>
      <c r="AQ469">
        <f t="shared" si="396"/>
        <v>1.537869813476384E-3</v>
      </c>
      <c r="AR469">
        <f t="shared" si="397"/>
        <v>-3.9215680243647792</v>
      </c>
      <c r="AT469">
        <f t="shared" si="365"/>
        <v>-3229.8736247730822</v>
      </c>
      <c r="AU469">
        <f t="shared" si="366"/>
        <v>-327.01720545142206</v>
      </c>
      <c r="AV469">
        <f t="shared" si="407"/>
        <v>-3.040688829340676</v>
      </c>
      <c r="AW469">
        <f t="shared" si="408"/>
        <v>165.93396404358739</v>
      </c>
      <c r="AX469">
        <f t="shared" si="409"/>
        <v>-2577.1090677345765</v>
      </c>
      <c r="AY469">
        <f t="shared" si="417"/>
        <v>-1.5064974475074133</v>
      </c>
      <c r="BA469">
        <f t="shared" si="398"/>
        <v>1.2570976491949126</v>
      </c>
      <c r="BB469">
        <f t="shared" si="410"/>
        <v>1.9873802849738897</v>
      </c>
      <c r="BC469">
        <f t="shared" si="411"/>
        <v>-1.5341913818332626</v>
      </c>
      <c r="BD469">
        <f t="shared" si="399"/>
        <v>-267.90269124483319</v>
      </c>
      <c r="BF469">
        <f t="shared" si="400"/>
        <v>-56.803110854539881</v>
      </c>
      <c r="BG469">
        <f t="shared" si="401"/>
        <v>-188.54185460572845</v>
      </c>
      <c r="BH469">
        <f t="shared" si="412"/>
        <v>-8.5418546057284459</v>
      </c>
      <c r="BI469">
        <f t="shared" si="413"/>
        <v>-8.5418546057284459</v>
      </c>
      <c r="BJ469">
        <f t="shared" si="402"/>
        <v>0</v>
      </c>
      <c r="BK469">
        <f t="shared" si="414"/>
        <v>0</v>
      </c>
      <c r="BM469">
        <f t="shared" si="415"/>
        <v>-58.790491139513776</v>
      </c>
      <c r="BN469">
        <f t="shared" si="403"/>
        <v>-100.63916336089527</v>
      </c>
      <c r="BQ469" s="66">
        <f t="shared" si="416"/>
        <v>18.889341085259026</v>
      </c>
    </row>
    <row r="470" spans="1:69" x14ac:dyDescent="0.15">
      <c r="A470">
        <f t="shared" si="372"/>
        <v>1280000</v>
      </c>
      <c r="B470">
        <f t="shared" si="404"/>
        <v>1280</v>
      </c>
      <c r="C470">
        <f t="shared" si="373"/>
        <v>5.4014104583477041</v>
      </c>
      <c r="D470">
        <f t="shared" si="374"/>
        <v>1.3845852311086446</v>
      </c>
      <c r="F470">
        <f t="shared" si="375"/>
        <v>1.4129236342174538E-5</v>
      </c>
      <c r="G470">
        <f t="shared" si="376"/>
        <v>1.2312151326439181E-3</v>
      </c>
      <c r="H470">
        <f t="shared" si="377"/>
        <v>-3.1403614348673563</v>
      </c>
      <c r="J470">
        <f t="shared" si="378"/>
        <v>15</v>
      </c>
      <c r="M470">
        <f t="shared" si="379"/>
        <v>7.4454969720133025E-4</v>
      </c>
      <c r="N470">
        <f t="shared" si="380"/>
        <v>-1.5707963250000001</v>
      </c>
      <c r="O470">
        <f t="shared" si="381"/>
        <v>544.07450049016779</v>
      </c>
      <c r="P470">
        <f t="shared" si="382"/>
        <v>1.5689583421767412</v>
      </c>
      <c r="Q470">
        <f t="shared" si="383"/>
        <v>246.24659691299689</v>
      </c>
      <c r="R470">
        <f t="shared" si="384"/>
        <v>1.5667353458061806</v>
      </c>
      <c r="S470">
        <f t="shared" si="385"/>
        <v>0.19724443692199112</v>
      </c>
      <c r="T470">
        <f t="shared" si="386"/>
        <v>-1.3722499876991776</v>
      </c>
      <c r="U470">
        <f t="shared" si="387"/>
        <v>0.10178323180564972</v>
      </c>
      <c r="V470">
        <f t="shared" si="388"/>
        <v>-1.4688365278354876</v>
      </c>
      <c r="X470">
        <f t="shared" si="405"/>
        <v>-52.793591398671026</v>
      </c>
      <c r="Y470">
        <f t="shared" si="389"/>
        <v>-173.7188187449706</v>
      </c>
      <c r="Z470">
        <f t="shared" si="406"/>
        <v>6.2811812550293951</v>
      </c>
      <c r="AC470">
        <v>1</v>
      </c>
      <c r="AD470">
        <f t="shared" si="390"/>
        <v>544.0735814976</v>
      </c>
      <c r="AE470">
        <f t="shared" si="391"/>
        <v>-0.65635490484174197</v>
      </c>
      <c r="AF470">
        <f t="shared" si="392"/>
        <v>6.7154684486399996E-2</v>
      </c>
      <c r="AG470">
        <f t="shared" si="367"/>
        <v>82.42542121310511</v>
      </c>
      <c r="AH470">
        <f t="shared" si="368"/>
        <v>-820.49867285173366</v>
      </c>
      <c r="AJ470">
        <f t="shared" si="393"/>
        <v>20000</v>
      </c>
      <c r="AK470">
        <f t="shared" si="394"/>
        <v>99405.017994239999</v>
      </c>
      <c r="AL470">
        <v>1</v>
      </c>
      <c r="AM470">
        <f t="shared" si="395"/>
        <v>246.24456641971199</v>
      </c>
      <c r="AN470">
        <f t="shared" si="369"/>
        <v>404.00727955974247</v>
      </c>
      <c r="AO470">
        <f t="shared" si="370"/>
        <v>-79.579391356152129</v>
      </c>
      <c r="AQ470">
        <f t="shared" si="396"/>
        <v>1.5258786734193919E-3</v>
      </c>
      <c r="AR470">
        <f t="shared" si="397"/>
        <v>-3.9062494039536433</v>
      </c>
      <c r="AT470">
        <f t="shared" ref="AT470:AT533" si="418">-AR470*AH470+AG470*AQ470</f>
        <v>-3204.9466805794632</v>
      </c>
      <c r="AU470">
        <f t="shared" ref="AU470:AU533" si="419">AQ470*AH470+AG470*AR470</f>
        <v>-323.22623391079321</v>
      </c>
      <c r="AV470">
        <f t="shared" si="407"/>
        <v>-3.0410802142684075</v>
      </c>
      <c r="AW470">
        <f t="shared" si="408"/>
        <v>167.7937091768313</v>
      </c>
      <c r="AX470">
        <f t="shared" si="409"/>
        <v>-2567.0899730850024</v>
      </c>
      <c r="AY470">
        <f t="shared" si="417"/>
        <v>-1.50552578212518</v>
      </c>
      <c r="BA470">
        <f t="shared" si="398"/>
        <v>1.2521358462938579</v>
      </c>
      <c r="BB470">
        <f t="shared" si="410"/>
        <v>1.9530289751772996</v>
      </c>
      <c r="BC470">
        <f t="shared" si="411"/>
        <v>-1.5355544321432275</v>
      </c>
      <c r="BD470">
        <f t="shared" si="399"/>
        <v>-267.98078827494737</v>
      </c>
      <c r="BF470">
        <f t="shared" si="400"/>
        <v>-56.872628429776881</v>
      </c>
      <c r="BG470">
        <f t="shared" si="401"/>
        <v>-188.57935463477386</v>
      </c>
      <c r="BH470">
        <f t="shared" si="412"/>
        <v>-8.5793546347738641</v>
      </c>
      <c r="BI470">
        <f t="shared" si="413"/>
        <v>-8.5793546347738641</v>
      </c>
      <c r="BJ470">
        <f t="shared" si="402"/>
        <v>0</v>
      </c>
      <c r="BK470">
        <f t="shared" si="414"/>
        <v>0</v>
      </c>
      <c r="BM470">
        <f t="shared" si="415"/>
        <v>-58.825657404954185</v>
      </c>
      <c r="BN470">
        <f t="shared" si="403"/>
        <v>-100.59856635982646</v>
      </c>
      <c r="BQ470" s="66">
        <f t="shared" si="416"/>
        <v>18.854989775462435</v>
      </c>
    </row>
    <row r="471" spans="1:69" x14ac:dyDescent="0.15">
      <c r="A471">
        <f t="shared" si="372"/>
        <v>1285000</v>
      </c>
      <c r="B471">
        <f t="shared" si="404"/>
        <v>1285</v>
      </c>
      <c r="C471">
        <f t="shared" si="373"/>
        <v>5.4217878861571016</v>
      </c>
      <c r="D471">
        <f t="shared" si="374"/>
        <v>1.3852932488497673</v>
      </c>
      <c r="F471">
        <f t="shared" si="375"/>
        <v>1.4019493634969061E-5</v>
      </c>
      <c r="G471">
        <f t="shared" si="376"/>
        <v>1.2264242803108794E-3</v>
      </c>
      <c r="H471">
        <f t="shared" si="377"/>
        <v>-3.1403662257196894</v>
      </c>
      <c r="J471">
        <f t="shared" si="378"/>
        <v>15</v>
      </c>
      <c r="M471">
        <f t="shared" si="379"/>
        <v>7.4165261666747303E-4</v>
      </c>
      <c r="N471">
        <f t="shared" si="380"/>
        <v>-1.5707963250000001</v>
      </c>
      <c r="O471">
        <f t="shared" si="381"/>
        <v>546.19978434205234</v>
      </c>
      <c r="P471">
        <f t="shared" si="382"/>
        <v>1.56896549385185</v>
      </c>
      <c r="Q471">
        <f t="shared" si="383"/>
        <v>247.20848184988657</v>
      </c>
      <c r="R471">
        <f t="shared" si="384"/>
        <v>1.5667511471159126</v>
      </c>
      <c r="S471">
        <f t="shared" si="385"/>
        <v>0.19650664092545281</v>
      </c>
      <c r="T471">
        <f t="shared" si="386"/>
        <v>-1.3730025117478772</v>
      </c>
      <c r="U471">
        <f t="shared" si="387"/>
        <v>0.10139126737618721</v>
      </c>
      <c r="V471">
        <f t="shared" si="388"/>
        <v>-1.4692305305882067</v>
      </c>
      <c r="X471">
        <f t="shared" si="405"/>
        <v>-52.860813629138136</v>
      </c>
      <c r="Y471">
        <f t="shared" si="389"/>
        <v>-173.74290284989166</v>
      </c>
      <c r="Z471">
        <f t="shared" si="406"/>
        <v>6.2570971501083363</v>
      </c>
      <c r="AC471">
        <v>1</v>
      </c>
      <c r="AD471">
        <f t="shared" si="390"/>
        <v>546.19886892532509</v>
      </c>
      <c r="AE471">
        <f t="shared" si="391"/>
        <v>-0.66149269271686117</v>
      </c>
      <c r="AF471">
        <f t="shared" si="392"/>
        <v>6.7417007472674997E-2</v>
      </c>
      <c r="AG471">
        <f t="shared" si="367"/>
        <v>81.791807515879754</v>
      </c>
      <c r="AH471">
        <f t="shared" si="368"/>
        <v>-817.37064669020117</v>
      </c>
      <c r="AJ471">
        <f t="shared" si="393"/>
        <v>20000</v>
      </c>
      <c r="AK471">
        <f t="shared" si="394"/>
        <v>99793.318845779999</v>
      </c>
      <c r="AL471">
        <v>1</v>
      </c>
      <c r="AM471">
        <f t="shared" si="395"/>
        <v>247.20645925728903</v>
      </c>
      <c r="AN471">
        <f t="shared" si="369"/>
        <v>404.00476953519461</v>
      </c>
      <c r="AO471">
        <f t="shared" si="370"/>
        <v>-79.269754072524321</v>
      </c>
      <c r="AQ471">
        <f t="shared" si="396"/>
        <v>1.5140272352303238E-3</v>
      </c>
      <c r="AR471">
        <f t="shared" si="397"/>
        <v>-3.8910499945419317</v>
      </c>
      <c r="AT471">
        <f t="shared" si="418"/>
        <v>-3180.3062153184446</v>
      </c>
      <c r="AU471">
        <f t="shared" si="419"/>
        <v>-319.49353360860539</v>
      </c>
      <c r="AV471">
        <f t="shared" si="407"/>
        <v>-3.0414685852874213</v>
      </c>
      <c r="AW471">
        <f t="shared" si="408"/>
        <v>169.63169655055057</v>
      </c>
      <c r="AX471">
        <f t="shared" si="409"/>
        <v>-2557.1483033787122</v>
      </c>
      <c r="AY471">
        <f t="shared" si="417"/>
        <v>-1.5045570986213463</v>
      </c>
      <c r="BA471">
        <f t="shared" si="398"/>
        <v>1.2472114017485807</v>
      </c>
      <c r="BB471">
        <f t="shared" si="410"/>
        <v>1.9188014485845761</v>
      </c>
      <c r="BC471">
        <f t="shared" si="411"/>
        <v>-1.5369114866660749</v>
      </c>
      <c r="BD471">
        <f t="shared" si="399"/>
        <v>-268.05854177176457</v>
      </c>
      <c r="BF471">
        <f t="shared" si="400"/>
        <v>-56.941876356631639</v>
      </c>
      <c r="BG471">
        <f t="shared" si="401"/>
        <v>-188.6168161987772</v>
      </c>
      <c r="BH471">
        <f t="shared" si="412"/>
        <v>-8.616816198777201</v>
      </c>
      <c r="BI471">
        <f t="shared" si="413"/>
        <v>-8.616816198777201</v>
      </c>
      <c r="BJ471">
        <f t="shared" si="402"/>
        <v>0</v>
      </c>
      <c r="BK471">
        <f t="shared" si="414"/>
        <v>0</v>
      </c>
      <c r="BM471">
        <f t="shared" si="415"/>
        <v>-58.860677805216213</v>
      </c>
      <c r="BN471">
        <f t="shared" si="403"/>
        <v>-100.55827442701266</v>
      </c>
      <c r="BQ471" s="66">
        <f t="shared" si="416"/>
        <v>18.820762248869713</v>
      </c>
    </row>
    <row r="472" spans="1:69" x14ac:dyDescent="0.15">
      <c r="A472">
        <f t="shared" si="372"/>
        <v>1290000</v>
      </c>
      <c r="B472">
        <f t="shared" si="404"/>
        <v>1290</v>
      </c>
      <c r="C472">
        <f t="shared" si="373"/>
        <v>5.4421680114955384</v>
      </c>
      <c r="D472">
        <f t="shared" si="374"/>
        <v>1.3859959640946389</v>
      </c>
      <c r="F472">
        <f t="shared" si="375"/>
        <v>1.3911024553913555E-5</v>
      </c>
      <c r="G472">
        <f t="shared" si="376"/>
        <v>1.2216705678936982E-3</v>
      </c>
      <c r="H472">
        <f t="shared" si="377"/>
        <v>-3.1403709794321064</v>
      </c>
      <c r="J472">
        <f t="shared" si="378"/>
        <v>15</v>
      </c>
      <c r="M472">
        <f t="shared" si="379"/>
        <v>7.3877799412225026E-4</v>
      </c>
      <c r="N472">
        <f t="shared" si="380"/>
        <v>-1.5707963250000001</v>
      </c>
      <c r="O472">
        <f t="shared" si="381"/>
        <v>548.32506822165635</v>
      </c>
      <c r="P472">
        <f t="shared" si="382"/>
        <v>1.5689725900878018</v>
      </c>
      <c r="Q472">
        <f t="shared" si="383"/>
        <v>248.17036684802116</v>
      </c>
      <c r="R472">
        <f t="shared" si="384"/>
        <v>1.5667668259368683</v>
      </c>
      <c r="S472">
        <f t="shared" si="385"/>
        <v>0.19577423420673926</v>
      </c>
      <c r="T472">
        <f t="shared" si="386"/>
        <v>-1.3737494266999482</v>
      </c>
      <c r="U472">
        <f t="shared" si="387"/>
        <v>0.10100229475474236</v>
      </c>
      <c r="V472">
        <f t="shared" si="388"/>
        <v>-1.4696215103345027</v>
      </c>
      <c r="X472">
        <f t="shared" si="405"/>
        <v>-52.9277785793183</v>
      </c>
      <c r="Y472">
        <f t="shared" si="389"/>
        <v>-173.76680424895463</v>
      </c>
      <c r="Z472">
        <f t="shared" si="406"/>
        <v>6.2331957510453719</v>
      </c>
      <c r="AC472">
        <v>1</v>
      </c>
      <c r="AD472">
        <f t="shared" si="390"/>
        <v>548.32415635305006</v>
      </c>
      <c r="AE472">
        <f t="shared" si="391"/>
        <v>-0.66665051095406669</v>
      </c>
      <c r="AF472">
        <f t="shared" si="392"/>
        <v>6.7679330458949999E-2</v>
      </c>
      <c r="AG472">
        <f t="shared" si="367"/>
        <v>81.16544691770082</v>
      </c>
      <c r="AH472">
        <f t="shared" si="368"/>
        <v>-814.26613244831151</v>
      </c>
      <c r="AJ472">
        <f t="shared" si="393"/>
        <v>20000</v>
      </c>
      <c r="AK472">
        <f t="shared" si="394"/>
        <v>100181.61969732</v>
      </c>
      <c r="AL472">
        <v>1</v>
      </c>
      <c r="AM472">
        <f t="shared" si="395"/>
        <v>248.16835209486601</v>
      </c>
      <c r="AN472">
        <f t="shared" si="369"/>
        <v>404.00228863974752</v>
      </c>
      <c r="AO472">
        <f t="shared" si="370"/>
        <v>-78.96251696054054</v>
      </c>
      <c r="AQ472">
        <f t="shared" si="396"/>
        <v>1.5023133371922755E-3</v>
      </c>
      <c r="AR472">
        <f t="shared" si="397"/>
        <v>-3.8759684099560707</v>
      </c>
      <c r="AT472">
        <f t="shared" si="418"/>
        <v>-3155.9478707333378</v>
      </c>
      <c r="AU472">
        <f t="shared" si="419"/>
        <v>-315.8179911037758</v>
      </c>
      <c r="AV472">
        <f t="shared" si="407"/>
        <v>-3.0418539769566793</v>
      </c>
      <c r="AW472">
        <f t="shared" si="408"/>
        <v>171.4482645668385</v>
      </c>
      <c r="AX472">
        <f t="shared" si="409"/>
        <v>-2547.2831665444091</v>
      </c>
      <c r="AY472">
        <f t="shared" si="417"/>
        <v>-1.5035913637592164</v>
      </c>
      <c r="BA472">
        <f t="shared" si="398"/>
        <v>1.2423238941513963</v>
      </c>
      <c r="BB472">
        <f t="shared" si="410"/>
        <v>1.8846967655099067</v>
      </c>
      <c r="BC472">
        <f t="shared" si="411"/>
        <v>-1.5382626131974628</v>
      </c>
      <c r="BD472">
        <f t="shared" si="399"/>
        <v>-268.1359556196897</v>
      </c>
      <c r="BF472">
        <f t="shared" si="400"/>
        <v>-57.010856804650984</v>
      </c>
      <c r="BG472">
        <f t="shared" si="401"/>
        <v>-188.65423979658451</v>
      </c>
      <c r="BH472">
        <f t="shared" si="412"/>
        <v>-8.6542397965845055</v>
      </c>
      <c r="BI472">
        <f t="shared" si="413"/>
        <v>-8.6542397965845055</v>
      </c>
      <c r="BJ472">
        <f t="shared" si="402"/>
        <v>0</v>
      </c>
      <c r="BK472">
        <f t="shared" si="414"/>
        <v>0</v>
      </c>
      <c r="BM472">
        <f t="shared" si="415"/>
        <v>-58.895553570160892</v>
      </c>
      <c r="BN472">
        <f t="shared" si="403"/>
        <v>-100.51828417689484</v>
      </c>
      <c r="BQ472" s="66">
        <f t="shared" si="416"/>
        <v>18.786657565795043</v>
      </c>
    </row>
    <row r="473" spans="1:69" x14ac:dyDescent="0.15">
      <c r="A473">
        <f>A472+5000</f>
        <v>1295000</v>
      </c>
      <c r="B473">
        <f t="shared" si="404"/>
        <v>1295</v>
      </c>
      <c r="C473">
        <f t="shared" si="373"/>
        <v>5.4625508041705357</v>
      </c>
      <c r="D473">
        <f t="shared" si="374"/>
        <v>1.3866934355020426</v>
      </c>
      <c r="F473">
        <f t="shared" si="375"/>
        <v>1.3803809466691636E-5</v>
      </c>
      <c r="G473">
        <f t="shared" si="376"/>
        <v>1.2169535651768721E-3</v>
      </c>
      <c r="H473">
        <f t="shared" si="377"/>
        <v>-3.1403756964348233</v>
      </c>
      <c r="J473">
        <f t="shared" si="378"/>
        <v>15</v>
      </c>
      <c r="M473">
        <f t="shared" si="379"/>
        <v>7.3592556943451951E-4</v>
      </c>
      <c r="N473">
        <f t="shared" si="380"/>
        <v>-1.5707963250000001</v>
      </c>
      <c r="O473">
        <f t="shared" si="381"/>
        <v>550.45035212865889</v>
      </c>
      <c r="P473">
        <f t="shared" si="382"/>
        <v>1.5689796315267464</v>
      </c>
      <c r="Q473">
        <f t="shared" si="383"/>
        <v>249.13225190669124</v>
      </c>
      <c r="R473">
        <f t="shared" si="384"/>
        <v>1.5667823836878056</v>
      </c>
      <c r="S473">
        <f t="shared" si="385"/>
        <v>0.19504715916797494</v>
      </c>
      <c r="T473">
        <f t="shared" si="386"/>
        <v>-1.3744907942112694</v>
      </c>
      <c r="U473">
        <f t="shared" si="387"/>
        <v>0.10061627999475616</v>
      </c>
      <c r="V473">
        <f t="shared" si="388"/>
        <v>-1.4700095016145052</v>
      </c>
      <c r="X473">
        <f t="shared" si="405"/>
        <v>-52.994488197877203</v>
      </c>
      <c r="Y473">
        <f t="shared" si="389"/>
        <v>-173.79052499945226</v>
      </c>
      <c r="Z473">
        <f t="shared" si="406"/>
        <v>6.2094750005477408</v>
      </c>
      <c r="AC473">
        <v>1</v>
      </c>
      <c r="AD473">
        <f t="shared" si="390"/>
        <v>550.44944378077503</v>
      </c>
      <c r="AE473">
        <f t="shared" si="391"/>
        <v>-0.6718283595533584</v>
      </c>
      <c r="AF473">
        <f t="shared" si="392"/>
        <v>6.7941653445225E-2</v>
      </c>
      <c r="AG473">
        <f t="shared" si="367"/>
        <v>80.546229514499117</v>
      </c>
      <c r="AH473">
        <f t="shared" si="368"/>
        <v>-811.18486890176882</v>
      </c>
      <c r="AJ473">
        <f t="shared" si="393"/>
        <v>20000</v>
      </c>
      <c r="AK473">
        <f t="shared" si="394"/>
        <v>100569.92054886</v>
      </c>
      <c r="AL473">
        <v>1</v>
      </c>
      <c r="AM473">
        <f t="shared" si="395"/>
        <v>249.13024493244299</v>
      </c>
      <c r="AN473">
        <f t="shared" si="369"/>
        <v>403.99983642441248</v>
      </c>
      <c r="AO473">
        <f t="shared" si="370"/>
        <v>-78.657652220787014</v>
      </c>
      <c r="AQ473">
        <f t="shared" si="396"/>
        <v>1.4907348592395971E-3</v>
      </c>
      <c r="AR473">
        <f t="shared" si="397"/>
        <v>-3.8610032854305563</v>
      </c>
      <c r="AT473">
        <f t="shared" si="418"/>
        <v>-3131.8673708491669</v>
      </c>
      <c r="AU473">
        <f t="shared" si="419"/>
        <v>-312.19851834588434</v>
      </c>
      <c r="AV473">
        <f t="shared" si="407"/>
        <v>-3.0422364233106376</v>
      </c>
      <c r="AW473">
        <f t="shared" si="408"/>
        <v>173.24374506843429</v>
      </c>
      <c r="AX473">
        <f t="shared" si="409"/>
        <v>-2537.4936841342005</v>
      </c>
      <c r="AY473">
        <f t="shared" si="417"/>
        <v>-1.5026285448273196</v>
      </c>
      <c r="BA473">
        <f t="shared" si="398"/>
        <v>1.2374729083619755</v>
      </c>
      <c r="BB473">
        <f t="shared" si="410"/>
        <v>1.8507139965130821</v>
      </c>
      <c r="BC473">
        <f t="shared" si="411"/>
        <v>-1.539607878483318</v>
      </c>
      <c r="BD473">
        <f t="shared" si="399"/>
        <v>-268.21303364298274</v>
      </c>
      <c r="BF473">
        <f t="shared" si="400"/>
        <v>-57.079571917456178</v>
      </c>
      <c r="BG473">
        <f t="shared" si="401"/>
        <v>-188.69162591620454</v>
      </c>
      <c r="BH473">
        <f t="shared" si="412"/>
        <v>-8.6916259162045435</v>
      </c>
      <c r="BI473">
        <f t="shared" si="413"/>
        <v>-8.6916259162045435</v>
      </c>
      <c r="BJ473">
        <f t="shared" si="402"/>
        <v>0</v>
      </c>
      <c r="BK473">
        <f t="shared" si="414"/>
        <v>0</v>
      </c>
      <c r="BM473">
        <f t="shared" si="415"/>
        <v>-58.930285913969264</v>
      </c>
      <c r="BN473">
        <f t="shared" si="403"/>
        <v>-100.47859227322182</v>
      </c>
      <c r="BQ473" s="66">
        <f t="shared" si="416"/>
        <v>18.752674796798217</v>
      </c>
    </row>
    <row r="474" spans="1:69" x14ac:dyDescent="0.15">
      <c r="A474">
        <f t="shared" ref="A474:A537" si="420">A473+5000</f>
        <v>1300000</v>
      </c>
      <c r="B474">
        <f t="shared" si="404"/>
        <v>1300</v>
      </c>
      <c r="C474">
        <f t="shared" si="373"/>
        <v>5.4829362344346562</v>
      </c>
      <c r="D474">
        <f t="shared" si="374"/>
        <v>1.3873857208789737</v>
      </c>
      <c r="F474">
        <f t="shared" si="375"/>
        <v>1.3697829117814E-5</v>
      </c>
      <c r="G474">
        <f t="shared" si="376"/>
        <v>1.2122728485640471E-3</v>
      </c>
      <c r="H474">
        <f t="shared" si="377"/>
        <v>-3.1403803771514363</v>
      </c>
      <c r="J474">
        <f t="shared" si="378"/>
        <v>15</v>
      </c>
      <c r="M474">
        <f t="shared" si="379"/>
        <v>7.3309508647515604E-4</v>
      </c>
      <c r="N474">
        <f t="shared" si="380"/>
        <v>-1.5707963250000001</v>
      </c>
      <c r="O474">
        <f t="shared" si="381"/>
        <v>552.57563606274391</v>
      </c>
      <c r="P474">
        <f t="shared" si="382"/>
        <v>1.568986618800954</v>
      </c>
      <c r="Q474">
        <f t="shared" si="383"/>
        <v>250.09413702519834</v>
      </c>
      <c r="R474">
        <f t="shared" si="384"/>
        <v>1.5667978217656566</v>
      </c>
      <c r="S474">
        <f t="shared" si="385"/>
        <v>0.19432535901040407</v>
      </c>
      <c r="T474">
        <f t="shared" si="386"/>
        <v>-1.3752266750496509</v>
      </c>
      <c r="U474">
        <f t="shared" si="387"/>
        <v>0.10023318965860065</v>
      </c>
      <c r="V474">
        <f t="shared" si="388"/>
        <v>-1.4703945384459354</v>
      </c>
      <c r="X474">
        <f t="shared" si="405"/>
        <v>-53.06094441156435</v>
      </c>
      <c r="Y474">
        <f t="shared" si="389"/>
        <v>-173.81406712810423</v>
      </c>
      <c r="Z474">
        <f t="shared" si="406"/>
        <v>6.1859328718957727</v>
      </c>
      <c r="AC474">
        <v>1</v>
      </c>
      <c r="AD474">
        <f t="shared" si="390"/>
        <v>552.57473120850011</v>
      </c>
      <c r="AE474">
        <f t="shared" si="391"/>
        <v>-0.67702623851473631</v>
      </c>
      <c r="AF474">
        <f t="shared" si="392"/>
        <v>6.8203976431500002E-2</v>
      </c>
      <c r="AG474">
        <f t="shared" si="367"/>
        <v>79.934047468859774</v>
      </c>
      <c r="AH474">
        <f t="shared" si="368"/>
        <v>-808.12659863691647</v>
      </c>
      <c r="AJ474">
        <f t="shared" si="393"/>
        <v>20000</v>
      </c>
      <c r="AK474">
        <f t="shared" si="394"/>
        <v>100958.22140040001</v>
      </c>
      <c r="AL474">
        <v>1</v>
      </c>
      <c r="AM474">
        <f t="shared" si="395"/>
        <v>250.09213777002</v>
      </c>
      <c r="AN474">
        <f t="shared" si="369"/>
        <v>403.99741244881852</v>
      </c>
      <c r="AO474">
        <f t="shared" si="370"/>
        <v>-78.355132481498856</v>
      </c>
      <c r="AQ474">
        <f t="shared" si="396"/>
        <v>1.4792897219985618E-3</v>
      </c>
      <c r="AR474">
        <f t="shared" si="397"/>
        <v>-3.8461532771962608</v>
      </c>
      <c r="AT474">
        <f t="shared" si="418"/>
        <v>-3108.0605201219851</v>
      </c>
      <c r="AU474">
        <f t="shared" si="419"/>
        <v>-308.6340520033537</v>
      </c>
      <c r="AV474">
        <f t="shared" si="407"/>
        <v>-3.0426159578691245</v>
      </c>
      <c r="AW474">
        <f t="shared" si="408"/>
        <v>175.01846349082879</v>
      </c>
      <c r="AX474">
        <f t="shared" si="409"/>
        <v>-2527.7789910650345</v>
      </c>
      <c r="AY474">
        <f t="shared" si="417"/>
        <v>-1.5016686096291711</v>
      </c>
      <c r="BA474">
        <f t="shared" si="398"/>
        <v>1.2326580353923742</v>
      </c>
      <c r="BB474">
        <f t="shared" si="410"/>
        <v>1.8168522222550034</v>
      </c>
      <c r="BC474">
        <f t="shared" si="411"/>
        <v>-1.5409473482399534</v>
      </c>
      <c r="BD474">
        <f t="shared" si="399"/>
        <v>-268.28977960691105</v>
      </c>
      <c r="BF474">
        <f t="shared" si="400"/>
        <v>-57.148023813154239</v>
      </c>
      <c r="BG474">
        <f t="shared" si="401"/>
        <v>-188.72897503507807</v>
      </c>
      <c r="BH474">
        <f t="shared" si="412"/>
        <v>-8.728975035078065</v>
      </c>
      <c r="BI474">
        <f t="shared" si="413"/>
        <v>-8.728975035078065</v>
      </c>
      <c r="BJ474">
        <f t="shared" si="402"/>
        <v>0</v>
      </c>
      <c r="BK474">
        <f t="shared" si="414"/>
        <v>0</v>
      </c>
      <c r="BM474">
        <f t="shared" si="415"/>
        <v>-58.964876035409247</v>
      </c>
      <c r="BN474">
        <f t="shared" si="403"/>
        <v>-100.43919542816707</v>
      </c>
      <c r="BQ474" s="66">
        <f t="shared" si="416"/>
        <v>18.718813022540139</v>
      </c>
    </row>
    <row r="475" spans="1:69" x14ac:dyDescent="0.15">
      <c r="A475">
        <f t="shared" si="420"/>
        <v>1305000</v>
      </c>
      <c r="B475">
        <f t="shared" si="404"/>
        <v>1305</v>
      </c>
      <c r="C475">
        <f t="shared" si="373"/>
        <v>5.5033242729774026</v>
      </c>
      <c r="D475">
        <f t="shared" si="374"/>
        <v>1.3880728771958533</v>
      </c>
      <c r="F475">
        <f t="shared" si="375"/>
        <v>1.3593064619972107E-5</v>
      </c>
      <c r="G475">
        <f t="shared" si="376"/>
        <v>1.2076280009512032E-3</v>
      </c>
      <c r="H475">
        <f t="shared" si="377"/>
        <v>-3.140385021999049</v>
      </c>
      <c r="J475">
        <f t="shared" si="378"/>
        <v>15</v>
      </c>
      <c r="M475">
        <f t="shared" si="379"/>
        <v>7.3028629304038527E-4</v>
      </c>
      <c r="N475">
        <f t="shared" si="380"/>
        <v>-1.5707963250000001</v>
      </c>
      <c r="O475">
        <f t="shared" si="381"/>
        <v>554.70092002360013</v>
      </c>
      <c r="P475">
        <f t="shared" si="382"/>
        <v>1.5689935525330052</v>
      </c>
      <c r="Q475">
        <f t="shared" si="383"/>
        <v>251.05602220285471</v>
      </c>
      <c r="R475">
        <f t="shared" si="384"/>
        <v>1.5668131415459445</v>
      </c>
      <c r="S475">
        <f t="shared" si="385"/>
        <v>0.19360877772093749</v>
      </c>
      <c r="T475">
        <f t="shared" si="386"/>
        <v>-1.3759571291105361</v>
      </c>
      <c r="U475">
        <f t="shared" si="387"/>
        <v>9.9852990808128345E-2</v>
      </c>
      <c r="V475">
        <f t="shared" si="388"/>
        <v>-1.4707766543339136</v>
      </c>
      <c r="X475">
        <f t="shared" si="405"/>
        <v>-53.127149125538544</v>
      </c>
      <c r="Y475">
        <f t="shared" si="389"/>
        <v>-173.83743263161924</v>
      </c>
      <c r="Z475">
        <f t="shared" si="406"/>
        <v>6.1625673683807634</v>
      </c>
      <c r="AC475">
        <v>1</v>
      </c>
      <c r="AD475">
        <f t="shared" si="390"/>
        <v>554.70001863622508</v>
      </c>
      <c r="AE475">
        <f t="shared" si="391"/>
        <v>-0.68224414783820042</v>
      </c>
      <c r="AF475">
        <f t="shared" si="392"/>
        <v>6.8466299417775003E-2</v>
      </c>
      <c r="AG475">
        <f t="shared" si="367"/>
        <v>79.328794963725272</v>
      </c>
      <c r="AH475">
        <f t="shared" si="368"/>
        <v>-805.09106798238281</v>
      </c>
      <c r="AJ475">
        <f t="shared" si="393"/>
        <v>20000</v>
      </c>
      <c r="AK475">
        <f t="shared" si="394"/>
        <v>101346.52225194</v>
      </c>
      <c r="AL475">
        <v>1</v>
      </c>
      <c r="AM475">
        <f t="shared" si="395"/>
        <v>251.05403060759699</v>
      </c>
      <c r="AN475">
        <f t="shared" si="369"/>
        <v>403.99501628101416</v>
      </c>
      <c r="AO475">
        <f t="shared" si="370"/>
        <v>-78.054930790368289</v>
      </c>
      <c r="AQ475">
        <f t="shared" si="396"/>
        <v>1.4679758858537183E-3</v>
      </c>
      <c r="AR475">
        <f t="shared" si="397"/>
        <v>-3.8314170620782049</v>
      </c>
      <c r="AT475">
        <f t="shared" si="418"/>
        <v>-3084.5232016364052</v>
      </c>
      <c r="AU475">
        <f t="shared" si="419"/>
        <v>-305.12355281183494</v>
      </c>
      <c r="AV475">
        <f t="shared" si="407"/>
        <v>-3.0429926136469976</v>
      </c>
      <c r="AW475">
        <f t="shared" si="408"/>
        <v>176.77273901026842</v>
      </c>
      <c r="AX475">
        <f t="shared" si="409"/>
        <v>-2518.1382353659906</v>
      </c>
      <c r="AY475">
        <f t="shared" si="417"/>
        <v>-1.5007115264732709</v>
      </c>
      <c r="BA475">
        <f t="shared" si="398"/>
        <v>1.2278788722945559</v>
      </c>
      <c r="BB475">
        <f t="shared" si="410"/>
        <v>1.7831105333556425</v>
      </c>
      <c r="BC475">
        <f t="shared" si="411"/>
        <v>-1.5422810871737267</v>
      </c>
      <c r="BD475">
        <f t="shared" si="399"/>
        <v>-268.36619721887587</v>
      </c>
      <c r="BF475">
        <f t="shared" si="400"/>
        <v>-57.216214584741103</v>
      </c>
      <c r="BG475">
        <f t="shared" si="401"/>
        <v>-188.76628762033994</v>
      </c>
      <c r="BH475">
        <f t="shared" si="412"/>
        <v>-8.7662876203399378</v>
      </c>
      <c r="BI475">
        <f t="shared" si="413"/>
        <v>-8.7662876203399378</v>
      </c>
      <c r="BJ475">
        <f t="shared" si="402"/>
        <v>0</v>
      </c>
      <c r="BK475">
        <f t="shared" si="414"/>
        <v>0</v>
      </c>
      <c r="BM475">
        <f t="shared" si="415"/>
        <v>-58.999325118096742</v>
      </c>
      <c r="BN475">
        <f t="shared" si="403"/>
        <v>-100.40009040146411</v>
      </c>
      <c r="BQ475" s="66">
        <f t="shared" si="416"/>
        <v>18.685071333640778</v>
      </c>
    </row>
    <row r="476" spans="1:69" x14ac:dyDescent="0.15">
      <c r="A476">
        <f t="shared" si="420"/>
        <v>1310000</v>
      </c>
      <c r="B476">
        <f t="shared" si="404"/>
        <v>1310</v>
      </c>
      <c r="C476">
        <f t="shared" si="373"/>
        <v>5.5237148909172991</v>
      </c>
      <c r="D476">
        <f t="shared" si="374"/>
        <v>1.38875496060142</v>
      </c>
      <c r="F476">
        <f t="shared" si="375"/>
        <v>1.3489497445622441E-5</v>
      </c>
      <c r="G476">
        <f t="shared" si="376"/>
        <v>1.2030186116027443E-3</v>
      </c>
      <c r="H476">
        <f t="shared" si="377"/>
        <v>-3.1403896313883974</v>
      </c>
      <c r="J476">
        <f t="shared" si="378"/>
        <v>15</v>
      </c>
      <c r="M476">
        <f t="shared" si="379"/>
        <v>7.2749894077687235E-4</v>
      </c>
      <c r="N476">
        <f t="shared" si="380"/>
        <v>-1.5707963250000001</v>
      </c>
      <c r="O476">
        <f t="shared" si="381"/>
        <v>556.82620401092083</v>
      </c>
      <c r="P476">
        <f t="shared" si="382"/>
        <v>1.5690004333359755</v>
      </c>
      <c r="Q476">
        <f t="shared" si="383"/>
        <v>252.01790743898306</v>
      </c>
      <c r="R476">
        <f t="shared" si="384"/>
        <v>1.566828344383193</v>
      </c>
      <c r="S476">
        <f t="shared" si="385"/>
        <v>0.19289736005896221</v>
      </c>
      <c r="T476">
        <f t="shared" si="386"/>
        <v>-1.3766822154323788</v>
      </c>
      <c r="U476">
        <f t="shared" si="387"/>
        <v>9.9475650995430445E-2</v>
      </c>
      <c r="V476">
        <f t="shared" si="388"/>
        <v>-1.4711558822805433</v>
      </c>
      <c r="X476">
        <f t="shared" si="405"/>
        <v>-53.193104223687385</v>
      </c>
      <c r="Y476">
        <f t="shared" si="389"/>
        <v>-173.86062347724538</v>
      </c>
      <c r="Z476">
        <f t="shared" si="406"/>
        <v>6.1393765227546169</v>
      </c>
      <c r="AC476">
        <v>1</v>
      </c>
      <c r="AD476">
        <f t="shared" si="390"/>
        <v>556.82530606395017</v>
      </c>
      <c r="AE476">
        <f t="shared" si="391"/>
        <v>-0.68748208752375084</v>
      </c>
      <c r="AF476">
        <f t="shared" si="392"/>
        <v>6.8728622404050005E-2</v>
      </c>
      <c r="AG476">
        <f t="shared" si="367"/>
        <v>78.73036815729985</v>
      </c>
      <c r="AH476">
        <f t="shared" si="368"/>
        <v>-802.07802694217128</v>
      </c>
      <c r="AJ476">
        <f t="shared" si="393"/>
        <v>20000</v>
      </c>
      <c r="AK476">
        <f t="shared" si="394"/>
        <v>101734.82310348</v>
      </c>
      <c r="AL476">
        <v>1</v>
      </c>
      <c r="AM476">
        <f t="shared" si="395"/>
        <v>252.01592344517397</v>
      </c>
      <c r="AN476">
        <f t="shared" si="369"/>
        <v>403.99264749727553</v>
      </c>
      <c r="AO476">
        <f t="shared" si="370"/>
        <v>-77.757020606540493</v>
      </c>
      <c r="AQ476">
        <f t="shared" si="396"/>
        <v>1.4567913500391366E-3</v>
      </c>
      <c r="AR476">
        <f t="shared" si="397"/>
        <v>-3.816793337102538</v>
      </c>
      <c r="AT476">
        <f t="shared" si="418"/>
        <v>-3061.251375349912</v>
      </c>
      <c r="AU476">
        <f t="shared" si="419"/>
        <v>-301.6660049421177</v>
      </c>
      <c r="AV476">
        <f t="shared" si="407"/>
        <v>-3.0433664231635822</v>
      </c>
      <c r="AW476">
        <f t="shared" si="408"/>
        <v>178.50688468778338</v>
      </c>
      <c r="AX476">
        <f t="shared" si="409"/>
        <v>-2508.5705779312702</v>
      </c>
      <c r="AY476">
        <f t="shared" si="417"/>
        <v>-1.499757264163333</v>
      </c>
      <c r="BA476">
        <f t="shared" si="398"/>
        <v>1.2231350220503512</v>
      </c>
      <c r="BB476">
        <f t="shared" si="410"/>
        <v>1.7494880302544349</v>
      </c>
      <c r="BC476">
        <f t="shared" si="411"/>
        <v>-1.5436091590002492</v>
      </c>
      <c r="BD476">
        <f t="shared" si="399"/>
        <v>-268.44229012951274</v>
      </c>
      <c r="BF476">
        <f t="shared" si="400"/>
        <v>-57.2841463004969</v>
      </c>
      <c r="BG476">
        <f t="shared" si="401"/>
        <v>-188.80356412907344</v>
      </c>
      <c r="BH476">
        <f t="shared" si="412"/>
        <v>-8.8035641290734361</v>
      </c>
      <c r="BI476">
        <f t="shared" si="413"/>
        <v>-8.8035641290734361</v>
      </c>
      <c r="BJ476">
        <f t="shared" si="402"/>
        <v>0</v>
      </c>
      <c r="BK476">
        <f t="shared" si="414"/>
        <v>0</v>
      </c>
      <c r="BM476">
        <f t="shared" si="415"/>
        <v>-59.03363433075134</v>
      </c>
      <c r="BN476">
        <f t="shared" si="403"/>
        <v>-100.36127399956067</v>
      </c>
      <c r="BQ476" s="66">
        <f t="shared" si="416"/>
        <v>18.651448830539572</v>
      </c>
    </row>
    <row r="477" spans="1:69" x14ac:dyDescent="0.15">
      <c r="A477">
        <f t="shared" si="420"/>
        <v>1315000</v>
      </c>
      <c r="B477">
        <f t="shared" si="404"/>
        <v>1315</v>
      </c>
      <c r="C477">
        <f t="shared" si="373"/>
        <v>5.5441080597941266</v>
      </c>
      <c r="D477">
        <f t="shared" si="374"/>
        <v>1.3894320264373128</v>
      </c>
      <c r="F477">
        <f t="shared" si="375"/>
        <v>1.3387109418794338E-5</v>
      </c>
      <c r="G477">
        <f t="shared" si="376"/>
        <v>1.198444276030417E-3</v>
      </c>
      <c r="H477">
        <f t="shared" si="377"/>
        <v>-3.14039420572397</v>
      </c>
      <c r="J477">
        <f t="shared" si="378"/>
        <v>15</v>
      </c>
      <c r="M477">
        <f t="shared" si="379"/>
        <v>7.2473278510851917E-4</v>
      </c>
      <c r="N477">
        <f t="shared" si="380"/>
        <v>-1.5707963250000001</v>
      </c>
      <c r="O477">
        <f t="shared" si="381"/>
        <v>558.95148802440428</v>
      </c>
      <c r="P477">
        <f t="shared" si="382"/>
        <v>1.5690072618136162</v>
      </c>
      <c r="Q477">
        <f t="shared" si="383"/>
        <v>252.97979273291639</v>
      </c>
      <c r="R477">
        <f t="shared" si="384"/>
        <v>1.5668434316113253</v>
      </c>
      <c r="S477">
        <f t="shared" si="385"/>
        <v>0.1921910515434076</v>
      </c>
      <c r="T477">
        <f t="shared" si="386"/>
        <v>-1.3774019922117011</v>
      </c>
      <c r="U477">
        <f t="shared" si="387"/>
        <v>9.9101138253798279E-2</v>
      </c>
      <c r="V477">
        <f t="shared" si="388"/>
        <v>-1.4715322547942855</v>
      </c>
      <c r="X477">
        <f t="shared" si="405"/>
        <v>-53.25881156894097</v>
      </c>
      <c r="Y477">
        <f t="shared" si="389"/>
        <v>-173.88364160330792</v>
      </c>
      <c r="Z477">
        <f t="shared" si="406"/>
        <v>6.1163583966920783</v>
      </c>
      <c r="AC477">
        <v>1</v>
      </c>
      <c r="AD477">
        <f t="shared" si="390"/>
        <v>558.95059349167502</v>
      </c>
      <c r="AE477">
        <f t="shared" si="391"/>
        <v>-0.69274005757138757</v>
      </c>
      <c r="AF477">
        <f t="shared" si="392"/>
        <v>6.8990945390325006E-2</v>
      </c>
      <c r="AG477">
        <f t="shared" si="367"/>
        <v>78.138665139119681</v>
      </c>
      <c r="AH477">
        <f t="shared" si="368"/>
        <v>-799.0872291301622</v>
      </c>
      <c r="AJ477">
        <f t="shared" si="393"/>
        <v>20000</v>
      </c>
      <c r="AK477">
        <f t="shared" si="394"/>
        <v>102123.12395502001</v>
      </c>
      <c r="AL477">
        <v>1</v>
      </c>
      <c r="AM477">
        <f t="shared" si="395"/>
        <v>252.97781628275098</v>
      </c>
      <c r="AN477">
        <f t="shared" si="369"/>
        <v>403.99030568191858</v>
      </c>
      <c r="AO477">
        <f t="shared" si="370"/>
        <v>-77.461375792792055</v>
      </c>
      <c r="AQ477">
        <f t="shared" si="396"/>
        <v>1.4457341517537985E-3</v>
      </c>
      <c r="AR477">
        <f t="shared" si="397"/>
        <v>-3.8022808191124899</v>
      </c>
      <c r="AT477">
        <f t="shared" si="418"/>
        <v>-3038.2410763825992</v>
      </c>
      <c r="AU477">
        <f t="shared" si="419"/>
        <v>-298.26041538691237</v>
      </c>
      <c r="AV477">
        <f t="shared" si="407"/>
        <v>-3.0437374184519039</v>
      </c>
      <c r="AW477">
        <f t="shared" si="408"/>
        <v>180.22120760935994</v>
      </c>
      <c r="AX477">
        <f t="shared" si="409"/>
        <v>-2499.075192278744</v>
      </c>
      <c r="AY477">
        <f t="shared" si="417"/>
        <v>-1.4988057919887432</v>
      </c>
      <c r="BA477">
        <f t="shared" si="398"/>
        <v>1.2184260934637881</v>
      </c>
      <c r="BB477">
        <f t="shared" si="410"/>
        <v>1.7159838230730515</v>
      </c>
      <c r="BC477">
        <f t="shared" si="411"/>
        <v>-1.5449316264631607</v>
      </c>
      <c r="BD477">
        <f t="shared" si="399"/>
        <v>-268.51806193376751</v>
      </c>
      <c r="BF477">
        <f t="shared" si="400"/>
        <v>-57.351821004373498</v>
      </c>
      <c r="BG477">
        <f t="shared" si="401"/>
        <v>-188.84080500855742</v>
      </c>
      <c r="BH477">
        <f t="shared" si="412"/>
        <v>-8.8408050085574246</v>
      </c>
      <c r="BI477">
        <f t="shared" si="413"/>
        <v>-8.8408050085574246</v>
      </c>
      <c r="BJ477">
        <f t="shared" si="402"/>
        <v>0</v>
      </c>
      <c r="BK477">
        <f t="shared" si="414"/>
        <v>0</v>
      </c>
      <c r="BM477">
        <f t="shared" si="415"/>
        <v>-59.067804827446544</v>
      </c>
      <c r="BN477">
        <f t="shared" si="403"/>
        <v>-100.32274307478987</v>
      </c>
      <c r="BQ477" s="66">
        <f t="shared" si="416"/>
        <v>18.617944623358188</v>
      </c>
    </row>
    <row r="478" spans="1:69" x14ac:dyDescent="0.15">
      <c r="A478">
        <f t="shared" si="420"/>
        <v>1320000</v>
      </c>
      <c r="B478">
        <f t="shared" si="404"/>
        <v>1320</v>
      </c>
      <c r="C478">
        <f t="shared" si="373"/>
        <v>5.5645037515613511</v>
      </c>
      <c r="D478">
        <f t="shared" si="374"/>
        <v>1.3901041292523444</v>
      </c>
      <c r="F478">
        <f t="shared" si="375"/>
        <v>1.3285882707114607E-5</v>
      </c>
      <c r="G478">
        <f t="shared" si="376"/>
        <v>1.1939045958749808E-3</v>
      </c>
      <c r="H478">
        <f t="shared" si="377"/>
        <v>-3.1403987454041253</v>
      </c>
      <c r="J478">
        <f t="shared" si="378"/>
        <v>15</v>
      </c>
      <c r="M478">
        <f t="shared" si="379"/>
        <v>7.2198758516492639E-4</v>
      </c>
      <c r="N478">
        <f t="shared" si="380"/>
        <v>-1.5707963250000001</v>
      </c>
      <c r="O478">
        <f t="shared" si="381"/>
        <v>561.07677206375308</v>
      </c>
      <c r="P478">
        <f t="shared" si="382"/>
        <v>1.5690140385605305</v>
      </c>
      <c r="Q478">
        <f t="shared" si="383"/>
        <v>253.94167808399789</v>
      </c>
      <c r="R478">
        <f t="shared" si="384"/>
        <v>1.5668584045440541</v>
      </c>
      <c r="S478">
        <f t="shared" si="385"/>
        <v>0.19148979844006309</v>
      </c>
      <c r="T478">
        <f t="shared" si="386"/>
        <v>-1.3781165168178393</v>
      </c>
      <c r="U478">
        <f t="shared" si="387"/>
        <v>9.8729421088883093E-2</v>
      </c>
      <c r="V478">
        <f t="shared" si="388"/>
        <v>-1.4719058038991226</v>
      </c>
      <c r="X478">
        <f t="shared" si="405"/>
        <v>-53.324273003579748</v>
      </c>
      <c r="Y478">
        <f t="shared" si="389"/>
        <v>-173.90648891973581</v>
      </c>
      <c r="Z478">
        <f t="shared" si="406"/>
        <v>6.093511080264193</v>
      </c>
      <c r="AC478">
        <v>1</v>
      </c>
      <c r="AD478">
        <f t="shared" si="390"/>
        <v>561.07588091939999</v>
      </c>
      <c r="AE478">
        <f t="shared" si="391"/>
        <v>-0.69801805798111038</v>
      </c>
      <c r="AF478">
        <f t="shared" si="392"/>
        <v>6.9253268376600008E-2</v>
      </c>
      <c r="AG478">
        <f t="shared" si="367"/>
        <v>77.553585887254755</v>
      </c>
      <c r="AH478">
        <f t="shared" si="368"/>
        <v>-796.11843170598979</v>
      </c>
      <c r="AJ478">
        <f t="shared" si="393"/>
        <v>20000</v>
      </c>
      <c r="AK478">
        <f t="shared" si="394"/>
        <v>102511.42480656</v>
      </c>
      <c r="AL478">
        <v>1</v>
      </c>
      <c r="AM478">
        <f t="shared" si="395"/>
        <v>253.93970912032802</v>
      </c>
      <c r="AN478">
        <f t="shared" si="369"/>
        <v>403.9879904271167</v>
      </c>
      <c r="AO478">
        <f t="shared" si="370"/>
        <v>-77.167970607887142</v>
      </c>
      <c r="AQ478">
        <f t="shared" si="396"/>
        <v>1.4348023653003952E-3</v>
      </c>
      <c r="AR478">
        <f t="shared" si="397"/>
        <v>-3.7878782443930437</v>
      </c>
      <c r="AT478">
        <f t="shared" si="418"/>
        <v>-3015.4884133509595</v>
      </c>
      <c r="AU478">
        <f t="shared" si="419"/>
        <v>-294.90581336587064</v>
      </c>
      <c r="AV478">
        <f t="shared" si="407"/>
        <v>-3.0441056310677137</v>
      </c>
      <c r="AW478">
        <f t="shared" si="408"/>
        <v>181.9160090223767</v>
      </c>
      <c r="AX478">
        <f t="shared" si="409"/>
        <v>-2489.6512643139044</v>
      </c>
      <c r="AY478">
        <f t="shared" si="417"/>
        <v>-1.4978570797152333</v>
      </c>
      <c r="BA478">
        <f t="shared" si="398"/>
        <v>1.2137517010557319</v>
      </c>
      <c r="BB478">
        <f t="shared" si="410"/>
        <v>1.6825970314804448</v>
      </c>
      <c r="BC478">
        <f t="shared" si="411"/>
        <v>-1.5462485513524804</v>
      </c>
      <c r="BD478">
        <f t="shared" si="399"/>
        <v>-268.5935161719475</v>
      </c>
      <c r="BF478">
        <f t="shared" si="400"/>
        <v>-57.41924071637446</v>
      </c>
      <c r="BG478">
        <f t="shared" si="401"/>
        <v>-188.87801069650675</v>
      </c>
      <c r="BH478">
        <f t="shared" si="412"/>
        <v>-8.8780106965067489</v>
      </c>
      <c r="BI478">
        <f t="shared" si="413"/>
        <v>-8.8780106965067489</v>
      </c>
      <c r="BJ478">
        <f t="shared" si="402"/>
        <v>0</v>
      </c>
      <c r="BK478">
        <f t="shared" si="414"/>
        <v>0</v>
      </c>
      <c r="BM478">
        <f t="shared" si="415"/>
        <v>-59.101837747854908</v>
      </c>
      <c r="BN478">
        <f t="shared" si="403"/>
        <v>-100.28449452455925</v>
      </c>
      <c r="BQ478" s="66">
        <f t="shared" si="416"/>
        <v>18.584557831765583</v>
      </c>
    </row>
    <row r="479" spans="1:69" x14ac:dyDescent="0.15">
      <c r="A479">
        <f t="shared" si="420"/>
        <v>1325000</v>
      </c>
      <c r="B479">
        <f t="shared" si="404"/>
        <v>1325</v>
      </c>
      <c r="C479">
        <f t="shared" si="373"/>
        <v>5.5849019385786862</v>
      </c>
      <c r="D479">
        <f t="shared" si="374"/>
        <v>1.3907713228164793</v>
      </c>
      <c r="F479">
        <f t="shared" si="375"/>
        <v>1.3185799814042482E-5</v>
      </c>
      <c r="G479">
        <f t="shared" si="376"/>
        <v>1.189399178790556E-3</v>
      </c>
      <c r="H479">
        <f t="shared" si="377"/>
        <v>-3.1404032508212096</v>
      </c>
      <c r="J479">
        <f t="shared" si="378"/>
        <v>15</v>
      </c>
      <c r="M479">
        <f t="shared" si="379"/>
        <v>7.192631037114738E-4</v>
      </c>
      <c r="N479">
        <f t="shared" si="380"/>
        <v>-1.5707963250000001</v>
      </c>
      <c r="O479">
        <f t="shared" si="381"/>
        <v>563.2020561286746</v>
      </c>
      <c r="P479">
        <f t="shared" si="382"/>
        <v>1.5690207641623468</v>
      </c>
      <c r="Q479">
        <f t="shared" si="383"/>
        <v>254.90356349158057</v>
      </c>
      <c r="R479">
        <f t="shared" si="384"/>
        <v>1.5668732644752625</v>
      </c>
      <c r="S479">
        <f t="shared" si="385"/>
        <v>0.19079354774914167</v>
      </c>
      <c r="T479">
        <f t="shared" si="386"/>
        <v>-1.3788258458073854</v>
      </c>
      <c r="U479">
        <f t="shared" si="387"/>
        <v>9.8360468470048534E-2</v>
      </c>
      <c r="V479">
        <f t="shared" si="388"/>
        <v>-1.47227656114352</v>
      </c>
      <c r="X479">
        <f t="shared" si="405"/>
        <v>-53.389490349536914</v>
      </c>
      <c r="Y479">
        <f t="shared" si="389"/>
        <v>-173.92916730857667</v>
      </c>
      <c r="Z479">
        <f t="shared" si="406"/>
        <v>6.0708326914233339</v>
      </c>
      <c r="AC479">
        <v>1</v>
      </c>
      <c r="AD479">
        <f t="shared" si="390"/>
        <v>563.20116834712508</v>
      </c>
      <c r="AE479">
        <f t="shared" si="391"/>
        <v>-0.70331608875291951</v>
      </c>
      <c r="AF479">
        <f t="shared" si="392"/>
        <v>6.9515591362875009E-2</v>
      </c>
      <c r="AG479">
        <f t="shared" si="367"/>
        <v>76.975032226609045</v>
      </c>
      <c r="AH479">
        <f t="shared" si="368"/>
        <v>-793.17139531226212</v>
      </c>
      <c r="AJ479">
        <f t="shared" si="393"/>
        <v>20000</v>
      </c>
      <c r="AK479">
        <f t="shared" si="394"/>
        <v>102899.72565810001</v>
      </c>
      <c r="AL479">
        <v>1</v>
      </c>
      <c r="AM479">
        <f t="shared" si="395"/>
        <v>254.901601957905</v>
      </c>
      <c r="AN479">
        <f t="shared" si="369"/>
        <v>403.98570133272403</v>
      </c>
      <c r="AO479">
        <f t="shared" si="370"/>
        <v>-76.87677969910682</v>
      </c>
      <c r="AQ479">
        <f t="shared" si="396"/>
        <v>1.423994101246835E-3</v>
      </c>
      <c r="AR479">
        <f t="shared" si="397"/>
        <v>-3.7735843683041126</v>
      </c>
      <c r="AT479">
        <f t="shared" si="418"/>
        <v>-2992.9895667444803</v>
      </c>
      <c r="AU479">
        <f t="shared" si="419"/>
        <v>-291.60124974823958</v>
      </c>
      <c r="AV479">
        <f t="shared" si="407"/>
        <v>-3.0444710920983122</v>
      </c>
      <c r="AW479">
        <f t="shared" si="408"/>
        <v>183.59158446841744</v>
      </c>
      <c r="AX479">
        <f t="shared" si="409"/>
        <v>-2480.2979920990874</v>
      </c>
      <c r="AY479">
        <f t="shared" si="417"/>
        <v>-1.496911097575772</v>
      </c>
      <c r="BA479">
        <f t="shared" si="398"/>
        <v>1.2091114649607844</v>
      </c>
      <c r="BB479">
        <f t="shared" si="410"/>
        <v>1.6493267845602015</v>
      </c>
      <c r="BC479">
        <f t="shared" si="411"/>
        <v>-1.5475599945225402</v>
      </c>
      <c r="BD479">
        <f t="shared" si="399"/>
        <v>-268.66865633074906</v>
      </c>
      <c r="BF479">
        <f t="shared" si="400"/>
        <v>-57.48640743292767</v>
      </c>
      <c r="BG479">
        <f t="shared" si="401"/>
        <v>-188.91518162130555</v>
      </c>
      <c r="BH479">
        <f t="shared" si="412"/>
        <v>-8.9151816213055497</v>
      </c>
      <c r="BI479">
        <f t="shared" si="413"/>
        <v>-8.9151816213055497</v>
      </c>
      <c r="BJ479">
        <f t="shared" si="402"/>
        <v>0</v>
      </c>
      <c r="BK479">
        <f t="shared" si="414"/>
        <v>0</v>
      </c>
      <c r="BM479">
        <f t="shared" si="415"/>
        <v>-59.135734217487865</v>
      </c>
      <c r="BN479">
        <f t="shared" si="403"/>
        <v>-100.24652529055651</v>
      </c>
      <c r="BQ479" s="66">
        <f t="shared" si="416"/>
        <v>18.551287584845337</v>
      </c>
    </row>
    <row r="480" spans="1:69" x14ac:dyDescent="0.15">
      <c r="A480">
        <f t="shared" si="420"/>
        <v>1330000</v>
      </c>
      <c r="B480">
        <f t="shared" si="404"/>
        <v>1330</v>
      </c>
      <c r="C480">
        <f t="shared" si="373"/>
        <v>5.6053025936048293</v>
      </c>
      <c r="D480">
        <f t="shared" si="374"/>
        <v>1.3914336601345194</v>
      </c>
      <c r="F480">
        <f t="shared" si="375"/>
        <v>1.3086843571308472E-5</v>
      </c>
      <c r="G480">
        <f t="shared" si="376"/>
        <v>1.1849276383315813E-3</v>
      </c>
      <c r="H480">
        <f t="shared" si="377"/>
        <v>-3.1404077223616684</v>
      </c>
      <c r="J480">
        <f t="shared" si="378"/>
        <v>15</v>
      </c>
      <c r="M480">
        <f t="shared" si="379"/>
        <v>7.1655910708097947E-4</v>
      </c>
      <c r="N480">
        <f t="shared" si="380"/>
        <v>-1.5707963250000001</v>
      </c>
      <c r="O480">
        <f t="shared" si="381"/>
        <v>565.32734021888018</v>
      </c>
      <c r="P480">
        <f t="shared" si="382"/>
        <v>1.5690274391958874</v>
      </c>
      <c r="Q480">
        <f t="shared" si="383"/>
        <v>255.86544895502726</v>
      </c>
      <c r="R480">
        <f t="shared" si="384"/>
        <v>1.5668880126793781</v>
      </c>
      <c r="S480">
        <f t="shared" si="385"/>
        <v>0.19010224719308347</v>
      </c>
      <c r="T480">
        <f t="shared" si="386"/>
        <v>-1.3795300349383317</v>
      </c>
      <c r="U480">
        <f t="shared" si="387"/>
        <v>9.7994249821911808E-2</v>
      </c>
      <c r="V480">
        <f t="shared" si="388"/>
        <v>-1.4726445576091907</v>
      </c>
      <c r="X480">
        <f t="shared" si="405"/>
        <v>-53.454465408695185</v>
      </c>
      <c r="Y480">
        <f t="shared" si="389"/>
        <v>-173.95167862450054</v>
      </c>
      <c r="Z480">
        <f t="shared" si="406"/>
        <v>6.0483213754994551</v>
      </c>
      <c r="AC480">
        <v>1</v>
      </c>
      <c r="AD480">
        <f t="shared" si="390"/>
        <v>565.32645577485005</v>
      </c>
      <c r="AE480">
        <f t="shared" si="391"/>
        <v>-0.70863414988681483</v>
      </c>
      <c r="AF480">
        <f t="shared" si="392"/>
        <v>6.9777914349150011E-2</v>
      </c>
      <c r="AG480">
        <f t="shared" si="367"/>
        <v>76.402907788287706</v>
      </c>
      <c r="AH480">
        <f t="shared" si="368"/>
        <v>-790.24588401309336</v>
      </c>
      <c r="AJ480">
        <f t="shared" si="393"/>
        <v>20000</v>
      </c>
      <c r="AK480">
        <f t="shared" si="394"/>
        <v>103288.02650964</v>
      </c>
      <c r="AL480">
        <v>1</v>
      </c>
      <c r="AM480">
        <f t="shared" si="395"/>
        <v>255.86349479548198</v>
      </c>
      <c r="AN480">
        <f t="shared" si="369"/>
        <v>403.98343800610098</v>
      </c>
      <c r="AO480">
        <f t="shared" si="370"/>
        <v>-76.587778094946614</v>
      </c>
      <c r="AQ480">
        <f t="shared" si="396"/>
        <v>1.4133075056097708E-3</v>
      </c>
      <c r="AR480">
        <f t="shared" si="397"/>
        <v>-3.7593979649219902</v>
      </c>
      <c r="AT480">
        <f t="shared" si="418"/>
        <v>-2970.7407873437746</v>
      </c>
      <c r="AU480">
        <f t="shared" si="419"/>
        <v>-288.34579649256426</v>
      </c>
      <c r="AV480">
        <f t="shared" si="407"/>
        <v>-3.0448338321711828</v>
      </c>
      <c r="AW480">
        <f t="shared" si="408"/>
        <v>185.24822391256862</v>
      </c>
      <c r="AX480">
        <f t="shared" si="409"/>
        <v>-2471.01458562782</v>
      </c>
      <c r="AY480">
        <f t="shared" si="417"/>
        <v>-1.4959678162616628</v>
      </c>
      <c r="BA480">
        <f t="shared" si="398"/>
        <v>1.2045050108263862</v>
      </c>
      <c r="BB480">
        <f t="shared" si="410"/>
        <v>1.6161722206801497</v>
      </c>
      <c r="BC480">
        <f t="shared" si="411"/>
        <v>-1.54886601590952</v>
      </c>
      <c r="BD480">
        <f t="shared" si="399"/>
        <v>-268.7434858442623</v>
      </c>
      <c r="BF480">
        <f t="shared" si="400"/>
        <v>-57.553323127250664</v>
      </c>
      <c r="BG480">
        <f t="shared" si="401"/>
        <v>-188.95231820223427</v>
      </c>
      <c r="BH480">
        <f t="shared" si="412"/>
        <v>-8.9523182022342667</v>
      </c>
      <c r="BI480">
        <f t="shared" si="413"/>
        <v>-8.9523182022342667</v>
      </c>
      <c r="BJ480">
        <f t="shared" si="402"/>
        <v>0</v>
      </c>
      <c r="BK480">
        <f t="shared" si="414"/>
        <v>0</v>
      </c>
      <c r="BM480">
        <f t="shared" si="415"/>
        <v>-59.16949534793082</v>
      </c>
      <c r="BN480">
        <f t="shared" si="403"/>
        <v>-100.20883235797193</v>
      </c>
      <c r="BQ480" s="66">
        <f t="shared" si="416"/>
        <v>18.518133020965287</v>
      </c>
    </row>
    <row r="481" spans="1:69" x14ac:dyDescent="0.15">
      <c r="A481">
        <f t="shared" si="420"/>
        <v>1335000</v>
      </c>
      <c r="B481">
        <f t="shared" si="404"/>
        <v>1335</v>
      </c>
      <c r="C481">
        <f t="shared" si="373"/>
        <v>5.6257056897903528</v>
      </c>
      <c r="D481">
        <f t="shared" si="374"/>
        <v>1.3920911934595062</v>
      </c>
      <c r="F481">
        <f t="shared" si="375"/>
        <v>1.2988997131551141E-5</v>
      </c>
      <c r="G481">
        <f t="shared" si="376"/>
        <v>1.1804895938423159E-3</v>
      </c>
      <c r="H481">
        <f t="shared" si="377"/>
        <v>-3.1404121604061577</v>
      </c>
      <c r="J481">
        <f t="shared" si="378"/>
        <v>15</v>
      </c>
      <c r="M481">
        <f t="shared" si="379"/>
        <v>7.1387536510689339E-4</v>
      </c>
      <c r="N481">
        <f t="shared" si="380"/>
        <v>-1.5707963250000001</v>
      </c>
      <c r="O481">
        <f t="shared" si="381"/>
        <v>567.45262433408584</v>
      </c>
      <c r="P481">
        <f t="shared" si="382"/>
        <v>1.5690340642293326</v>
      </c>
      <c r="Q481">
        <f t="shared" si="383"/>
        <v>256.82733447371027</v>
      </c>
      <c r="R481">
        <f t="shared" si="384"/>
        <v>1.5669026504117358</v>
      </c>
      <c r="S481">
        <f t="shared" si="385"/>
        <v>0.18941584520459465</v>
      </c>
      <c r="T481">
        <f t="shared" si="386"/>
        <v>-1.3802291391839265</v>
      </c>
      <c r="U481">
        <f t="shared" si="387"/>
        <v>9.7630735016068171E-2</v>
      </c>
      <c r="V481">
        <f t="shared" si="388"/>
        <v>-1.4730098239196665</v>
      </c>
      <c r="X481">
        <f t="shared" si="405"/>
        <v>-53.51919996317833</v>
      </c>
      <c r="Y481">
        <f t="shared" si="389"/>
        <v>-173.97402469529322</v>
      </c>
      <c r="Z481">
        <f t="shared" si="406"/>
        <v>6.0259753047067761</v>
      </c>
      <c r="AC481">
        <v>1</v>
      </c>
      <c r="AD481">
        <f t="shared" si="390"/>
        <v>567.45174320257513</v>
      </c>
      <c r="AE481">
        <f t="shared" si="391"/>
        <v>-0.71397224138279647</v>
      </c>
      <c r="AF481">
        <f t="shared" si="392"/>
        <v>7.0040237335425012E-2</v>
      </c>
      <c r="AG481">
        <f t="shared" si="367"/>
        <v>75.837117969999596</v>
      </c>
      <c r="AH481">
        <f t="shared" si="368"/>
        <v>-787.34166523391491</v>
      </c>
      <c r="AJ481">
        <f t="shared" si="393"/>
        <v>20000</v>
      </c>
      <c r="AK481">
        <f t="shared" si="394"/>
        <v>103676.32736118</v>
      </c>
      <c r="AL481">
        <v>1</v>
      </c>
      <c r="AM481">
        <f t="shared" si="395"/>
        <v>256.82538763305899</v>
      </c>
      <c r="AN481">
        <f t="shared" si="369"/>
        <v>403.98120006194728</v>
      </c>
      <c r="AO481">
        <f t="shared" si="370"/>
        <v>-76.300941197978432</v>
      </c>
      <c r="AQ481">
        <f t="shared" si="396"/>
        <v>1.402740759059496E-3</v>
      </c>
      <c r="AR481">
        <f t="shared" si="397"/>
        <v>-3.7453178266888543</v>
      </c>
      <c r="AT481">
        <f t="shared" si="418"/>
        <v>-2948.7383946790437</v>
      </c>
      <c r="AU481">
        <f t="shared" si="419"/>
        <v>-285.1385461028745</v>
      </c>
      <c r="AV481">
        <f t="shared" si="407"/>
        <v>-3.0451938814624335</v>
      </c>
      <c r="AW481">
        <f t="shared" si="408"/>
        <v>186.8862118693109</v>
      </c>
      <c r="AX481">
        <f t="shared" si="409"/>
        <v>-2461.8002666041748</v>
      </c>
      <c r="AY481">
        <f t="shared" si="417"/>
        <v>-1.4950272069138431</v>
      </c>
      <c r="BA481">
        <f t="shared" si="398"/>
        <v>1.1999319697140609</v>
      </c>
      <c r="BB481">
        <f t="shared" si="410"/>
        <v>1.5831324873641048</v>
      </c>
      <c r="BC481">
        <f t="shared" si="411"/>
        <v>-1.5501666745485905</v>
      </c>
      <c r="BD481">
        <f t="shared" si="399"/>
        <v>-268.81800809495348</v>
      </c>
      <c r="BF481">
        <f t="shared" si="400"/>
        <v>-57.619989749709013</v>
      </c>
      <c r="BG481">
        <f t="shared" si="401"/>
        <v>-188.98942084969019</v>
      </c>
      <c r="BH481">
        <f t="shared" si="412"/>
        <v>-8.9894208496901911</v>
      </c>
      <c r="BI481">
        <f t="shared" si="413"/>
        <v>-8.9894208496901911</v>
      </c>
      <c r="BJ481">
        <f t="shared" si="402"/>
        <v>0</v>
      </c>
      <c r="BK481">
        <f t="shared" si="414"/>
        <v>0</v>
      </c>
      <c r="BM481">
        <f t="shared" si="415"/>
        <v>-59.203122237073124</v>
      </c>
      <c r="BN481">
        <f t="shared" si="403"/>
        <v>-100.17141275473676</v>
      </c>
      <c r="BQ481" s="66">
        <f t="shared" si="416"/>
        <v>18.485093287649242</v>
      </c>
    </row>
    <row r="482" spans="1:69" x14ac:dyDescent="0.15">
      <c r="A482">
        <f t="shared" si="420"/>
        <v>1340000</v>
      </c>
      <c r="B482">
        <f t="shared" si="404"/>
        <v>1340</v>
      </c>
      <c r="C482">
        <f t="shared" si="373"/>
        <v>5.6461112006707364</v>
      </c>
      <c r="D482">
        <f t="shared" si="374"/>
        <v>1.3927439743058465</v>
      </c>
      <c r="F482">
        <f t="shared" si="375"/>
        <v>1.2892243961145798E-5</v>
      </c>
      <c r="G482">
        <f t="shared" si="376"/>
        <v>1.1760846703488075E-3</v>
      </c>
      <c r="H482">
        <f t="shared" si="377"/>
        <v>-3.1404165653296512</v>
      </c>
      <c r="J482">
        <f t="shared" si="378"/>
        <v>15</v>
      </c>
      <c r="M482">
        <f t="shared" si="379"/>
        <v>7.1121165105798715E-4</v>
      </c>
      <c r="N482">
        <f t="shared" si="380"/>
        <v>-1.5707963250000001</v>
      </c>
      <c r="O482">
        <f t="shared" si="381"/>
        <v>569.57790847401168</v>
      </c>
      <c r="P482">
        <f t="shared" si="382"/>
        <v>1.5690406398223826</v>
      </c>
      <c r="Q482">
        <f t="shared" si="383"/>
        <v>257.78922004701121</v>
      </c>
      <c r="R482">
        <f t="shared" si="384"/>
        <v>1.5669171789089347</v>
      </c>
      <c r="S482">
        <f t="shared" si="385"/>
        <v>0.18873429091491711</v>
      </c>
      <c r="T482">
        <f t="shared" si="386"/>
        <v>-1.3809232127462434</v>
      </c>
      <c r="U482">
        <f t="shared" si="387"/>
        <v>9.7269894362994283E-2</v>
      </c>
      <c r="V482">
        <f t="shared" si="388"/>
        <v>-1.4733723902486837</v>
      </c>
      <c r="X482">
        <f t="shared" si="405"/>
        <v>-53.583695775637366</v>
      </c>
      <c r="Y482">
        <f t="shared" si="389"/>
        <v>-173.99620732233839</v>
      </c>
      <c r="Z482">
        <f t="shared" si="406"/>
        <v>6.0037926776616075</v>
      </c>
      <c r="AC482">
        <v>1</v>
      </c>
      <c r="AD482">
        <f t="shared" si="390"/>
        <v>569.5770306303001</v>
      </c>
      <c r="AE482">
        <f t="shared" si="391"/>
        <v>-0.7193303632408643</v>
      </c>
      <c r="AF482">
        <f t="shared" si="392"/>
        <v>7.0302560321700014E-2</v>
      </c>
      <c r="AG482">
        <f t="shared" si="367"/>
        <v>75.277569897465554</v>
      </c>
      <c r="AH482">
        <f t="shared" si="368"/>
        <v>-784.45850970253639</v>
      </c>
      <c r="AJ482">
        <f t="shared" si="393"/>
        <v>20000</v>
      </c>
      <c r="AK482">
        <f t="shared" si="394"/>
        <v>104064.62821272</v>
      </c>
      <c r="AL482">
        <v>1</v>
      </c>
      <c r="AM482">
        <f t="shared" si="395"/>
        <v>257.78728047063601</v>
      </c>
      <c r="AN482">
        <f t="shared" si="369"/>
        <v>403.97898712213737</v>
      </c>
      <c r="AO482">
        <f t="shared" si="370"/>
        <v>-76.016244777872217</v>
      </c>
      <c r="AQ482">
        <f t="shared" si="396"/>
        <v>1.3922920761455676E-3</v>
      </c>
      <c r="AR482">
        <f t="shared" si="397"/>
        <v>-3.7313427640701207</v>
      </c>
      <c r="AT482">
        <f t="shared" si="418"/>
        <v>-2926.9787755277098</v>
      </c>
      <c r="AU482">
        <f t="shared" si="419"/>
        <v>-281.97861110081465</v>
      </c>
      <c r="AV482">
        <f t="shared" si="407"/>
        <v>-3.0455512697050531</v>
      </c>
      <c r="AW482">
        <f t="shared" si="408"/>
        <v>188.50582752510309</v>
      </c>
      <c r="AX482">
        <f t="shared" si="409"/>
        <v>-2452.6542682269874</v>
      </c>
      <c r="AY482">
        <f t="shared" si="417"/>
        <v>-1.4940892411143836</v>
      </c>
      <c r="BA482">
        <f t="shared" si="398"/>
        <v>1.1953919780027551</v>
      </c>
      <c r="BB482">
        <f t="shared" si="410"/>
        <v>1.5502067411657852</v>
      </c>
      <c r="BC482">
        <f t="shared" si="411"/>
        <v>-1.5514620285906695</v>
      </c>
      <c r="BD482">
        <f t="shared" si="399"/>
        <v>-268.89222641462459</v>
      </c>
      <c r="BF482">
        <f t="shared" si="400"/>
        <v>-57.686409228167797</v>
      </c>
      <c r="BG482">
        <f t="shared" si="401"/>
        <v>-189.02648996540185</v>
      </c>
      <c r="BH482">
        <f t="shared" si="412"/>
        <v>-9.0264899654018507</v>
      </c>
      <c r="BI482">
        <f t="shared" si="413"/>
        <v>-9.0264899654018507</v>
      </c>
      <c r="BJ482">
        <f t="shared" si="402"/>
        <v>0</v>
      </c>
      <c r="BK482">
        <f t="shared" si="414"/>
        <v>0</v>
      </c>
      <c r="BM482">
        <f t="shared" si="415"/>
        <v>-59.236615969333577</v>
      </c>
      <c r="BN482">
        <f t="shared" si="403"/>
        <v>-100.13426355077729</v>
      </c>
      <c r="BQ482" s="66">
        <f t="shared" si="416"/>
        <v>18.452167541450923</v>
      </c>
    </row>
    <row r="483" spans="1:69" x14ac:dyDescent="0.15">
      <c r="A483">
        <f t="shared" si="420"/>
        <v>1345000</v>
      </c>
      <c r="B483">
        <f t="shared" si="404"/>
        <v>1345</v>
      </c>
      <c r="C483">
        <f t="shared" si="373"/>
        <v>5.6665191001595483</v>
      </c>
      <c r="D483">
        <f t="shared" si="374"/>
        <v>1.393392053462166</v>
      </c>
      <c r="F483">
        <f t="shared" si="375"/>
        <v>1.2796567833219521E-5</v>
      </c>
      <c r="G483">
        <f t="shared" si="376"/>
        <v>1.1717124984532781E-3</v>
      </c>
      <c r="H483">
        <f t="shared" si="377"/>
        <v>-3.1404209375015468</v>
      </c>
      <c r="J483">
        <f t="shared" si="378"/>
        <v>15</v>
      </c>
      <c r="M483">
        <f t="shared" si="379"/>
        <v>7.0856774157450017E-4</v>
      </c>
      <c r="N483">
        <f t="shared" si="380"/>
        <v>-1.5707963250000001</v>
      </c>
      <c r="O483">
        <f t="shared" si="381"/>
        <v>571.70319263838223</v>
      </c>
      <c r="P483">
        <f t="shared" si="382"/>
        <v>1.569047166526415</v>
      </c>
      <c r="Q483">
        <f t="shared" si="383"/>
        <v>258.75110567432108</v>
      </c>
      <c r="R483">
        <f t="shared" si="384"/>
        <v>1.5669315993891866</v>
      </c>
      <c r="S483">
        <f t="shared" si="385"/>
        <v>0.1880575341423224</v>
      </c>
      <c r="T483">
        <f t="shared" si="386"/>
        <v>-1.3816123090694785</v>
      </c>
      <c r="U483">
        <f t="shared" si="387"/>
        <v>9.6911698604126045E-2</v>
      </c>
      <c r="V483">
        <f t="shared" si="388"/>
        <v>-1.4737322863283828</v>
      </c>
      <c r="X483">
        <f t="shared" si="405"/>
        <v>-53.647954589531622</v>
      </c>
      <c r="Y483">
        <f t="shared" si="389"/>
        <v>-174.01822828109027</v>
      </c>
      <c r="Z483">
        <f t="shared" si="406"/>
        <v>5.9817717189097266</v>
      </c>
      <c r="AC483">
        <v>1</v>
      </c>
      <c r="AD483">
        <f t="shared" si="390"/>
        <v>571.70231805802507</v>
      </c>
      <c r="AE483">
        <f t="shared" si="391"/>
        <v>-0.72470851546101833</v>
      </c>
      <c r="AF483">
        <f t="shared" si="392"/>
        <v>7.0564883307975015E-2</v>
      </c>
      <c r="AG483">
        <f t="shared" si="367"/>
        <v>74.724172386803488</v>
      </c>
      <c r="AH483">
        <f t="shared" si="368"/>
        <v>-781.59619139142455</v>
      </c>
      <c r="AJ483">
        <f t="shared" si="393"/>
        <v>20000</v>
      </c>
      <c r="AK483">
        <f t="shared" si="394"/>
        <v>104452.92906426001</v>
      </c>
      <c r="AL483">
        <v>1</v>
      </c>
      <c r="AM483">
        <f t="shared" si="395"/>
        <v>258.74917330821296</v>
      </c>
      <c r="AN483">
        <f t="shared" si="369"/>
        <v>403.97679881556058</v>
      </c>
      <c r="AO483">
        <f t="shared" si="370"/>
        <v>-75.733664964573023</v>
      </c>
      <c r="AQ483">
        <f t="shared" si="396"/>
        <v>1.3819597045425431E-3</v>
      </c>
      <c r="AR483">
        <f t="shared" si="397"/>
        <v>-3.7174716052194405</v>
      </c>
      <c r="AT483">
        <f t="shared" si="418"/>
        <v>-2905.4583824500864</v>
      </c>
      <c r="AU483">
        <f t="shared" si="419"/>
        <v>-278.86512351319146</v>
      </c>
      <c r="AV483">
        <f t="shared" si="407"/>
        <v>-3.0459060261969895</v>
      </c>
      <c r="AW483">
        <f t="shared" si="408"/>
        <v>190.10734485776106</v>
      </c>
      <c r="AX483">
        <f t="shared" si="409"/>
        <v>-2443.5758349788216</v>
      </c>
      <c r="AY483">
        <f t="shared" si="417"/>
        <v>-1.493153890878177</v>
      </c>
      <c r="BA483">
        <f t="shared" si="398"/>
        <v>1.1908846772942254</v>
      </c>
      <c r="BB483">
        <f t="shared" si="410"/>
        <v>1.5173941475448567</v>
      </c>
      <c r="BC483">
        <f t="shared" si="411"/>
        <v>-1.5527521353188125</v>
      </c>
      <c r="BD483">
        <f t="shared" si="399"/>
        <v>-268.96614408535311</v>
      </c>
      <c r="BF483">
        <f t="shared" si="400"/>
        <v>-57.752583468336269</v>
      </c>
      <c r="BG483">
        <f t="shared" si="401"/>
        <v>-189.06352594263765</v>
      </c>
      <c r="BH483">
        <f t="shared" si="412"/>
        <v>-9.0635259426376535</v>
      </c>
      <c r="BI483">
        <f t="shared" si="413"/>
        <v>-9.0635259426376535</v>
      </c>
      <c r="BJ483">
        <f t="shared" si="402"/>
        <v>0</v>
      </c>
      <c r="BK483">
        <f t="shared" si="414"/>
        <v>0</v>
      </c>
      <c r="BM483">
        <f t="shared" si="415"/>
        <v>-59.269977615881118</v>
      </c>
      <c r="BN483">
        <f t="shared" si="403"/>
        <v>-100.09738185728457</v>
      </c>
      <c r="BQ483" s="66">
        <f t="shared" si="416"/>
        <v>18.419354947829994</v>
      </c>
    </row>
    <row r="484" spans="1:69" x14ac:dyDescent="0.15">
      <c r="A484">
        <f t="shared" si="420"/>
        <v>1350000</v>
      </c>
      <c r="B484">
        <f t="shared" si="404"/>
        <v>1350</v>
      </c>
      <c r="C484">
        <f t="shared" si="373"/>
        <v>5.6869293625417816</v>
      </c>
      <c r="D484">
        <f t="shared" si="374"/>
        <v>1.3940354810038995</v>
      </c>
      <c r="F484">
        <f t="shared" si="375"/>
        <v>1.2701952820846883E-5</v>
      </c>
      <c r="G484">
        <f t="shared" si="376"/>
        <v>1.1673727142308529E-3</v>
      </c>
      <c r="H484">
        <f t="shared" si="377"/>
        <v>-3.1404252772857695</v>
      </c>
      <c r="J484">
        <f t="shared" si="378"/>
        <v>15</v>
      </c>
      <c r="M484">
        <f t="shared" si="379"/>
        <v>7.0594341660570566E-4</v>
      </c>
      <c r="N484">
        <f t="shared" si="380"/>
        <v>-1.5707963250000001</v>
      </c>
      <c r="O484">
        <f t="shared" si="381"/>
        <v>573.82847682692568</v>
      </c>
      <c r="P484">
        <f t="shared" si="382"/>
        <v>1.5690536448846391</v>
      </c>
      <c r="Q484">
        <f t="shared" si="383"/>
        <v>259.71299135503972</v>
      </c>
      <c r="R484">
        <f t="shared" si="384"/>
        <v>1.5669459130526557</v>
      </c>
      <c r="S484">
        <f t="shared" si="385"/>
        <v>0.18738552538082642</v>
      </c>
      <c r="T484">
        <f t="shared" si="386"/>
        <v>-1.3822964808529732</v>
      </c>
      <c r="U484">
        <f t="shared" si="387"/>
        <v>9.6556118904106633E-2</v>
      </c>
      <c r="V484">
        <f t="shared" si="388"/>
        <v>-1.4740895414573325</v>
      </c>
      <c r="X484">
        <f t="shared" si="405"/>
        <v>-53.711978129404841</v>
      </c>
      <c r="Y484">
        <f t="shared" si="389"/>
        <v>-174.04008932153522</v>
      </c>
      <c r="Z484">
        <f t="shared" si="406"/>
        <v>5.9599106784647802</v>
      </c>
      <c r="AC484">
        <v>1</v>
      </c>
      <c r="AD484">
        <f t="shared" si="390"/>
        <v>573.82760548575004</v>
      </c>
      <c r="AE484">
        <f t="shared" si="391"/>
        <v>-0.73010669804325867</v>
      </c>
      <c r="AF484">
        <f t="shared" si="392"/>
        <v>7.0827206294250017E-2</v>
      </c>
      <c r="AG484">
        <f t="shared" si="367"/>
        <v>74.176835907861843</v>
      </c>
      <c r="AH484">
        <f t="shared" si="368"/>
        <v>-778.75448746117559</v>
      </c>
      <c r="AJ484">
        <f t="shared" si="393"/>
        <v>20000</v>
      </c>
      <c r="AK484">
        <f t="shared" si="394"/>
        <v>104841.22991580001</v>
      </c>
      <c r="AL484">
        <v>1</v>
      </c>
      <c r="AM484">
        <f t="shared" si="395"/>
        <v>259.71106614579003</v>
      </c>
      <c r="AN484">
        <f t="shared" si="369"/>
        <v>403.97463477796578</v>
      </c>
      <c r="AO484">
        <f t="shared" si="370"/>
        <v>-75.453178241629928</v>
      </c>
      <c r="AQ484">
        <f t="shared" si="396"/>
        <v>1.3717419243152367E-3</v>
      </c>
      <c r="AR484">
        <f t="shared" si="397"/>
        <v>-3.7037031956511393</v>
      </c>
      <c r="AT484">
        <f t="shared" si="418"/>
        <v>-2884.1737323619932</v>
      </c>
      <c r="AU484">
        <f t="shared" si="419"/>
        <v>-275.79723437443721</v>
      </c>
      <c r="AV484">
        <f t="shared" si="407"/>
        <v>-3.0462581798090511</v>
      </c>
      <c r="AW484">
        <f t="shared" si="408"/>
        <v>191.69103275272414</v>
      </c>
      <c r="AX484">
        <f t="shared" si="409"/>
        <v>-2434.5642224195599</v>
      </c>
      <c r="AY484">
        <f t="shared" si="417"/>
        <v>-1.4922211286448153</v>
      </c>
      <c r="BA484">
        <f t="shared" si="398"/>
        <v>1.1864097143204133</v>
      </c>
      <c r="BB484">
        <f t="shared" si="410"/>
        <v>1.4846938807449952</v>
      </c>
      <c r="BC484">
        <f t="shared" si="411"/>
        <v>-1.5540370511642358</v>
      </c>
      <c r="BD484">
        <f t="shared" si="399"/>
        <v>-269.03976434040942</v>
      </c>
      <c r="BF484">
        <f t="shared" si="400"/>
        <v>-57.818514354106071</v>
      </c>
      <c r="BG484">
        <f t="shared" si="401"/>
        <v>-189.10052916640834</v>
      </c>
      <c r="BH484">
        <f t="shared" si="412"/>
        <v>-9.1005291664083359</v>
      </c>
      <c r="BI484">
        <f t="shared" si="413"/>
        <v>-9.1005291664083359</v>
      </c>
      <c r="BJ484">
        <f t="shared" si="402"/>
        <v>0</v>
      </c>
      <c r="BK484">
        <f t="shared" si="414"/>
        <v>0</v>
      </c>
      <c r="BM484">
        <f t="shared" si="415"/>
        <v>-59.303208234851056</v>
      </c>
      <c r="BN484">
        <f t="shared" si="403"/>
        <v>-100.06076482599887</v>
      </c>
      <c r="BQ484" s="66">
        <f t="shared" si="416"/>
        <v>18.386654681030134</v>
      </c>
    </row>
    <row r="485" spans="1:69" x14ac:dyDescent="0.15">
      <c r="A485">
        <f t="shared" si="420"/>
        <v>1355000</v>
      </c>
      <c r="B485">
        <f t="shared" si="404"/>
        <v>1355</v>
      </c>
      <c r="C485">
        <f t="shared" si="373"/>
        <v>5.7073419624673134</v>
      </c>
      <c r="D485">
        <f t="shared" si="374"/>
        <v>1.3946743063056237</v>
      </c>
      <c r="F485">
        <f t="shared" si="375"/>
        <v>1.2608383290421149E-5</v>
      </c>
      <c r="G485">
        <f t="shared" si="376"/>
        <v>1.1630649591285753E-3</v>
      </c>
      <c r="H485">
        <f t="shared" si="377"/>
        <v>-3.1404295850408714</v>
      </c>
      <c r="J485">
        <f t="shared" si="378"/>
        <v>15</v>
      </c>
      <c r="M485">
        <f t="shared" si="379"/>
        <v>7.0333845934885818E-4</v>
      </c>
      <c r="N485">
        <f t="shared" si="380"/>
        <v>-1.5707963250000001</v>
      </c>
      <c r="O485">
        <f t="shared" si="381"/>
        <v>575.9537610393744</v>
      </c>
      <c r="P485">
        <f t="shared" si="382"/>
        <v>1.5690600754322461</v>
      </c>
      <c r="Q485">
        <f t="shared" si="383"/>
        <v>260.6748770885759</v>
      </c>
      <c r="R485">
        <f t="shared" si="384"/>
        <v>1.5669601210817925</v>
      </c>
      <c r="S485">
        <f t="shared" si="385"/>
        <v>0.18671821578911987</v>
      </c>
      <c r="T485">
        <f t="shared" si="386"/>
        <v>-1.3829757800639757</v>
      </c>
      <c r="U485">
        <f t="shared" si="387"/>
        <v>9.620312684320019E-2</v>
      </c>
      <c r="V485">
        <f t="shared" si="388"/>
        <v>-1.4744441845083793</v>
      </c>
      <c r="X485">
        <f t="shared" si="405"/>
        <v>-53.775768101156281</v>
      </c>
      <c r="Y485">
        <f t="shared" si="389"/>
        <v>-174.06179216864464</v>
      </c>
      <c r="Z485">
        <f t="shared" si="406"/>
        <v>5.9382078313553563</v>
      </c>
      <c r="AC485">
        <v>1</v>
      </c>
      <c r="AD485">
        <f t="shared" si="390"/>
        <v>575.95289291347501</v>
      </c>
      <c r="AE485">
        <f t="shared" si="391"/>
        <v>-0.7355249109875851</v>
      </c>
      <c r="AF485">
        <f t="shared" si="392"/>
        <v>7.1089529280525005E-2</v>
      </c>
      <c r="AG485">
        <f t="shared" si="367"/>
        <v>73.635472548474738</v>
      </c>
      <c r="AH485">
        <f t="shared" si="368"/>
        <v>-775.93317820514721</v>
      </c>
      <c r="AJ485">
        <f t="shared" si="393"/>
        <v>20000</v>
      </c>
      <c r="AK485">
        <f t="shared" si="394"/>
        <v>105229.53076734001</v>
      </c>
      <c r="AL485">
        <v>1</v>
      </c>
      <c r="AM485">
        <f t="shared" si="395"/>
        <v>260.67295898336698</v>
      </c>
      <c r="AN485">
        <f t="shared" si="369"/>
        <v>403.97249465180988</v>
      </c>
      <c r="AO485">
        <f t="shared" si="370"/>
        <v>-75.174761439672665</v>
      </c>
      <c r="AQ485">
        <f t="shared" si="396"/>
        <v>1.3616370472029184E-3</v>
      </c>
      <c r="AR485">
        <f t="shared" si="397"/>
        <v>-3.6900363979199087</v>
      </c>
      <c r="AT485">
        <f t="shared" si="418"/>
        <v>-2863.121405143258</v>
      </c>
      <c r="AU485">
        <f t="shared" si="419"/>
        <v>-272.77411324350209</v>
      </c>
      <c r="AV485">
        <f t="shared" si="407"/>
        <v>-3.0466077589926375</v>
      </c>
      <c r="AW485">
        <f t="shared" si="408"/>
        <v>193.2571551163033</v>
      </c>
      <c r="AX485">
        <f t="shared" si="409"/>
        <v>-2425.6186969844994</v>
      </c>
      <c r="AY485">
        <f t="shared" si="417"/>
        <v>-1.491290927270648</v>
      </c>
      <c r="BA485">
        <f t="shared" si="398"/>
        <v>1.1819667408527692</v>
      </c>
      <c r="BB485">
        <f t="shared" si="410"/>
        <v>1.4521051236740121</v>
      </c>
      <c r="BC485">
        <f t="shared" si="411"/>
        <v>-1.5553168317219894</v>
      </c>
      <c r="BD485">
        <f t="shared" si="399"/>
        <v>-269.11309036515541</v>
      </c>
      <c r="BF485">
        <f t="shared" si="400"/>
        <v>-57.884203747882978</v>
      </c>
      <c r="BG485">
        <f t="shared" si="401"/>
        <v>-189.13750001366429</v>
      </c>
      <c r="BH485">
        <f t="shared" si="412"/>
        <v>-9.1375000136642939</v>
      </c>
      <c r="BI485">
        <f t="shared" si="413"/>
        <v>-9.1375000136642939</v>
      </c>
      <c r="BJ485">
        <f t="shared" si="402"/>
        <v>0</v>
      </c>
      <c r="BK485">
        <f t="shared" si="414"/>
        <v>0</v>
      </c>
      <c r="BM485">
        <f t="shared" si="415"/>
        <v>-59.336308871556994</v>
      </c>
      <c r="BN485">
        <f t="shared" si="403"/>
        <v>-100.02440964850888</v>
      </c>
      <c r="BQ485" s="66">
        <f t="shared" si="416"/>
        <v>18.354065923959148</v>
      </c>
    </row>
    <row r="486" spans="1:69" x14ac:dyDescent="0.15">
      <c r="A486">
        <f t="shared" si="420"/>
        <v>1360000</v>
      </c>
      <c r="B486">
        <f t="shared" si="404"/>
        <v>1360</v>
      </c>
      <c r="C486">
        <f t="shared" si="373"/>
        <v>5.7277568749445056</v>
      </c>
      <c r="D486">
        <f t="shared" si="374"/>
        <v>1.3953085780531365</v>
      </c>
      <c r="F486">
        <f t="shared" si="375"/>
        <v>1.2515843895195768E-5</v>
      </c>
      <c r="G486">
        <f t="shared" si="376"/>
        <v>1.1587888798666537E-3</v>
      </c>
      <c r="H486">
        <f t="shared" si="377"/>
        <v>-3.1404338611201337</v>
      </c>
      <c r="J486">
        <f t="shared" si="378"/>
        <v>15</v>
      </c>
      <c r="M486">
        <f t="shared" si="379"/>
        <v>7.0075265618948742E-4</v>
      </c>
      <c r="N486">
        <f t="shared" si="380"/>
        <v>-1.5707963250000001</v>
      </c>
      <c r="O486">
        <f t="shared" si="381"/>
        <v>578.07904527546498</v>
      </c>
      <c r="P486">
        <f t="shared" si="382"/>
        <v>1.5690664586965568</v>
      </c>
      <c r="Q486">
        <f t="shared" si="383"/>
        <v>261.63676287434714</v>
      </c>
      <c r="R486">
        <f t="shared" si="384"/>
        <v>1.5669742246416585</v>
      </c>
      <c r="S486">
        <f t="shared" si="385"/>
        <v>0.18605555717970934</v>
      </c>
      <c r="T486">
        <f t="shared" si="386"/>
        <v>-1.3836502579501435</v>
      </c>
      <c r="U486">
        <f t="shared" si="387"/>
        <v>9.5852694409867434E-2</v>
      </c>
      <c r="V486">
        <f t="shared" si="388"/>
        <v>-1.4747962439363267</v>
      </c>
      <c r="X486">
        <f t="shared" si="405"/>
        <v>-53.839326192307055</v>
      </c>
      <c r="Y486">
        <f t="shared" si="389"/>
        <v>-174.08333852281751</v>
      </c>
      <c r="Z486">
        <f t="shared" si="406"/>
        <v>5.9166614771824868</v>
      </c>
      <c r="AC486">
        <v>1</v>
      </c>
      <c r="AD486">
        <f t="shared" si="390"/>
        <v>578.0781803412001</v>
      </c>
      <c r="AE486">
        <f t="shared" si="391"/>
        <v>-0.74096315429399795</v>
      </c>
      <c r="AF486">
        <f t="shared" si="392"/>
        <v>7.1351852266800006E-2</v>
      </c>
      <c r="AG486">
        <f t="shared" si="367"/>
        <v>73.099995979612359</v>
      </c>
      <c r="AH486">
        <f t="shared" si="368"/>
        <v>-773.13204699522726</v>
      </c>
      <c r="AJ486">
        <f t="shared" si="393"/>
        <v>20000</v>
      </c>
      <c r="AK486">
        <f t="shared" si="394"/>
        <v>105617.83161887999</v>
      </c>
      <c r="AL486">
        <v>1</v>
      </c>
      <c r="AM486">
        <f t="shared" si="395"/>
        <v>261.63485182094399</v>
      </c>
      <c r="AN486">
        <f t="shared" si="369"/>
        <v>403.97037808610963</v>
      </c>
      <c r="AO486">
        <f t="shared" si="370"/>
        <v>-74.898391730031804</v>
      </c>
      <c r="AQ486">
        <f t="shared" si="396"/>
        <v>1.3516434159218998E-3</v>
      </c>
      <c r="AR486">
        <f t="shared" si="397"/>
        <v>-3.6764700913075679</v>
      </c>
      <c r="AT486">
        <f t="shared" si="418"/>
        <v>-2842.2980422810801</v>
      </c>
      <c r="AU486">
        <f t="shared" si="419"/>
        <v>-269.79494773470759</v>
      </c>
      <c r="AV486">
        <f t="shared" si="407"/>
        <v>-3.0469547917873037</v>
      </c>
      <c r="AW486">
        <f t="shared" si="408"/>
        <v>194.80597098599992</v>
      </c>
      <c r="AX486">
        <f t="shared" si="409"/>
        <v>-2416.7385357868388</v>
      </c>
      <c r="AY486">
        <f t="shared" si="417"/>
        <v>-1.4903632600210188</v>
      </c>
      <c r="BA486">
        <f t="shared" si="398"/>
        <v>1.1775554136134729</v>
      </c>
      <c r="BB486">
        <f t="shared" si="410"/>
        <v>1.4196270677859411</v>
      </c>
      <c r="BC486">
        <f t="shared" si="411"/>
        <v>-1.5565915317662848</v>
      </c>
      <c r="BD486">
        <f t="shared" si="399"/>
        <v>-269.18612529792216</v>
      </c>
      <c r="BF486">
        <f t="shared" si="400"/>
        <v>-57.94965349091234</v>
      </c>
      <c r="BG486">
        <f t="shared" si="401"/>
        <v>-189.17443885348749</v>
      </c>
      <c r="BH486">
        <f t="shared" si="412"/>
        <v>-9.1744388534874872</v>
      </c>
      <c r="BI486">
        <f t="shared" si="413"/>
        <v>-9.1744388534874872</v>
      </c>
      <c r="BJ486">
        <f t="shared" si="402"/>
        <v>0</v>
      </c>
      <c r="BK486">
        <f t="shared" si="414"/>
        <v>0</v>
      </c>
      <c r="BM486">
        <f t="shared" si="415"/>
        <v>-59.369280558698279</v>
      </c>
      <c r="BN486">
        <f t="shared" si="403"/>
        <v>-99.988313555565355</v>
      </c>
      <c r="BQ486" s="66">
        <f t="shared" si="416"/>
        <v>18.321587868071077</v>
      </c>
    </row>
    <row r="487" spans="1:69" x14ac:dyDescent="0.15">
      <c r="A487">
        <f t="shared" si="420"/>
        <v>1365000</v>
      </c>
      <c r="B487">
        <f t="shared" si="404"/>
        <v>1365</v>
      </c>
      <c r="C487">
        <f t="shared" si="373"/>
        <v>5.7481740753339512</v>
      </c>
      <c r="D487">
        <f t="shared" si="374"/>
        <v>1.395938344255292</v>
      </c>
      <c r="F487">
        <f t="shared" si="375"/>
        <v>1.2424319568991131E-5</v>
      </c>
      <c r="G487">
        <f t="shared" si="376"/>
        <v>1.1545441283418744E-3</v>
      </c>
      <c r="H487">
        <f t="shared" si="377"/>
        <v>-3.1404381058716582</v>
      </c>
      <c r="J487">
        <f t="shared" si="378"/>
        <v>15</v>
      </c>
      <c r="M487">
        <f t="shared" si="379"/>
        <v>6.9818579664300572E-4</v>
      </c>
      <c r="N487">
        <f t="shared" si="380"/>
        <v>-1.5707963250000001</v>
      </c>
      <c r="O487">
        <f t="shared" si="381"/>
        <v>580.2043295349373</v>
      </c>
      <c r="P487">
        <f t="shared" si="382"/>
        <v>1.5690727951971657</v>
      </c>
      <c r="Q487">
        <f t="shared" si="383"/>
        <v>262.59864871177939</v>
      </c>
      <c r="R487">
        <f t="shared" si="384"/>
        <v>1.5669882248802456</v>
      </c>
      <c r="S487">
        <f t="shared" si="385"/>
        <v>0.18539750200826505</v>
      </c>
      <c r="T487">
        <f t="shared" si="386"/>
        <v>-1.384319965051795</v>
      </c>
      <c r="U487">
        <f t="shared" si="387"/>
        <v>9.550479399349901E-2</v>
      </c>
      <c r="V487">
        <f t="shared" si="388"/>
        <v>-1.4751457477854517</v>
      </c>
      <c r="X487">
        <f t="shared" si="405"/>
        <v>-53.902654072261747</v>
      </c>
      <c r="Y487">
        <f t="shared" si="389"/>
        <v>-174.10473006031393</v>
      </c>
      <c r="Z487">
        <f t="shared" si="406"/>
        <v>5.8952699396860737</v>
      </c>
      <c r="AC487">
        <v>1</v>
      </c>
      <c r="AD487">
        <f t="shared" si="390"/>
        <v>580.20346776892507</v>
      </c>
      <c r="AE487">
        <f t="shared" si="391"/>
        <v>-0.74642142796249689</v>
      </c>
      <c r="AF487">
        <f t="shared" si="392"/>
        <v>7.1614175253075008E-2</v>
      </c>
      <c r="AG487">
        <f t="shared" si="367"/>
        <v>72.570321421401005</v>
      </c>
      <c r="AH487">
        <f t="shared" si="368"/>
        <v>-770.35088022871105</v>
      </c>
      <c r="AJ487">
        <f t="shared" si="393"/>
        <v>20000</v>
      </c>
      <c r="AK487">
        <f t="shared" si="394"/>
        <v>106006.13247041999</v>
      </c>
      <c r="AL487">
        <v>1</v>
      </c>
      <c r="AM487">
        <f t="shared" si="395"/>
        <v>262.596744658521</v>
      </c>
      <c r="AN487">
        <f t="shared" si="369"/>
        <v>403.96828473629859</v>
      </c>
      <c r="AO487">
        <f t="shared" si="370"/>
        <v>-74.624046618499591</v>
      </c>
      <c r="AQ487">
        <f t="shared" si="396"/>
        <v>1.3417594034859715E-3</v>
      </c>
      <c r="AR487">
        <f t="shared" si="397"/>
        <v>-3.663003171516702</v>
      </c>
      <c r="AT487">
        <f t="shared" si="418"/>
        <v>-2821.7003455472704</v>
      </c>
      <c r="AU487">
        <f t="shared" si="419"/>
        <v>-266.85894306210889</v>
      </c>
      <c r="AV487">
        <f t="shared" si="407"/>
        <v>-3.0472993058281617</v>
      </c>
      <c r="AW487">
        <f t="shared" si="408"/>
        <v>196.33773463798153</v>
      </c>
      <c r="AX487">
        <f t="shared" si="409"/>
        <v>-2407.9230264244507</v>
      </c>
      <c r="AY487">
        <f t="shared" si="417"/>
        <v>-1.4894381005626742</v>
      </c>
      <c r="BA487">
        <f t="shared" si="398"/>
        <v>1.173175394188509</v>
      </c>
      <c r="BB487">
        <f t="shared" si="410"/>
        <v>1.387258912965097</v>
      </c>
      <c r="BC487">
        <f t="shared" si="411"/>
        <v>-1.5578612052654874</v>
      </c>
      <c r="BD487">
        <f t="shared" si="399"/>
        <v>-269.2588722308692</v>
      </c>
      <c r="BF487">
        <f t="shared" si="400"/>
        <v>-58.014865403598399</v>
      </c>
      <c r="BG487">
        <f t="shared" si="401"/>
        <v>-189.21134604727752</v>
      </c>
      <c r="BH487">
        <f t="shared" si="412"/>
        <v>-9.2113460472775159</v>
      </c>
      <c r="BI487">
        <f t="shared" si="413"/>
        <v>-9.2113460472775159</v>
      </c>
      <c r="BJ487">
        <f t="shared" si="402"/>
        <v>0</v>
      </c>
      <c r="BK487">
        <f t="shared" si="414"/>
        <v>0</v>
      </c>
      <c r="BM487">
        <f t="shared" si="415"/>
        <v>-59.402124316563501</v>
      </c>
      <c r="BN487">
        <f t="shared" si="403"/>
        <v>-99.952473816408343</v>
      </c>
      <c r="BQ487" s="66">
        <f t="shared" si="416"/>
        <v>18.289219713250237</v>
      </c>
    </row>
    <row r="488" spans="1:69" x14ac:dyDescent="0.15">
      <c r="A488">
        <f t="shared" si="420"/>
        <v>1370000</v>
      </c>
      <c r="B488">
        <f t="shared" si="404"/>
        <v>1370</v>
      </c>
      <c r="C488">
        <f t="shared" si="373"/>
        <v>5.76859353934233</v>
      </c>
      <c r="D488">
        <f t="shared" si="374"/>
        <v>1.3965636522555935</v>
      </c>
      <c r="F488">
        <f t="shared" si="375"/>
        <v>1.2333795520061841E-5</v>
      </c>
      <c r="G488">
        <f t="shared" si="376"/>
        <v>1.1503303615331313E-3</v>
      </c>
      <c r="H488">
        <f t="shared" si="377"/>
        <v>-3.140442319638467</v>
      </c>
      <c r="J488">
        <f t="shared" si="378"/>
        <v>15</v>
      </c>
      <c r="M488">
        <f t="shared" si="379"/>
        <v>6.9563767329759328E-4</v>
      </c>
      <c r="N488">
        <f t="shared" si="380"/>
        <v>-1.5707963250000001</v>
      </c>
      <c r="O488">
        <f t="shared" si="381"/>
        <v>582.32961381753546</v>
      </c>
      <c r="P488">
        <f t="shared" si="382"/>
        <v>1.5690790854460823</v>
      </c>
      <c r="Q488">
        <f t="shared" si="383"/>
        <v>263.56053460030694</v>
      </c>
      <c r="R488">
        <f t="shared" si="384"/>
        <v>1.5670021229287865</v>
      </c>
      <c r="S488">
        <f t="shared" si="385"/>
        <v>0.1847440033631704</v>
      </c>
      <c r="T488">
        <f t="shared" si="386"/>
        <v>-1.3849849512139143</v>
      </c>
      <c r="U488">
        <f t="shared" si="387"/>
        <v>9.5159398377302779E-2</v>
      </c>
      <c r="V488">
        <f t="shared" si="388"/>
        <v>-1.4754927236968569</v>
      </c>
      <c r="X488">
        <f t="shared" si="405"/>
        <v>-53.965753392565396</v>
      </c>
      <c r="Y488">
        <f t="shared" si="389"/>
        <v>-174.12596843367953</v>
      </c>
      <c r="Z488">
        <f t="shared" si="406"/>
        <v>5.8740315663204683</v>
      </c>
      <c r="AC488">
        <v>1</v>
      </c>
      <c r="AD488">
        <f t="shared" si="390"/>
        <v>582.32875519665015</v>
      </c>
      <c r="AE488">
        <f t="shared" si="391"/>
        <v>-0.75189973199308213</v>
      </c>
      <c r="AF488">
        <f t="shared" si="392"/>
        <v>7.1876498239350009E-2</v>
      </c>
      <c r="AG488">
        <f t="shared" ref="AG488:AG551" si="421">AC488*AE488/(AE488^2+AF488^2)+AD488*AF488/(AE488^2+AF488^2)</f>
        <v>72.046365609988129</v>
      </c>
      <c r="AH488">
        <f t="shared" ref="AH488:AH551" si="422">AD488*AE488/(AE488^2+AF488^2)-AC488*AF488/(AE488^2+AF488^2)</f>
        <v>-767.5894672762596</v>
      </c>
      <c r="AJ488">
        <f t="shared" si="393"/>
        <v>20000</v>
      </c>
      <c r="AK488">
        <f t="shared" si="394"/>
        <v>106394.43332196001</v>
      </c>
      <c r="AL488">
        <v>1</v>
      </c>
      <c r="AM488">
        <f t="shared" si="395"/>
        <v>263.55863749609796</v>
      </c>
      <c r="AN488">
        <f t="shared" ref="AN488:AN551" si="423">AJ488*AL488/(AL488^2+AM488^2)+AK488*AM488/(AL488^2+AM488^2)</f>
        <v>403.96621426408581</v>
      </c>
      <c r="AO488">
        <f t="shared" ref="AO488:AO551" si="424">AK488*AL488/(AL488^2+AM488^2)-AJ488*AM488/(AL488^2+AM488^2)</f>
        <v>-74.351703939226951</v>
      </c>
      <c r="AQ488">
        <f t="shared" si="396"/>
        <v>1.3319834125441669E-3</v>
      </c>
      <c r="AR488">
        <f t="shared" si="397"/>
        <v>-3.6496345503710175</v>
      </c>
      <c r="AT488">
        <f t="shared" si="418"/>
        <v>-2801.3250757083943</v>
      </c>
      <c r="AU488">
        <f t="shared" si="419"/>
        <v>-263.96532159693055</v>
      </c>
      <c r="AV488">
        <f t="shared" si="407"/>
        <v>-3.0476413283531221</v>
      </c>
      <c r="AW488">
        <f t="shared" si="408"/>
        <v>197.85269569179681</v>
      </c>
      <c r="AX488">
        <f t="shared" si="409"/>
        <v>-2399.1714667908227</v>
      </c>
      <c r="AY488">
        <f t="shared" si="417"/>
        <v>-1.4885154229563413</v>
      </c>
      <c r="BA488">
        <f t="shared" si="398"/>
        <v>1.1688263489425466</v>
      </c>
      <c r="BB488">
        <f t="shared" si="410"/>
        <v>1.3549998674120165</v>
      </c>
      <c r="BC488">
        <f t="shared" si="411"/>
        <v>-1.5591259053967808</v>
      </c>
      <c r="BD488">
        <f t="shared" si="399"/>
        <v>-269.33133421082471</v>
      </c>
      <c r="BF488">
        <f t="shared" si="400"/>
        <v>-58.079841285817679</v>
      </c>
      <c r="BG488">
        <f t="shared" si="401"/>
        <v>-189.24822194893335</v>
      </c>
      <c r="BH488">
        <f t="shared" si="412"/>
        <v>-9.2482219489333488</v>
      </c>
      <c r="BI488">
        <f t="shared" si="413"/>
        <v>-9.2482219489333488</v>
      </c>
      <c r="BJ488">
        <f t="shared" si="402"/>
        <v>0</v>
      </c>
      <c r="BK488">
        <f t="shared" si="414"/>
        <v>0</v>
      </c>
      <c r="BM488">
        <f t="shared" si="415"/>
        <v>-59.434841153229698</v>
      </c>
      <c r="BN488">
        <f t="shared" si="403"/>
        <v>-99.916887738108628</v>
      </c>
      <c r="BQ488" s="66">
        <f t="shared" si="416"/>
        <v>18.256960667697154</v>
      </c>
    </row>
    <row r="489" spans="1:69" x14ac:dyDescent="0.15">
      <c r="A489">
        <f t="shared" si="420"/>
        <v>1375000</v>
      </c>
      <c r="B489">
        <f t="shared" si="404"/>
        <v>1375</v>
      </c>
      <c r="C489">
        <f t="shared" si="373"/>
        <v>5.7890152430164017</v>
      </c>
      <c r="D489">
        <f t="shared" si="374"/>
        <v>1.3971845487435544</v>
      </c>
      <c r="F489">
        <f t="shared" si="375"/>
        <v>1.2244257225119822E-5</v>
      </c>
      <c r="G489">
        <f t="shared" si="376"/>
        <v>1.1461472414090183E-3</v>
      </c>
      <c r="H489">
        <f t="shared" si="377"/>
        <v>-3.1404465027585911</v>
      </c>
      <c r="J489">
        <f t="shared" si="378"/>
        <v>15</v>
      </c>
      <c r="M489">
        <f t="shared" si="379"/>
        <v>6.9310808175832928E-4</v>
      </c>
      <c r="N489">
        <f t="shared" si="380"/>
        <v>-1.5707963250000001</v>
      </c>
      <c r="O489">
        <f t="shared" si="381"/>
        <v>584.45489812300718</v>
      </c>
      <c r="P489">
        <f t="shared" si="382"/>
        <v>1.5690853299478686</v>
      </c>
      <c r="Q489">
        <f t="shared" si="383"/>
        <v>264.5224205393726</v>
      </c>
      <c r="R489">
        <f t="shared" si="384"/>
        <v>1.5670159199020608</v>
      </c>
      <c r="S489">
        <f t="shared" si="385"/>
        <v>0.1840950149552695</v>
      </c>
      <c r="T489">
        <f t="shared" si="386"/>
        <v>-1.3856452655979163</v>
      </c>
      <c r="U489">
        <f t="shared" si="387"/>
        <v>9.4816480731341121E-2</v>
      </c>
      <c r="V489">
        <f t="shared" si="388"/>
        <v>-1.4758371989156691</v>
      </c>
      <c r="X489">
        <f t="shared" si="405"/>
        <v>-54.028625787155924</v>
      </c>
      <c r="Y489">
        <f t="shared" si="389"/>
        <v>-174.147055272161</v>
      </c>
      <c r="Z489">
        <f t="shared" si="406"/>
        <v>5.8529447278390023</v>
      </c>
      <c r="AC489">
        <v>1</v>
      </c>
      <c r="AD489">
        <f t="shared" si="390"/>
        <v>584.45404262437512</v>
      </c>
      <c r="AE489">
        <f t="shared" si="391"/>
        <v>-0.75739806638575369</v>
      </c>
      <c r="AF489">
        <f t="shared" si="392"/>
        <v>7.2138821225625011E-2</v>
      </c>
      <c r="AG489">
        <f t="shared" si="421"/>
        <v>71.528046765228979</v>
      </c>
      <c r="AH489">
        <f t="shared" si="422"/>
        <v>-764.84760043091694</v>
      </c>
      <c r="AJ489">
        <f t="shared" si="393"/>
        <v>20000</v>
      </c>
      <c r="AK489">
        <f t="shared" si="394"/>
        <v>106782.73417350001</v>
      </c>
      <c r="AL489">
        <v>1</v>
      </c>
      <c r="AM489">
        <f t="shared" si="395"/>
        <v>264.52053033367497</v>
      </c>
      <c r="AN489">
        <f t="shared" si="423"/>
        <v>403.96416633731991</v>
      </c>
      <c r="AO489">
        <f t="shared" si="424"/>
        <v>-74.081341848754008</v>
      </c>
      <c r="AQ489">
        <f t="shared" si="396"/>
        <v>1.3223138747353554E-3</v>
      </c>
      <c r="AR489">
        <f t="shared" si="397"/>
        <v>-3.6363631555222273</v>
      </c>
      <c r="AT489">
        <f t="shared" si="418"/>
        <v>-2781.1690512679024</v>
      </c>
      <c r="AU489">
        <f t="shared" si="419"/>
        <v>-261.11332243765736</v>
      </c>
      <c r="AV489">
        <f t="shared" si="407"/>
        <v>-3.0479808862099853</v>
      </c>
      <c r="AW489">
        <f t="shared" si="408"/>
        <v>199.35109921241346</v>
      </c>
      <c r="AX489">
        <f t="shared" si="409"/>
        <v>-2390.4831648900722</v>
      </c>
      <c r="AY489">
        <f t="shared" si="417"/>
        <v>-1.4875952016494687</v>
      </c>
      <c r="BA489">
        <f t="shared" si="398"/>
        <v>1.1645079489355865</v>
      </c>
      <c r="BB489">
        <f t="shared" si="410"/>
        <v>1.322849147531292</v>
      </c>
      <c r="BC489">
        <f t="shared" si="411"/>
        <v>-1.5603856845605166</v>
      </c>
      <c r="BD489">
        <f t="shared" si="399"/>
        <v>-269.40351424010782</v>
      </c>
      <c r="BF489">
        <f t="shared" si="400"/>
        <v>-58.144582917226373</v>
      </c>
      <c r="BG489">
        <f t="shared" si="401"/>
        <v>-189.28506690502968</v>
      </c>
      <c r="BH489">
        <f t="shared" si="412"/>
        <v>-9.2850669050296801</v>
      </c>
      <c r="BI489">
        <f t="shared" si="413"/>
        <v>-9.2850669050296801</v>
      </c>
      <c r="BJ489">
        <f t="shared" si="402"/>
        <v>0</v>
      </c>
      <c r="BK489">
        <f t="shared" si="414"/>
        <v>0</v>
      </c>
      <c r="BM489">
        <f t="shared" si="415"/>
        <v>-59.467432064757666</v>
      </c>
      <c r="BN489">
        <f t="shared" si="403"/>
        <v>-99.881552664921912</v>
      </c>
      <c r="BQ489" s="66">
        <f t="shared" si="416"/>
        <v>18.224809947816428</v>
      </c>
    </row>
    <row r="490" spans="1:69" x14ac:dyDescent="0.15">
      <c r="A490">
        <f t="shared" si="420"/>
        <v>1380000</v>
      </c>
      <c r="B490">
        <f t="shared" si="404"/>
        <v>1380</v>
      </c>
      <c r="C490">
        <f t="shared" si="373"/>
        <v>5.8094391627371307</v>
      </c>
      <c r="D490">
        <f t="shared" si="374"/>
        <v>1.3978010797658256</v>
      </c>
      <c r="F490">
        <f t="shared" si="375"/>
        <v>1.2155690423508705E-5</v>
      </c>
      <c r="G490">
        <f t="shared" si="376"/>
        <v>1.1419944348374301E-3</v>
      </c>
      <c r="H490">
        <f t="shared" si="377"/>
        <v>-3.1404506555651626</v>
      </c>
      <c r="J490">
        <f t="shared" si="378"/>
        <v>15</v>
      </c>
      <c r="M490">
        <f t="shared" si="379"/>
        <v>6.9059682059253828E-4</v>
      </c>
      <c r="N490">
        <f t="shared" si="380"/>
        <v>-1.5707963250000001</v>
      </c>
      <c r="O490">
        <f t="shared" si="381"/>
        <v>586.58018245110406</v>
      </c>
      <c r="P490">
        <f t="shared" si="382"/>
        <v>1.5690915291997738</v>
      </c>
      <c r="Q490">
        <f t="shared" si="383"/>
        <v>265.48430652842694</v>
      </c>
      <c r="R490">
        <f t="shared" si="384"/>
        <v>1.5670296168986912</v>
      </c>
      <c r="S490">
        <f t="shared" si="385"/>
        <v>0.18345049110780795</v>
      </c>
      <c r="T490">
        <f t="shared" si="386"/>
        <v>-1.3863009566931761</v>
      </c>
      <c r="U490">
        <f t="shared" si="387"/>
        <v>9.4476014605714753E-2</v>
      </c>
      <c r="V490">
        <f t="shared" si="388"/>
        <v>-1.4761792002980818</v>
      </c>
      <c r="X490">
        <f t="shared" si="405"/>
        <v>-54.091272872612294</v>
      </c>
      <c r="Y490">
        <f t="shared" si="389"/>
        <v>-174.1679921821129</v>
      </c>
      <c r="Z490">
        <f t="shared" si="406"/>
        <v>5.8320078178871029</v>
      </c>
      <c r="AC490">
        <v>1</v>
      </c>
      <c r="AD490">
        <f t="shared" si="390"/>
        <v>586.57933005210009</v>
      </c>
      <c r="AE490">
        <f t="shared" si="391"/>
        <v>-0.762916431140511</v>
      </c>
      <c r="AF490">
        <f t="shared" si="392"/>
        <v>7.2401144211900012E-2</v>
      </c>
      <c r="AG490">
        <f t="shared" si="421"/>
        <v>71.015284559171235</v>
      </c>
      <c r="AH490">
        <f t="shared" si="422"/>
        <v>-762.12507485816025</v>
      </c>
      <c r="AJ490">
        <f t="shared" si="393"/>
        <v>20000</v>
      </c>
      <c r="AK490">
        <f t="shared" si="394"/>
        <v>107171.03502504001</v>
      </c>
      <c r="AL490">
        <v>1</v>
      </c>
      <c r="AM490">
        <f t="shared" si="395"/>
        <v>265.48242317125204</v>
      </c>
      <c r="AN490">
        <f t="shared" si="423"/>
        <v>403.9621406298557</v>
      </c>
      <c r="AO490">
        <f t="shared" si="424"/>
        <v>-73.812938820170146</v>
      </c>
      <c r="AQ490">
        <f t="shared" si="396"/>
        <v>1.3127492500591721E-3</v>
      </c>
      <c r="AR490">
        <f t="shared" si="397"/>
        <v>-3.6231879301633154</v>
      </c>
      <c r="AT490">
        <f t="shared" si="418"/>
        <v>-2761.2291472393513</v>
      </c>
      <c r="AU490">
        <f t="shared" si="419"/>
        <v>-258.30220099237386</v>
      </c>
      <c r="AV490">
        <f t="shared" si="407"/>
        <v>-3.0483180058633756</v>
      </c>
      <c r="AW490">
        <f t="shared" si="408"/>
        <v>200.83318580965368</v>
      </c>
      <c r="AX490">
        <f t="shared" si="409"/>
        <v>-2381.8574386559271</v>
      </c>
      <c r="AY490">
        <f t="shared" si="417"/>
        <v>-1.4866774114691268</v>
      </c>
      <c r="BA490">
        <f t="shared" si="398"/>
        <v>1.1602198698413342</v>
      </c>
      <c r="BB490">
        <f t="shared" si="410"/>
        <v>1.2908059778212628</v>
      </c>
      <c r="BC490">
        <f t="shared" si="411"/>
        <v>-1.5616405943942488</v>
      </c>
      <c r="BD490">
        <f t="shared" si="399"/>
        <v>-269.47541527733227</v>
      </c>
      <c r="BF490">
        <f t="shared" si="400"/>
        <v>-58.209092057562124</v>
      </c>
      <c r="BG490">
        <f t="shared" si="401"/>
        <v>-189.32188125498874</v>
      </c>
      <c r="BH490">
        <f t="shared" si="412"/>
        <v>-9.3218812549887389</v>
      </c>
      <c r="BI490">
        <f t="shared" si="413"/>
        <v>-9.3218812549887389</v>
      </c>
      <c r="BJ490">
        <f t="shared" si="402"/>
        <v>0</v>
      </c>
      <c r="BK490">
        <f t="shared" si="414"/>
        <v>0</v>
      </c>
      <c r="BM490">
        <f t="shared" si="415"/>
        <v>-59.499898035383382</v>
      </c>
      <c r="BN490">
        <f t="shared" si="403"/>
        <v>-99.846465977656479</v>
      </c>
      <c r="BQ490" s="66">
        <f t="shared" si="416"/>
        <v>18.1927667781064</v>
      </c>
    </row>
    <row r="491" spans="1:69" x14ac:dyDescent="0.15">
      <c r="A491">
        <f t="shared" si="420"/>
        <v>1385000</v>
      </c>
      <c r="B491">
        <f t="shared" si="404"/>
        <v>1385</v>
      </c>
      <c r="C491">
        <f t="shared" si="373"/>
        <v>5.8298652752139137</v>
      </c>
      <c r="D491">
        <f t="shared" si="374"/>
        <v>1.3984132907371045</v>
      </c>
      <c r="F491">
        <f t="shared" si="375"/>
        <v>1.2068081111525206E-5</v>
      </c>
      <c r="G491">
        <f t="shared" si="376"/>
        <v>1.1378716134971181E-3</v>
      </c>
      <c r="H491">
        <f t="shared" si="377"/>
        <v>-3.1404547783865029</v>
      </c>
      <c r="J491">
        <f t="shared" si="378"/>
        <v>15</v>
      </c>
      <c r="M491">
        <f t="shared" si="379"/>
        <v>6.8810369127631974E-4</v>
      </c>
      <c r="N491">
        <f t="shared" si="380"/>
        <v>-1.5707963250000001</v>
      </c>
      <c r="O491">
        <f t="shared" si="381"/>
        <v>588.70546680158077</v>
      </c>
      <c r="P491">
        <f t="shared" si="382"/>
        <v>1.5690976836918671</v>
      </c>
      <c r="Q491">
        <f t="shared" si="383"/>
        <v>266.44619256692852</v>
      </c>
      <c r="R491">
        <f t="shared" si="384"/>
        <v>1.5670432150014375</v>
      </c>
      <c r="S491">
        <f t="shared" si="385"/>
        <v>0.1828103867465633</v>
      </c>
      <c r="T491">
        <f t="shared" si="386"/>
        <v>-1.38695207232833</v>
      </c>
      <c r="U491">
        <f t="shared" si="387"/>
        <v>9.4137973923889631E-2</v>
      </c>
      <c r="V491">
        <f t="shared" si="388"/>
        <v>-1.4765187543182501</v>
      </c>
      <c r="X491">
        <f t="shared" si="405"/>
        <v>-54.15369624839812</v>
      </c>
      <c r="Y491">
        <f t="shared" si="389"/>
        <v>-174.18878074739612</v>
      </c>
      <c r="Z491">
        <f t="shared" si="406"/>
        <v>5.8112192526038768</v>
      </c>
      <c r="AC491">
        <v>1</v>
      </c>
      <c r="AD491">
        <f t="shared" si="390"/>
        <v>588.70461747982506</v>
      </c>
      <c r="AE491">
        <f t="shared" si="391"/>
        <v>-0.76845482625735495</v>
      </c>
      <c r="AF491">
        <f t="shared" si="392"/>
        <v>7.2663467198175014E-2</v>
      </c>
      <c r="AG491">
        <f t="shared" si="421"/>
        <v>70.50800008531499</v>
      </c>
      <c r="AH491">
        <f t="shared" si="422"/>
        <v>-759.42168854695433</v>
      </c>
      <c r="AJ491">
        <f t="shared" si="393"/>
        <v>20000</v>
      </c>
      <c r="AK491">
        <f t="shared" si="394"/>
        <v>107559.33587657999</v>
      </c>
      <c r="AL491">
        <v>1</v>
      </c>
      <c r="AM491">
        <f t="shared" si="395"/>
        <v>266.44431600882899</v>
      </c>
      <c r="AN491">
        <f t="shared" si="423"/>
        <v>403.96013682142438</v>
      </c>
      <c r="AO491">
        <f t="shared" si="424"/>
        <v>-73.546473637400595</v>
      </c>
      <c r="AQ491">
        <f t="shared" si="396"/>
        <v>1.3032880262628178E-3</v>
      </c>
      <c r="AR491">
        <f t="shared" si="397"/>
        <v>-3.610107832748005</v>
      </c>
      <c r="AT491">
        <f t="shared" si="418"/>
        <v>-2741.5022939498085</v>
      </c>
      <c r="AU491">
        <f t="shared" si="419"/>
        <v>-255.53122857296017</v>
      </c>
      <c r="AV491">
        <f t="shared" si="407"/>
        <v>-3.0486527134015344</v>
      </c>
      <c r="AW491">
        <f t="shared" si="408"/>
        <v>202.29919173510521</v>
      </c>
      <c r="AX491">
        <f t="shared" si="409"/>
        <v>-2373.2936157745726</v>
      </c>
      <c r="AY491">
        <f t="shared" si="417"/>
        <v>-1.4857620276150656</v>
      </c>
      <c r="BA491">
        <f t="shared" si="398"/>
        <v>1.1559617918672456</v>
      </c>
      <c r="BB491">
        <f t="shared" si="410"/>
        <v>1.2588695907654506</v>
      </c>
      <c r="BC491">
        <f t="shared" si="411"/>
        <v>-1.5628906857864688</v>
      </c>
      <c r="BD491">
        <f t="shared" si="399"/>
        <v>-269.54704023819397</v>
      </c>
      <c r="BF491">
        <f t="shared" si="400"/>
        <v>-58.273370446940177</v>
      </c>
      <c r="BG491">
        <f t="shared" si="401"/>
        <v>-189.35866533124721</v>
      </c>
      <c r="BH491">
        <f t="shared" si="412"/>
        <v>-9.3586653312472095</v>
      </c>
      <c r="BI491">
        <f t="shared" si="413"/>
        <v>-9.3586653312472095</v>
      </c>
      <c r="BJ491">
        <f t="shared" si="402"/>
        <v>0</v>
      </c>
      <c r="BK491">
        <f t="shared" si="414"/>
        <v>0</v>
      </c>
      <c r="BM491">
        <f t="shared" si="415"/>
        <v>-59.53224003770562</v>
      </c>
      <c r="BN491">
        <f t="shared" si="403"/>
        <v>-99.811625093053252</v>
      </c>
      <c r="BQ491" s="66">
        <f t="shared" si="416"/>
        <v>18.160830391050588</v>
      </c>
    </row>
    <row r="492" spans="1:69" x14ac:dyDescent="0.15">
      <c r="A492">
        <f t="shared" si="420"/>
        <v>1390000</v>
      </c>
      <c r="B492">
        <f t="shared" si="404"/>
        <v>1390</v>
      </c>
      <c r="C492">
        <f t="shared" si="373"/>
        <v>5.8502935574789383</v>
      </c>
      <c r="D492">
        <f t="shared" si="374"/>
        <v>1.3990212264508202</v>
      </c>
      <c r="F492">
        <f t="shared" si="375"/>
        <v>1.1981415536883227E-5</v>
      </c>
      <c r="G492">
        <f t="shared" si="376"/>
        <v>1.1337784537911622E-3</v>
      </c>
      <c r="H492">
        <f t="shared" si="377"/>
        <v>-3.1404588715462092</v>
      </c>
      <c r="J492">
        <f t="shared" si="378"/>
        <v>15</v>
      </c>
      <c r="M492">
        <f t="shared" si="379"/>
        <v>6.8562849814223219E-4</v>
      </c>
      <c r="N492">
        <f t="shared" si="380"/>
        <v>-1.5707963250000001</v>
      </c>
      <c r="O492">
        <f t="shared" si="381"/>
        <v>590.83075117419594</v>
      </c>
      <c r="P492">
        <f t="shared" si="382"/>
        <v>1.5691037939071664</v>
      </c>
      <c r="Q492">
        <f t="shared" si="383"/>
        <v>267.4080786543438</v>
      </c>
      <c r="R492">
        <f t="shared" si="384"/>
        <v>1.5670567152774795</v>
      </c>
      <c r="S492">
        <f t="shared" si="385"/>
        <v>0.1821746573901605</v>
      </c>
      <c r="T492">
        <f t="shared" si="386"/>
        <v>-1.3875986596823515</v>
      </c>
      <c r="U492">
        <f t="shared" si="387"/>
        <v>9.3802332976162944E-2</v>
      </c>
      <c r="V492">
        <f t="shared" si="388"/>
        <v>-1.4768558870750399</v>
      </c>
      <c r="X492">
        <f t="shared" si="405"/>
        <v>-54.215897497101217</v>
      </c>
      <c r="Y492">
        <f t="shared" si="389"/>
        <v>-174.2094225297682</v>
      </c>
      <c r="Z492">
        <f t="shared" si="406"/>
        <v>5.7905774702317956</v>
      </c>
      <c r="AC492">
        <v>1</v>
      </c>
      <c r="AD492">
        <f t="shared" si="390"/>
        <v>590.82990490755003</v>
      </c>
      <c r="AE492">
        <f t="shared" si="391"/>
        <v>-0.7740132517362851</v>
      </c>
      <c r="AF492">
        <f t="shared" si="392"/>
        <v>7.2925790184450001E-2</v>
      </c>
      <c r="AG492">
        <f t="shared" si="421"/>
        <v>70.006115828627756</v>
      </c>
      <c r="AH492">
        <f t="shared" si="422"/>
        <v>-756.73724226179809</v>
      </c>
      <c r="AJ492">
        <f t="shared" si="393"/>
        <v>20000</v>
      </c>
      <c r="AK492">
        <f t="shared" si="394"/>
        <v>107947.63672811999</v>
      </c>
      <c r="AL492">
        <v>1</v>
      </c>
      <c r="AM492">
        <f t="shared" si="395"/>
        <v>267.406208846406</v>
      </c>
      <c r="AN492">
        <f t="shared" si="423"/>
        <v>403.95815459750662</v>
      </c>
      <c r="AO492">
        <f t="shared" si="424"/>
        <v>-73.281925389616347</v>
      </c>
      <c r="AQ492">
        <f t="shared" si="396"/>
        <v>1.2939287182432693E-3</v>
      </c>
      <c r="AR492">
        <f t="shared" si="397"/>
        <v>-3.5971218367162883</v>
      </c>
      <c r="AT492">
        <f t="shared" si="418"/>
        <v>-2721.9854758726547</v>
      </c>
      <c r="AU492">
        <f t="shared" si="419"/>
        <v>-252.79969200077346</v>
      </c>
      <c r="AV492">
        <f t="shared" si="407"/>
        <v>-3.0489850345429654</v>
      </c>
      <c r="AW492">
        <f t="shared" si="408"/>
        <v>203.74934897657977</v>
      </c>
      <c r="AX492">
        <f t="shared" si="409"/>
        <v>-2364.7910335112756</v>
      </c>
      <c r="AY492">
        <f t="shared" si="417"/>
        <v>-1.4848490256529214</v>
      </c>
      <c r="BA492">
        <f t="shared" si="398"/>
        <v>1.1517333996762245</v>
      </c>
      <c r="BB492">
        <f t="shared" si="410"/>
        <v>1.2270392267258321</v>
      </c>
      <c r="BC492">
        <f t="shared" si="411"/>
        <v>-1.564136008890044</v>
      </c>
      <c r="BD492">
        <f t="shared" si="399"/>
        <v>-269.61839199624046</v>
      </c>
      <c r="BF492">
        <f t="shared" si="400"/>
        <v>-58.33741980614397</v>
      </c>
      <c r="BG492">
        <f t="shared" si="401"/>
        <v>-189.39541945941903</v>
      </c>
      <c r="BH492">
        <f t="shared" si="412"/>
        <v>-9.3954194594190312</v>
      </c>
      <c r="BI492">
        <f t="shared" si="413"/>
        <v>-9.3954194594190312</v>
      </c>
      <c r="BJ492">
        <f t="shared" si="402"/>
        <v>0</v>
      </c>
      <c r="BK492">
        <f t="shared" si="414"/>
        <v>0</v>
      </c>
      <c r="BM492">
        <f t="shared" si="415"/>
        <v>-59.564459032869792</v>
      </c>
      <c r="BN492">
        <f t="shared" si="403"/>
        <v>-99.777027463178598</v>
      </c>
      <c r="BQ492" s="66">
        <f t="shared" si="416"/>
        <v>18.129000027010967</v>
      </c>
    </row>
    <row r="493" spans="1:69" x14ac:dyDescent="0.15">
      <c r="A493">
        <f t="shared" si="420"/>
        <v>1395000</v>
      </c>
      <c r="B493">
        <f t="shared" si="404"/>
        <v>1395</v>
      </c>
      <c r="C493">
        <f t="shared" si="373"/>
        <v>5.8707239868816501</v>
      </c>
      <c r="D493">
        <f t="shared" si="374"/>
        <v>1.3996249310896085</v>
      </c>
      <c r="F493">
        <f t="shared" si="375"/>
        <v>1.1895680193316589E-5</v>
      </c>
      <c r="G493">
        <f t="shared" si="376"/>
        <v>1.1297146367622956E-3</v>
      </c>
      <c r="H493">
        <f t="shared" si="377"/>
        <v>-3.1404629353632378</v>
      </c>
      <c r="J493">
        <f t="shared" si="378"/>
        <v>15</v>
      </c>
      <c r="M493">
        <f t="shared" si="379"/>
        <v>6.8317104832810237E-4</v>
      </c>
      <c r="N493">
        <f t="shared" si="380"/>
        <v>-1.5707963250000001</v>
      </c>
      <c r="O493">
        <f t="shared" si="381"/>
        <v>592.9560355687114</v>
      </c>
      <c r="P493">
        <f t="shared" si="382"/>
        <v>1.5691098603217639</v>
      </c>
      <c r="Q493">
        <f t="shared" si="383"/>
        <v>268.36996479014687</v>
      </c>
      <c r="R493">
        <f t="shared" si="384"/>
        <v>1.5670701187786975</v>
      </c>
      <c r="S493">
        <f t="shared" si="385"/>
        <v>0.18154325914056924</v>
      </c>
      <c r="T493">
        <f t="shared" si="386"/>
        <v>-1.388240765295409</v>
      </c>
      <c r="U493">
        <f t="shared" si="387"/>
        <v>9.3469066413265411E-2</v>
      </c>
      <c r="V493">
        <f t="shared" si="388"/>
        <v>-1.4771906242986335</v>
      </c>
      <c r="X493">
        <f t="shared" si="405"/>
        <v>-54.2778781846689</v>
      </c>
      <c r="Y493">
        <f t="shared" si="389"/>
        <v>-174.22991906926501</v>
      </c>
      <c r="Z493">
        <f t="shared" si="406"/>
        <v>5.7700809307349914</v>
      </c>
      <c r="AC493">
        <v>1</v>
      </c>
      <c r="AD493">
        <f t="shared" si="390"/>
        <v>592.95519233527511</v>
      </c>
      <c r="AE493">
        <f t="shared" si="391"/>
        <v>-0.77959170757730156</v>
      </c>
      <c r="AF493">
        <f t="shared" si="392"/>
        <v>7.3188113170725003E-2</v>
      </c>
      <c r="AG493">
        <f t="shared" si="421"/>
        <v>69.509555636291822</v>
      </c>
      <c r="AH493">
        <f t="shared" si="422"/>
        <v>-754.0715394957283</v>
      </c>
      <c r="AJ493">
        <f t="shared" si="393"/>
        <v>20000</v>
      </c>
      <c r="AK493">
        <f t="shared" si="394"/>
        <v>108335.93757966001</v>
      </c>
      <c r="AL493">
        <v>1</v>
      </c>
      <c r="AM493">
        <f t="shared" si="395"/>
        <v>268.36810168398301</v>
      </c>
      <c r="AN493">
        <f t="shared" si="423"/>
        <v>403.95619364920947</v>
      </c>
      <c r="AO493">
        <f t="shared" si="424"/>
        <v>-73.019273465764286</v>
      </c>
      <c r="AQ493">
        <f t="shared" si="396"/>
        <v>1.2846698674644638E-3</v>
      </c>
      <c r="AR493">
        <f t="shared" si="397"/>
        <v>-3.5842289302258541</v>
      </c>
      <c r="AT493">
        <f t="shared" si="418"/>
        <v>-2702.6757304889106</v>
      </c>
      <c r="AU493">
        <f t="shared" si="419"/>
        <v>-250.10689322344342</v>
      </c>
      <c r="AV493">
        <f t="shared" si="407"/>
        <v>-3.049314994642943</v>
      </c>
      <c r="AW493">
        <f t="shared" si="408"/>
        <v>205.18388535019034</v>
      </c>
      <c r="AX493">
        <f t="shared" si="409"/>
        <v>-2356.3490385406858</v>
      </c>
      <c r="AY493">
        <f t="shared" si="417"/>
        <v>-1.4839383815075748</v>
      </c>
      <c r="BA493">
        <f t="shared" si="398"/>
        <v>1.1475343823099178</v>
      </c>
      <c r="BB493">
        <f t="shared" si="410"/>
        <v>1.1953141338378095</v>
      </c>
      <c r="BC493">
        <f t="shared" si="411"/>
        <v>-1.5653766131353681</v>
      </c>
      <c r="BD493">
        <f t="shared" si="399"/>
        <v>-269.68947338362477</v>
      </c>
      <c r="BF493">
        <f t="shared" si="400"/>
        <v>-58.401241836910472</v>
      </c>
      <c r="BG493">
        <f t="shared" si="401"/>
        <v>-189.43214395845351</v>
      </c>
      <c r="BH493">
        <f t="shared" si="412"/>
        <v>-9.4321439584535085</v>
      </c>
      <c r="BI493">
        <f t="shared" si="413"/>
        <v>-9.4321439584535085</v>
      </c>
      <c r="BJ493">
        <f t="shared" si="402"/>
        <v>0</v>
      </c>
      <c r="BK493">
        <f t="shared" si="414"/>
        <v>0</v>
      </c>
      <c r="BM493">
        <f t="shared" si="415"/>
        <v>-59.596555970748284</v>
      </c>
      <c r="BN493">
        <f t="shared" si="403"/>
        <v>-99.74267057482875</v>
      </c>
      <c r="BQ493" s="66">
        <f t="shared" si="416"/>
        <v>18.097274934122947</v>
      </c>
    </row>
    <row r="494" spans="1:69" x14ac:dyDescent="0.15">
      <c r="A494">
        <f t="shared" si="420"/>
        <v>1400000</v>
      </c>
      <c r="B494">
        <f t="shared" si="404"/>
        <v>1400</v>
      </c>
      <c r="C494">
        <f t="shared" si="373"/>
        <v>5.8911565410833431</v>
      </c>
      <c r="D494">
        <f t="shared" si="374"/>
        <v>1.4002244482355757</v>
      </c>
      <c r="F494">
        <f t="shared" si="375"/>
        <v>1.181086181531649E-5</v>
      </c>
      <c r="G494">
        <f t="shared" si="376"/>
        <v>1.1256798480100501E-3</v>
      </c>
      <c r="H494">
        <f t="shared" si="377"/>
        <v>-3.1404669701519903</v>
      </c>
      <c r="J494">
        <f t="shared" si="378"/>
        <v>15</v>
      </c>
      <c r="M494">
        <f t="shared" si="379"/>
        <v>6.8073115172693056E-4</v>
      </c>
      <c r="N494">
        <f t="shared" si="380"/>
        <v>-1.5707963250000001</v>
      </c>
      <c r="O494">
        <f t="shared" si="381"/>
        <v>595.08131998489284</v>
      </c>
      <c r="P494">
        <f t="shared" si="382"/>
        <v>1.5691158834049515</v>
      </c>
      <c r="Q494">
        <f t="shared" si="383"/>
        <v>269.3318509738192</v>
      </c>
      <c r="R494">
        <f t="shared" si="384"/>
        <v>1.5670834265419458</v>
      </c>
      <c r="S494">
        <f t="shared" si="385"/>
        <v>0.1809161486737785</v>
      </c>
      <c r="T494">
        <f t="shared" si="386"/>
        <v>-1.3888784350795076</v>
      </c>
      <c r="U494">
        <f t="shared" si="387"/>
        <v>9.3138149240096446E-2</v>
      </c>
      <c r="V494">
        <f t="shared" si="388"/>
        <v>-1.4775229913569985</v>
      </c>
      <c r="X494">
        <f t="shared" si="405"/>
        <v>-54.339639860639217</v>
      </c>
      <c r="Y494">
        <f t="shared" si="389"/>
        <v>-174.25027188457554</v>
      </c>
      <c r="Z494">
        <f t="shared" si="406"/>
        <v>5.7497281154244604</v>
      </c>
      <c r="AC494">
        <v>1</v>
      </c>
      <c r="AD494">
        <f t="shared" si="390"/>
        <v>595.08047976300008</v>
      </c>
      <c r="AE494">
        <f t="shared" si="391"/>
        <v>-0.78519019378040411</v>
      </c>
      <c r="AF494">
        <f t="shared" si="392"/>
        <v>7.3450436157000004E-2</v>
      </c>
      <c r="AG494">
        <f t="shared" si="421"/>
        <v>69.018244689164504</v>
      </c>
      <c r="AH494">
        <f t="shared" si="422"/>
        <v>-751.42438642426566</v>
      </c>
      <c r="AJ494">
        <f t="shared" si="393"/>
        <v>20000</v>
      </c>
      <c r="AK494">
        <f t="shared" si="394"/>
        <v>108724.23843120001</v>
      </c>
      <c r="AL494">
        <v>1</v>
      </c>
      <c r="AM494">
        <f t="shared" si="395"/>
        <v>269.32999452155997</v>
      </c>
      <c r="AN494">
        <f t="shared" si="423"/>
        <v>403.95425367314584</v>
      </c>
      <c r="AO494">
        <f t="shared" si="424"/>
        <v>-72.758497549214425</v>
      </c>
      <c r="AQ494">
        <f t="shared" si="396"/>
        <v>1.2755100413890253E-3</v>
      </c>
      <c r="AR494">
        <f t="shared" si="397"/>
        <v>-3.5714281158892711</v>
      </c>
      <c r="AT494">
        <f t="shared" si="418"/>
        <v>-2683.5701471763264</v>
      </c>
      <c r="AU494">
        <f t="shared" si="419"/>
        <v>-247.45214894243622</v>
      </c>
      <c r="AV494">
        <f t="shared" si="407"/>
        <v>-3.049642618699882</v>
      </c>
      <c r="AW494">
        <f t="shared" si="408"/>
        <v>206.60302459011493</v>
      </c>
      <c r="AX494">
        <f t="shared" si="409"/>
        <v>-2347.9669867807224</v>
      </c>
      <c r="AY494">
        <f t="shared" si="417"/>
        <v>-1.4830300714566491</v>
      </c>
      <c r="BA494">
        <f t="shared" si="398"/>
        <v>1.1433644331135773</v>
      </c>
      <c r="BB494">
        <f t="shared" si="410"/>
        <v>1.1636935679068936</v>
      </c>
      <c r="BC494">
        <f t="shared" si="411"/>
        <v>-1.5666125472432328</v>
      </c>
      <c r="BD494">
        <f t="shared" si="399"/>
        <v>-269.76028719184262</v>
      </c>
      <c r="BF494">
        <f t="shared" si="400"/>
        <v>-58.464838222210233</v>
      </c>
      <c r="BG494">
        <f t="shared" si="401"/>
        <v>-189.46883914078944</v>
      </c>
      <c r="BH494">
        <f t="shared" si="412"/>
        <v>-9.4688391407894414</v>
      </c>
      <c r="BI494">
        <f t="shared" si="413"/>
        <v>-9.4688391407894414</v>
      </c>
      <c r="BJ494">
        <f t="shared" si="402"/>
        <v>0</v>
      </c>
      <c r="BK494">
        <f t="shared" si="414"/>
        <v>0</v>
      </c>
      <c r="BM494">
        <f t="shared" si="415"/>
        <v>-59.62853179011713</v>
      </c>
      <c r="BN494">
        <f t="shared" si="403"/>
        <v>-99.708551948946862</v>
      </c>
      <c r="BQ494" s="66">
        <f t="shared" si="416"/>
        <v>18.065654368192028</v>
      </c>
    </row>
    <row r="495" spans="1:69" x14ac:dyDescent="0.15">
      <c r="A495">
        <f t="shared" si="420"/>
        <v>1405000</v>
      </c>
      <c r="B495">
        <f t="shared" si="404"/>
        <v>1405</v>
      </c>
      <c r="C495">
        <f t="shared" si="373"/>
        <v>5.9115911980518412</v>
      </c>
      <c r="D495">
        <f t="shared" si="374"/>
        <v>1.4008198208803608</v>
      </c>
      <c r="F495">
        <f t="shared" si="375"/>
        <v>1.1726947372999798E-5</v>
      </c>
      <c r="G495">
        <f t="shared" si="376"/>
        <v>1.1216737776096682E-3</v>
      </c>
      <c r="H495">
        <f t="shared" si="377"/>
        <v>-3.1404709762223906</v>
      </c>
      <c r="J495">
        <f t="shared" si="378"/>
        <v>15</v>
      </c>
      <c r="M495">
        <f t="shared" si="379"/>
        <v>6.7830862093786674E-4</v>
      </c>
      <c r="N495">
        <f t="shared" si="380"/>
        <v>-1.5707963250000001</v>
      </c>
      <c r="O495">
        <f t="shared" si="381"/>
        <v>597.20660442250846</v>
      </c>
      <c r="P495">
        <f t="shared" si="382"/>
        <v>1.56912186361934</v>
      </c>
      <c r="Q495">
        <f t="shared" si="383"/>
        <v>270.29373720484983</v>
      </c>
      <c r="R495">
        <f t="shared" si="384"/>
        <v>1.5670966395893189</v>
      </c>
      <c r="S495">
        <f t="shared" si="385"/>
        <v>0.18029328323064533</v>
      </c>
      <c r="T495">
        <f t="shared" si="386"/>
        <v>-1.3895117143289244</v>
      </c>
      <c r="U495">
        <f t="shared" si="387"/>
        <v>9.2809556809588536E-2</v>
      </c>
      <c r="V495">
        <f t="shared" si="388"/>
        <v>-1.4778530132622201</v>
      </c>
      <c r="X495">
        <f t="shared" si="405"/>
        <v>-54.40118405836828</v>
      </c>
      <c r="Y495">
        <f t="shared" si="389"/>
        <v>-174.27048247340812</v>
      </c>
      <c r="Z495">
        <f t="shared" si="406"/>
        <v>5.7295175265918772</v>
      </c>
      <c r="AC495">
        <v>1</v>
      </c>
      <c r="AD495">
        <f t="shared" si="390"/>
        <v>597.20576719072506</v>
      </c>
      <c r="AE495">
        <f t="shared" si="391"/>
        <v>-0.79080871034559308</v>
      </c>
      <c r="AF495">
        <f t="shared" si="392"/>
        <v>7.3712759143275006E-2</v>
      </c>
      <c r="AG495">
        <f t="shared" si="421"/>
        <v>68.53210947393157</v>
      </c>
      <c r="AH495">
        <f t="shared" si="422"/>
        <v>-748.79559186027939</v>
      </c>
      <c r="AJ495">
        <f t="shared" si="393"/>
        <v>20000</v>
      </c>
      <c r="AK495">
        <f t="shared" si="394"/>
        <v>109112.53928274001</v>
      </c>
      <c r="AL495">
        <v>1</v>
      </c>
      <c r="AM495">
        <f t="shared" si="395"/>
        <v>270.29188735913698</v>
      </c>
      <c r="AN495">
        <f t="shared" si="423"/>
        <v>403.95233437131731</v>
      </c>
      <c r="AO495">
        <f t="shared" si="424"/>
        <v>-72.499577612521563</v>
      </c>
      <c r="AQ495">
        <f t="shared" si="396"/>
        <v>1.2664478329241229E-3</v>
      </c>
      <c r="AR495">
        <f t="shared" si="397"/>
        <v>-3.5587184105167853</v>
      </c>
      <c r="AT495">
        <f t="shared" si="418"/>
        <v>-2664.6658661254601</v>
      </c>
      <c r="AU495">
        <f t="shared" si="419"/>
        <v>-244.83479025104666</v>
      </c>
      <c r="AV495">
        <f t="shared" si="407"/>
        <v>-3.0499679313615751</v>
      </c>
      <c r="AW495">
        <f t="shared" si="408"/>
        <v>208.00698643611375</v>
      </c>
      <c r="AX495">
        <f t="shared" si="409"/>
        <v>-2339.6442432299709</v>
      </c>
      <c r="AY495">
        <f t="shared" si="417"/>
        <v>-1.4821240721241518</v>
      </c>
      <c r="BA495">
        <f t="shared" si="398"/>
        <v>1.1392232496624501</v>
      </c>
      <c r="BB495">
        <f t="shared" si="410"/>
        <v>1.1321767923070614</v>
      </c>
      <c r="BC495">
        <f t="shared" si="411"/>
        <v>-1.5678438592374233</v>
      </c>
      <c r="BD495">
        <f t="shared" si="399"/>
        <v>-269.83083617245416</v>
      </c>
      <c r="BF495">
        <f t="shared" si="400"/>
        <v>-58.528210626522259</v>
      </c>
      <c r="BG495">
        <f t="shared" si="401"/>
        <v>-189.50550531250494</v>
      </c>
      <c r="BH495">
        <f t="shared" si="412"/>
        <v>-9.5055053125049369</v>
      </c>
      <c r="BI495">
        <f t="shared" si="413"/>
        <v>-9.5055053125049369</v>
      </c>
      <c r="BJ495">
        <f t="shared" si="402"/>
        <v>0</v>
      </c>
      <c r="BK495">
        <f t="shared" si="414"/>
        <v>0</v>
      </c>
      <c r="BM495">
        <f t="shared" si="415"/>
        <v>-59.660387418829323</v>
      </c>
      <c r="BN495">
        <f t="shared" si="403"/>
        <v>-99.674669140050781</v>
      </c>
      <c r="BQ495" s="66">
        <f t="shared" si="416"/>
        <v>18.034137592592199</v>
      </c>
    </row>
    <row r="496" spans="1:69" x14ac:dyDescent="0.15">
      <c r="A496">
        <f t="shared" si="420"/>
        <v>1410000</v>
      </c>
      <c r="B496">
        <f t="shared" si="404"/>
        <v>1410</v>
      </c>
      <c r="C496">
        <f t="shared" si="373"/>
        <v>5.9320279360563024</v>
      </c>
      <c r="D496">
        <f t="shared" si="374"/>
        <v>1.4014110914349958</v>
      </c>
      <c r="F496">
        <f t="shared" si="375"/>
        <v>1.1643924067104521E-5</v>
      </c>
      <c r="G496">
        <f t="shared" si="376"/>
        <v>1.1176961200327412E-3</v>
      </c>
      <c r="H496">
        <f t="shared" si="377"/>
        <v>-3.1404749538799677</v>
      </c>
      <c r="J496">
        <f t="shared" si="378"/>
        <v>15</v>
      </c>
      <c r="M496">
        <f t="shared" si="379"/>
        <v>6.7590327121822892E-4</v>
      </c>
      <c r="N496">
        <f t="shared" si="380"/>
        <v>-1.5707963250000001</v>
      </c>
      <c r="O496">
        <f t="shared" si="381"/>
        <v>599.33188888133054</v>
      </c>
      <c r="P496">
        <f t="shared" si="382"/>
        <v>1.5691278014209793</v>
      </c>
      <c r="Q496">
        <f t="shared" si="383"/>
        <v>271.2556234827349</v>
      </c>
      <c r="R496">
        <f t="shared" si="384"/>
        <v>1.5671097589284144</v>
      </c>
      <c r="S496">
        <f t="shared" si="385"/>
        <v>0.1796746206079135</v>
      </c>
      <c r="T496">
        <f t="shared" si="386"/>
        <v>-1.3901406477304361</v>
      </c>
      <c r="U496">
        <f t="shared" si="387"/>
        <v>9.2483264816698649E-2</v>
      </c>
      <c r="V496">
        <f t="shared" si="388"/>
        <v>-1.4781807146767012</v>
      </c>
      <c r="X496">
        <f t="shared" si="405"/>
        <v>-54.462512295253589</v>
      </c>
      <c r="Y496">
        <f t="shared" si="389"/>
        <v>-174.29055231284957</v>
      </c>
      <c r="Z496">
        <f t="shared" si="406"/>
        <v>5.7094476871504298</v>
      </c>
      <c r="AC496">
        <v>1</v>
      </c>
      <c r="AD496">
        <f t="shared" si="390"/>
        <v>599.33105461845014</v>
      </c>
      <c r="AE496">
        <f t="shared" si="391"/>
        <v>-0.79644725727286814</v>
      </c>
      <c r="AF496">
        <f t="shared" si="392"/>
        <v>7.3975082129550007E-2</v>
      </c>
      <c r="AG496">
        <f t="shared" si="421"/>
        <v>68.051077755934642</v>
      </c>
      <c r="AH496">
        <f t="shared" si="422"/>
        <v>-746.18496720975008</v>
      </c>
      <c r="AJ496">
        <f t="shared" si="393"/>
        <v>20000</v>
      </c>
      <c r="AK496">
        <f t="shared" si="394"/>
        <v>109500.84013427999</v>
      </c>
      <c r="AL496">
        <v>1</v>
      </c>
      <c r="AM496">
        <f t="shared" si="395"/>
        <v>271.25378019671399</v>
      </c>
      <c r="AN496">
        <f t="shared" si="423"/>
        <v>403.95043545099941</v>
      </c>
      <c r="AO496">
        <f t="shared" si="424"/>
        <v>-72.242493912298258</v>
      </c>
      <c r="AQ496">
        <f t="shared" si="396"/>
        <v>1.2574818598810598E-3</v>
      </c>
      <c r="AR496">
        <f t="shared" si="397"/>
        <v>-3.5460988448645887</v>
      </c>
      <c r="AT496">
        <f t="shared" si="418"/>
        <v>-2645.9600772819922</v>
      </c>
      <c r="AU496">
        <f t="shared" si="419"/>
        <v>-242.25416228249233</v>
      </c>
      <c r="AV496">
        <f t="shared" si="407"/>
        <v>-3.0502909569313008</v>
      </c>
      <c r="AW496">
        <f t="shared" si="408"/>
        <v>209.39598671886353</v>
      </c>
      <c r="AX496">
        <f t="shared" si="409"/>
        <v>-2331.3801818084848</v>
      </c>
      <c r="AY496">
        <f t="shared" si="417"/>
        <v>-1.4812203604742518</v>
      </c>
      <c r="BA496">
        <f t="shared" si="398"/>
        <v>1.1351105336896621</v>
      </c>
      <c r="BB496">
        <f t="shared" si="410"/>
        <v>1.1007630778807513</v>
      </c>
      <c r="BC496">
        <f t="shared" si="411"/>
        <v>-1.569070596457049</v>
      </c>
      <c r="BD496">
        <f t="shared" si="399"/>
        <v>-269.90112303779068</v>
      </c>
      <c r="BF496">
        <f t="shared" si="400"/>
        <v>-58.591360696103969</v>
      </c>
      <c r="BG496">
        <f t="shared" si="401"/>
        <v>-189.54214277346355</v>
      </c>
      <c r="BH496">
        <f t="shared" si="412"/>
        <v>-9.5421427734635529</v>
      </c>
      <c r="BI496">
        <f t="shared" si="413"/>
        <v>-9.5421427734635529</v>
      </c>
      <c r="BJ496">
        <f t="shared" si="402"/>
        <v>0</v>
      </c>
      <c r="BK496">
        <f t="shared" si="414"/>
        <v>0</v>
      </c>
      <c r="BM496">
        <f t="shared" si="415"/>
        <v>-59.692123773984719</v>
      </c>
      <c r="BN496">
        <f t="shared" si="403"/>
        <v>-99.641019735672899</v>
      </c>
      <c r="BQ496" s="66">
        <f t="shared" si="416"/>
        <v>18.002723878165888</v>
      </c>
    </row>
    <row r="497" spans="1:69" x14ac:dyDescent="0.15">
      <c r="A497">
        <f t="shared" si="420"/>
        <v>1415000</v>
      </c>
      <c r="B497">
        <f t="shared" si="404"/>
        <v>1415</v>
      </c>
      <c r="C497">
        <f t="shared" si="373"/>
        <v>5.9524667336621242</v>
      </c>
      <c r="D497">
        <f t="shared" si="374"/>
        <v>1.401998301739573</v>
      </c>
      <c r="F497">
        <f t="shared" si="375"/>
        <v>1.1561779324108849E-5</v>
      </c>
      <c r="G497">
        <f t="shared" si="376"/>
        <v>1.113746574069529E-3</v>
      </c>
      <c r="H497">
        <f t="shared" si="377"/>
        <v>-3.1404789034259308</v>
      </c>
      <c r="J497">
        <f t="shared" si="378"/>
        <v>15</v>
      </c>
      <c r="M497">
        <f t="shared" si="379"/>
        <v>6.73514920436539E-4</v>
      </c>
      <c r="N497">
        <f t="shared" si="380"/>
        <v>-1.5707963250000001</v>
      </c>
      <c r="O497">
        <f t="shared" si="381"/>
        <v>601.45717336113421</v>
      </c>
      <c r="P497">
        <f t="shared" si="382"/>
        <v>1.5691336972594725</v>
      </c>
      <c r="Q497">
        <f t="shared" si="383"/>
        <v>272.21750980697777</v>
      </c>
      <c r="R497">
        <f t="shared" si="384"/>
        <v>1.5671227855525882</v>
      </c>
      <c r="S497">
        <f t="shared" si="385"/>
        <v>0.17906011914939912</v>
      </c>
      <c r="T497">
        <f t="shared" si="386"/>
        <v>-1.3907652793733489</v>
      </c>
      <c r="U497">
        <f t="shared" si="387"/>
        <v>9.215924929252263E-2</v>
      </c>
      <c r="V497">
        <f t="shared" si="388"/>
        <v>-1.4785061199192358</v>
      </c>
      <c r="X497">
        <f t="shared" si="405"/>
        <v>-54.523626072953604</v>
      </c>
      <c r="Y497">
        <f t="shared" si="389"/>
        <v>-174.31048285971724</v>
      </c>
      <c r="Z497">
        <f t="shared" si="406"/>
        <v>5.68951714028276</v>
      </c>
      <c r="AC497">
        <v>1</v>
      </c>
      <c r="AD497">
        <f t="shared" si="390"/>
        <v>601.456342046175</v>
      </c>
      <c r="AE497">
        <f t="shared" si="391"/>
        <v>-0.8021058345622295</v>
      </c>
      <c r="AF497">
        <f t="shared" si="392"/>
        <v>7.4237405115825009E-2</v>
      </c>
      <c r="AG497">
        <f t="shared" si="421"/>
        <v>67.575078552653707</v>
      </c>
      <c r="AH497">
        <f t="shared" si="422"/>
        <v>-743.592326428408</v>
      </c>
      <c r="AJ497">
        <f t="shared" si="393"/>
        <v>20000</v>
      </c>
      <c r="AK497">
        <f t="shared" si="394"/>
        <v>109889.14098581999</v>
      </c>
      <c r="AL497">
        <v>1</v>
      </c>
      <c r="AM497">
        <f t="shared" si="395"/>
        <v>272.215673034291</v>
      </c>
      <c r="AN497">
        <f t="shared" si="423"/>
        <v>403.9485566246305</v>
      </c>
      <c r="AO497">
        <f t="shared" si="424"/>
        <v>-71.987226984196667</v>
      </c>
      <c r="AQ497">
        <f t="shared" si="396"/>
        <v>1.2486107644482057E-3</v>
      </c>
      <c r="AR497">
        <f t="shared" si="397"/>
        <v>-3.5335684633884226</v>
      </c>
      <c r="AT497">
        <f t="shared" si="418"/>
        <v>-2627.4500193145627</v>
      </c>
      <c r="AU497">
        <f t="shared" si="419"/>
        <v>-239.70962386779212</v>
      </c>
      <c r="AV497">
        <f t="shared" si="407"/>
        <v>-3.050611719373804</v>
      </c>
      <c r="AW497">
        <f t="shared" si="408"/>
        <v>210.77023744317097</v>
      </c>
      <c r="AX497">
        <f t="shared" si="409"/>
        <v>-2323.1741852019263</v>
      </c>
      <c r="AY497">
        <f t="shared" si="417"/>
        <v>-1.4803189138051911</v>
      </c>
      <c r="BA497">
        <f t="shared" si="398"/>
        <v>1.1310259910155567</v>
      </c>
      <c r="BB497">
        <f t="shared" si="410"/>
        <v>1.0694517028404558</v>
      </c>
      <c r="BC497">
        <f t="shared" si="411"/>
        <v>-1.5702928055686129</v>
      </c>
      <c r="BD497">
        <f t="shared" si="399"/>
        <v>-269.97115046164572</v>
      </c>
      <c r="BF497">
        <f t="shared" si="400"/>
        <v>-58.654290059256191</v>
      </c>
      <c r="BG497">
        <f t="shared" si="401"/>
        <v>-189.57875181745624</v>
      </c>
      <c r="BH497">
        <f t="shared" si="412"/>
        <v>-9.5787518174562365</v>
      </c>
      <c r="BI497">
        <f t="shared" si="413"/>
        <v>-9.5787518174562365</v>
      </c>
      <c r="BJ497">
        <f t="shared" si="402"/>
        <v>0</v>
      </c>
      <c r="BK497">
        <f t="shared" si="414"/>
        <v>0</v>
      </c>
      <c r="BM497">
        <f t="shared" si="415"/>
        <v>-59.723741762096637</v>
      </c>
      <c r="BN497">
        <f t="shared" si="403"/>
        <v>-99.60760135581053</v>
      </c>
      <c r="BQ497" s="66">
        <f t="shared" si="416"/>
        <v>17.971412503125592</v>
      </c>
    </row>
    <row r="498" spans="1:69" x14ac:dyDescent="0.15">
      <c r="A498">
        <f t="shared" si="420"/>
        <v>1420000</v>
      </c>
      <c r="B498">
        <f t="shared" si="404"/>
        <v>1420</v>
      </c>
      <c r="C498">
        <f t="shared" si="373"/>
        <v>5.9729075697259502</v>
      </c>
      <c r="D498">
        <f t="shared" si="374"/>
        <v>1.4025814930727216</v>
      </c>
      <c r="F498">
        <f t="shared" si="375"/>
        <v>1.1480500791470282E-5</v>
      </c>
      <c r="G498">
        <f t="shared" si="376"/>
        <v>1.1098248427529238E-3</v>
      </c>
      <c r="H498">
        <f t="shared" si="377"/>
        <v>-3.1404828251572474</v>
      </c>
      <c r="J498">
        <f t="shared" si="378"/>
        <v>15</v>
      </c>
      <c r="M498">
        <f t="shared" si="379"/>
        <v>6.7114338902655123E-4</v>
      </c>
      <c r="N498">
        <f t="shared" si="380"/>
        <v>-1.5707963250000001</v>
      </c>
      <c r="O498">
        <f t="shared" si="381"/>
        <v>603.582457861698</v>
      </c>
      <c r="P498">
        <f t="shared" si="382"/>
        <v>1.5691395515780906</v>
      </c>
      <c r="Q498">
        <f t="shared" si="383"/>
        <v>273.17939617708879</v>
      </c>
      <c r="R498">
        <f t="shared" si="384"/>
        <v>1.5671357204412057</v>
      </c>
      <c r="S498">
        <f t="shared" si="385"/>
        <v>0.17844973773733924</v>
      </c>
      <c r="T498">
        <f t="shared" si="386"/>
        <v>-1.391385652759332</v>
      </c>
      <c r="U498">
        <f t="shared" si="387"/>
        <v>9.1837486598530499E-2</v>
      </c>
      <c r="V498">
        <f t="shared" si="388"/>
        <v>-1.4788292529709532</v>
      </c>
      <c r="X498">
        <f t="shared" si="405"/>
        <v>-54.584526877603523</v>
      </c>
      <c r="Y498">
        <f t="shared" si="389"/>
        <v>-174.33027555090334</v>
      </c>
      <c r="Z498">
        <f t="shared" si="406"/>
        <v>5.6697244490966625</v>
      </c>
      <c r="AC498">
        <v>1</v>
      </c>
      <c r="AD498">
        <f t="shared" si="390"/>
        <v>603.58162947390008</v>
      </c>
      <c r="AE498">
        <f t="shared" si="391"/>
        <v>-0.80778444221367696</v>
      </c>
      <c r="AF498">
        <f t="shared" si="392"/>
        <v>7.449972810210001E-2</v>
      </c>
      <c r="AG498">
        <f t="shared" si="421"/>
        <v>67.104042107827439</v>
      </c>
      <c r="AH498">
        <f t="shared" si="422"/>
        <v>-741.01748597923188</v>
      </c>
      <c r="AJ498">
        <f t="shared" si="393"/>
        <v>20000</v>
      </c>
      <c r="AK498">
        <f t="shared" si="394"/>
        <v>110277.44183736001</v>
      </c>
      <c r="AL498">
        <v>1</v>
      </c>
      <c r="AM498">
        <f t="shared" si="395"/>
        <v>273.17756587186801</v>
      </c>
      <c r="AN498">
        <f t="shared" si="423"/>
        <v>403.94669760970226</v>
      </c>
      <c r="AO498">
        <f t="shared" si="424"/>
        <v>-71.733757637996106</v>
      </c>
      <c r="AQ498">
        <f t="shared" si="396"/>
        <v>1.2398332126768979E-3</v>
      </c>
      <c r="AR498">
        <f t="shared" si="397"/>
        <v>-3.52112632400239</v>
      </c>
      <c r="AT498">
        <f t="shared" si="418"/>
        <v>-2609.1329786074352</v>
      </c>
      <c r="AU498">
        <f t="shared" si="419"/>
        <v>-237.2005472031274</v>
      </c>
      <c r="AV498">
        <f t="shared" si="407"/>
        <v>-3.0509302423211513</v>
      </c>
      <c r="AW498">
        <f t="shared" si="408"/>
        <v>212.12994686912583</v>
      </c>
      <c r="AX498">
        <f t="shared" si="409"/>
        <v>-2315.0256447089532</v>
      </c>
      <c r="AY498">
        <f t="shared" si="417"/>
        <v>-1.479419709743325</v>
      </c>
      <c r="BA498">
        <f t="shared" si="398"/>
        <v>1.1269693314784639</v>
      </c>
      <c r="BB498">
        <f t="shared" si="410"/>
        <v>1.038241952671932</v>
      </c>
      <c r="BC498">
        <f t="shared" si="411"/>
        <v>-1.5715105325778262</v>
      </c>
      <c r="BD498">
        <f t="shared" si="399"/>
        <v>-270.04092107995245</v>
      </c>
      <c r="BF498">
        <f t="shared" si="400"/>
        <v>-58.717000326583303</v>
      </c>
      <c r="BG498">
        <f t="shared" si="401"/>
        <v>-189.61533273233985</v>
      </c>
      <c r="BH498">
        <f t="shared" si="412"/>
        <v>-9.6153327323398514</v>
      </c>
      <c r="BI498">
        <f t="shared" si="413"/>
        <v>-9.6153327323398514</v>
      </c>
      <c r="BJ498">
        <f t="shared" si="402"/>
        <v>0</v>
      </c>
      <c r="BK498">
        <f t="shared" si="414"/>
        <v>0</v>
      </c>
      <c r="BM498">
        <f t="shared" si="415"/>
        <v>-59.755242279255228</v>
      </c>
      <c r="BN498">
        <f t="shared" si="403"/>
        <v>-99.574411652387411</v>
      </c>
      <c r="BQ498" s="66">
        <f t="shared" si="416"/>
        <v>17.94020275295707</v>
      </c>
    </row>
    <row r="499" spans="1:69" x14ac:dyDescent="0.15">
      <c r="A499">
        <f t="shared" si="420"/>
        <v>1425000</v>
      </c>
      <c r="B499">
        <f t="shared" si="404"/>
        <v>1425</v>
      </c>
      <c r="C499">
        <f t="shared" si="373"/>
        <v>5.99335042339077</v>
      </c>
      <c r="D499">
        <f t="shared" si="374"/>
        <v>1.4031607061608973</v>
      </c>
      <c r="F499">
        <f t="shared" si="375"/>
        <v>1.1400076332981496E-5</v>
      </c>
      <c r="G499">
        <f t="shared" si="376"/>
        <v>1.1059306332840107E-3</v>
      </c>
      <c r="H499">
        <f t="shared" si="377"/>
        <v>-3.1404867193667161</v>
      </c>
      <c r="J499">
        <f t="shared" si="378"/>
        <v>15</v>
      </c>
      <c r="M499">
        <f t="shared" si="379"/>
        <v>6.6878849994224756E-4</v>
      </c>
      <c r="N499">
        <f t="shared" si="380"/>
        <v>-1.5707963250000001</v>
      </c>
      <c r="O499">
        <f t="shared" si="381"/>
        <v>605.70774238280308</v>
      </c>
      <c r="P499">
        <f t="shared" si="382"/>
        <v>1.5691453648138833</v>
      </c>
      <c r="Q499">
        <f t="shared" si="383"/>
        <v>274.14128259258496</v>
      </c>
      <c r="R499">
        <f t="shared" si="384"/>
        <v>1.567148564559887</v>
      </c>
      <c r="S499">
        <f t="shared" si="385"/>
        <v>0.17784343578390008</v>
      </c>
      <c r="T499">
        <f t="shared" si="386"/>
        <v>-1.3920018108120598</v>
      </c>
      <c r="U499">
        <f t="shared" si="387"/>
        <v>9.1517953420919215E-2</v>
      </c>
      <c r="V499">
        <f t="shared" si="388"/>
        <v>-1.4791501374811431</v>
      </c>
      <c r="X499">
        <f t="shared" si="405"/>
        <v>-54.645216180027475</v>
      </c>
      <c r="Y499">
        <f t="shared" si="389"/>
        <v>-174.34993180371274</v>
      </c>
      <c r="Z499">
        <f t="shared" si="406"/>
        <v>5.6500681962872648</v>
      </c>
      <c r="AC499">
        <v>1</v>
      </c>
      <c r="AD499">
        <f t="shared" si="390"/>
        <v>605.70691690162505</v>
      </c>
      <c r="AE499">
        <f t="shared" si="391"/>
        <v>-0.81348308022721094</v>
      </c>
      <c r="AF499">
        <f t="shared" si="392"/>
        <v>7.4762051088374998E-2</v>
      </c>
      <c r="AG499">
        <f t="shared" si="421"/>
        <v>66.637899866193237</v>
      </c>
      <c r="AH499">
        <f t="shared" si="422"/>
        <v>-738.46026479078137</v>
      </c>
      <c r="AJ499">
        <f t="shared" si="393"/>
        <v>20000</v>
      </c>
      <c r="AK499">
        <f t="shared" si="394"/>
        <v>110665.74268890001</v>
      </c>
      <c r="AL499">
        <v>1</v>
      </c>
      <c r="AM499">
        <f t="shared" si="395"/>
        <v>274.13945870944497</v>
      </c>
      <c r="AN499">
        <f t="shared" si="423"/>
        <v>403.94485812865418</v>
      </c>
      <c r="AO499">
        <f t="shared" si="424"/>
        <v>-71.482066952794327</v>
      </c>
      <c r="AQ499">
        <f t="shared" si="396"/>
        <v>1.2311478939799453E-3</v>
      </c>
      <c r="AR499">
        <f t="shared" si="397"/>
        <v>-3.5087714978428441</v>
      </c>
      <c r="AT499">
        <f t="shared" si="418"/>
        <v>-2591.0062882772936</v>
      </c>
      <c r="AU499">
        <f t="shared" si="419"/>
        <v>-234.72631752638935</v>
      </c>
      <c r="AV499">
        <f t="shared" si="407"/>
        <v>-3.0512465490784697</v>
      </c>
      <c r="AW499">
        <f t="shared" si="408"/>
        <v>213.47531959125104</v>
      </c>
      <c r="AX499">
        <f t="shared" si="409"/>
        <v>-2306.933960091782</v>
      </c>
      <c r="AY499">
        <f t="shared" si="417"/>
        <v>-1.4785227262372913</v>
      </c>
      <c r="BA499">
        <f t="shared" si="398"/>
        <v>1.1229402688668515</v>
      </c>
      <c r="BB499">
        <f t="shared" si="410"/>
        <v>1.0071331200389031</v>
      </c>
      <c r="BC499">
        <f t="shared" si="411"/>
        <v>-1.5727238228411784</v>
      </c>
      <c r="BD499">
        <f t="shared" si="399"/>
        <v>-270.11043749144631</v>
      </c>
      <c r="BF499">
        <f t="shared" si="400"/>
        <v>-58.779493091248831</v>
      </c>
      <c r="BG499">
        <f t="shared" si="401"/>
        <v>-189.6518858001719</v>
      </c>
      <c r="BH499">
        <f t="shared" si="412"/>
        <v>-9.6518858001718968</v>
      </c>
      <c r="BI499">
        <f t="shared" si="413"/>
        <v>-9.6518858001718968</v>
      </c>
      <c r="BJ499">
        <f t="shared" si="402"/>
        <v>0</v>
      </c>
      <c r="BK499">
        <f t="shared" si="414"/>
        <v>0</v>
      </c>
      <c r="BM499">
        <f t="shared" si="415"/>
        <v>-59.786626211287732</v>
      </c>
      <c r="BN499">
        <f t="shared" si="403"/>
        <v>-99.541448308725634</v>
      </c>
      <c r="BQ499" s="66">
        <f t="shared" si="416"/>
        <v>17.90909392032404</v>
      </c>
    </row>
    <row r="500" spans="1:69" x14ac:dyDescent="0.15">
      <c r="A500">
        <f t="shared" si="420"/>
        <v>1430000</v>
      </c>
      <c r="B500">
        <f t="shared" si="404"/>
        <v>1430</v>
      </c>
      <c r="C500">
        <f t="shared" si="373"/>
        <v>6.0137952740811311</v>
      </c>
      <c r="D500">
        <f t="shared" si="374"/>
        <v>1.4037359811874912</v>
      </c>
      <c r="F500">
        <f t="shared" si="375"/>
        <v>1.1320494024239682E-5</v>
      </c>
      <c r="G500">
        <f t="shared" si="376"/>
        <v>1.102063656959194E-3</v>
      </c>
      <c r="H500">
        <f t="shared" si="377"/>
        <v>-3.140490586343041</v>
      </c>
      <c r="J500">
        <f t="shared" si="378"/>
        <v>15</v>
      </c>
      <c r="M500">
        <f t="shared" si="379"/>
        <v>6.6645007861377821E-4</v>
      </c>
      <c r="N500">
        <f t="shared" si="380"/>
        <v>-1.5707963250000001</v>
      </c>
      <c r="O500">
        <f t="shared" si="381"/>
        <v>607.8330269242341</v>
      </c>
      <c r="P500">
        <f t="shared" si="382"/>
        <v>1.569151137397788</v>
      </c>
      <c r="Q500">
        <f t="shared" si="383"/>
        <v>275.10316905299038</v>
      </c>
      <c r="R500">
        <f t="shared" si="384"/>
        <v>1.5671613188607476</v>
      </c>
      <c r="S500">
        <f t="shared" si="385"/>
        <v>0.17724117322284205</v>
      </c>
      <c r="T500">
        <f t="shared" si="386"/>
        <v>-1.3926137958866671</v>
      </c>
      <c r="U500">
        <f t="shared" si="387"/>
        <v>9.1200626765080436E-2</v>
      </c>
      <c r="V500">
        <f t="shared" si="388"/>
        <v>-1.4794687967729585</v>
      </c>
      <c r="X500">
        <f t="shared" si="405"/>
        <v>-54.705695435946993</v>
      </c>
      <c r="Y500">
        <f t="shared" si="389"/>
        <v>-174.36945301619392</v>
      </c>
      <c r="Z500">
        <f t="shared" si="406"/>
        <v>5.6305469838060844</v>
      </c>
      <c r="AC500">
        <v>1</v>
      </c>
      <c r="AD500">
        <f t="shared" si="390"/>
        <v>607.83220432935013</v>
      </c>
      <c r="AE500">
        <f t="shared" si="391"/>
        <v>-0.81920174860283079</v>
      </c>
      <c r="AF500">
        <f t="shared" si="392"/>
        <v>7.5024374074649999E-2</v>
      </c>
      <c r="AG500">
        <f t="shared" si="421"/>
        <v>66.17658444883098</v>
      </c>
      <c r="AH500">
        <f t="shared" si="422"/>
        <v>-735.92048421635309</v>
      </c>
      <c r="AJ500">
        <f t="shared" si="393"/>
        <v>20000</v>
      </c>
      <c r="AK500">
        <f t="shared" si="394"/>
        <v>111054.04354044001</v>
      </c>
      <c r="AL500">
        <v>1</v>
      </c>
      <c r="AM500">
        <f t="shared" si="395"/>
        <v>275.10135154702198</v>
      </c>
      <c r="AN500">
        <f t="shared" si="423"/>
        <v>403.94303790876904</v>
      </c>
      <c r="AO500">
        <f t="shared" si="424"/>
        <v>-71.232136272299456</v>
      </c>
      <c r="AQ500">
        <f t="shared" si="396"/>
        <v>1.2225535206423883E-3</v>
      </c>
      <c r="AR500">
        <f t="shared" si="397"/>
        <v>-3.4965030690372307</v>
      </c>
      <c r="AT500">
        <f t="shared" si="418"/>
        <v>-2573.0673272135414</v>
      </c>
      <c r="AU500">
        <f t="shared" si="419"/>
        <v>-232.28633280263054</v>
      </c>
      <c r="AV500">
        <f t="shared" si="407"/>
        <v>-3.0515606626295622</v>
      </c>
      <c r="AW500">
        <f t="shared" si="408"/>
        <v>214.80655661570651</v>
      </c>
      <c r="AX500">
        <f t="shared" si="409"/>
        <v>-2298.8985394298429</v>
      </c>
      <c r="AY500">
        <f t="shared" si="417"/>
        <v>-1.4776279415523008</v>
      </c>
      <c r="BA500">
        <f t="shared" si="398"/>
        <v>1.1189385208528446</v>
      </c>
      <c r="BB500">
        <f t="shared" si="410"/>
        <v>0.97612450468935275</v>
      </c>
      <c r="BC500">
        <f t="shared" si="411"/>
        <v>-1.5739327210772613</v>
      </c>
      <c r="BD500">
        <f t="shared" si="399"/>
        <v>-270.1797022583138</v>
      </c>
      <c r="BF500">
        <f t="shared" si="400"/>
        <v>-58.841769929226288</v>
      </c>
      <c r="BG500">
        <f t="shared" si="401"/>
        <v>-189.68841129734179</v>
      </c>
      <c r="BH500">
        <f t="shared" si="412"/>
        <v>-9.6884112973417871</v>
      </c>
      <c r="BI500">
        <f t="shared" si="413"/>
        <v>-9.6884112973417871</v>
      </c>
      <c r="BJ500">
        <f t="shared" si="402"/>
        <v>0</v>
      </c>
      <c r="BK500">
        <f t="shared" si="414"/>
        <v>0</v>
      </c>
      <c r="BM500">
        <f t="shared" si="415"/>
        <v>-59.81789443391564</v>
      </c>
      <c r="BN500">
        <f t="shared" si="403"/>
        <v>-99.508709039028005</v>
      </c>
      <c r="BQ500" s="66">
        <f t="shared" si="416"/>
        <v>17.878085304974491</v>
      </c>
    </row>
    <row r="501" spans="1:69" x14ac:dyDescent="0.15">
      <c r="A501">
        <f t="shared" si="420"/>
        <v>1435000</v>
      </c>
      <c r="B501">
        <f t="shared" si="404"/>
        <v>1435</v>
      </c>
      <c r="C501">
        <f t="shared" si="373"/>
        <v>6.0342421014984335</v>
      </c>
      <c r="D501">
        <f t="shared" si="374"/>
        <v>1.4043073578017604</v>
      </c>
      <c r="F501">
        <f t="shared" si="375"/>
        <v>1.1241742148226196E-5</v>
      </c>
      <c r="G501">
        <f t="shared" si="376"/>
        <v>1.0982236290988444E-3</v>
      </c>
      <c r="H501">
        <f t="shared" si="377"/>
        <v>-3.1404944263709011</v>
      </c>
      <c r="J501">
        <f t="shared" si="378"/>
        <v>15</v>
      </c>
      <c r="M501">
        <f t="shared" si="379"/>
        <v>6.6412795290432254E-4</v>
      </c>
      <c r="N501">
        <f t="shared" si="380"/>
        <v>-1.5707963250000001</v>
      </c>
      <c r="O501">
        <f t="shared" si="381"/>
        <v>609.95831148577872</v>
      </c>
      <c r="P501">
        <f t="shared" si="382"/>
        <v>1.5691568697547358</v>
      </c>
      <c r="Q501">
        <f t="shared" si="383"/>
        <v>276.06505555783559</v>
      </c>
      <c r="R501">
        <f t="shared" si="384"/>
        <v>1.5671739842826331</v>
      </c>
      <c r="S501">
        <f t="shared" si="385"/>
        <v>0.17664291050133746</v>
      </c>
      <c r="T501">
        <f t="shared" si="386"/>
        <v>-1.3932216497790235</v>
      </c>
      <c r="U501">
        <f t="shared" si="387"/>
        <v>9.0885483950180576E-2</v>
      </c>
      <c r="V501">
        <f t="shared" si="388"/>
        <v>-1.4797852538490022</v>
      </c>
      <c r="X501">
        <f t="shared" si="405"/>
        <v>-54.765966086186069</v>
      </c>
      <c r="Y501">
        <f t="shared" si="389"/>
        <v>-174.38884056746298</v>
      </c>
      <c r="Z501">
        <f t="shared" si="406"/>
        <v>5.611159432537022</v>
      </c>
      <c r="AC501">
        <v>1</v>
      </c>
      <c r="AD501">
        <f t="shared" si="390"/>
        <v>609.9574917570751</v>
      </c>
      <c r="AE501">
        <f t="shared" si="391"/>
        <v>-0.82494044734053706</v>
      </c>
      <c r="AF501">
        <f t="shared" si="392"/>
        <v>7.5286697060925001E-2</v>
      </c>
      <c r="AG501">
        <f t="shared" si="421"/>
        <v>65.720029629092693</v>
      </c>
      <c r="AH501">
        <f t="shared" si="422"/>
        <v>-733.39796799393127</v>
      </c>
      <c r="AJ501">
        <f t="shared" si="393"/>
        <v>20000</v>
      </c>
      <c r="AK501">
        <f t="shared" si="394"/>
        <v>111442.34439198</v>
      </c>
      <c r="AL501">
        <v>1</v>
      </c>
      <c r="AM501">
        <f t="shared" si="395"/>
        <v>276.06324438459899</v>
      </c>
      <c r="AN501">
        <f t="shared" si="423"/>
        <v>403.94123668207288</v>
      </c>
      <c r="AO501">
        <f t="shared" si="424"/>
        <v>-70.983947200220456</v>
      </c>
      <c r="AQ501">
        <f t="shared" si="396"/>
        <v>1.2140488273441675E-3</v>
      </c>
      <c r="AR501">
        <f t="shared" si="397"/>
        <v>-3.4843201344777603</v>
      </c>
      <c r="AT501">
        <f t="shared" si="418"/>
        <v>-2555.3135191414262</v>
      </c>
      <c r="AU501">
        <f t="shared" si="419"/>
        <v>-229.88000341814228</v>
      </c>
      <c r="AV501">
        <f t="shared" si="407"/>
        <v>-3.0518726056424108</v>
      </c>
      <c r="AW501">
        <f t="shared" si="408"/>
        <v>216.12385543560211</v>
      </c>
      <c r="AX501">
        <f t="shared" si="409"/>
        <v>-2290.9187989764573</v>
      </c>
      <c r="AY501">
        <f t="shared" si="417"/>
        <v>-1.4767353342645517</v>
      </c>
      <c r="BA501">
        <f t="shared" si="398"/>
        <v>1.1149638089270635</v>
      </c>
      <c r="BB501">
        <f t="shared" si="410"/>
        <v>0.94521541336323966</v>
      </c>
      <c r="BC501">
        <f t="shared" si="411"/>
        <v>-1.5751372713778591</v>
      </c>
      <c r="BD501">
        <f t="shared" si="399"/>
        <v>-270.24871790682812</v>
      </c>
      <c r="BF501">
        <f t="shared" si="400"/>
        <v>-58.903832399545628</v>
      </c>
      <c r="BG501">
        <f t="shared" si="401"/>
        <v>-189.72490949469847</v>
      </c>
      <c r="BH501">
        <f t="shared" si="412"/>
        <v>-9.7249094946984656</v>
      </c>
      <c r="BI501">
        <f t="shared" si="413"/>
        <v>-9.7249094946984656</v>
      </c>
      <c r="BJ501">
        <f t="shared" si="402"/>
        <v>0</v>
      </c>
      <c r="BK501">
        <f t="shared" si="414"/>
        <v>0</v>
      </c>
      <c r="BM501">
        <f t="shared" si="415"/>
        <v>-59.849047812908864</v>
      </c>
      <c r="BN501">
        <f t="shared" si="403"/>
        <v>-99.476191587870346</v>
      </c>
      <c r="BQ501" s="66">
        <f t="shared" si="416"/>
        <v>17.847176213648378</v>
      </c>
    </row>
    <row r="502" spans="1:69" x14ac:dyDescent="0.15">
      <c r="A502">
        <f t="shared" si="420"/>
        <v>1440000</v>
      </c>
      <c r="B502">
        <f t="shared" si="404"/>
        <v>1440</v>
      </c>
      <c r="C502">
        <f t="shared" si="373"/>
        <v>6.0546908856163233</v>
      </c>
      <c r="D502">
        <f t="shared" si="374"/>
        <v>1.4048748751275841</v>
      </c>
      <c r="F502">
        <f t="shared" si="375"/>
        <v>1.1163809190993469E-5</v>
      </c>
      <c r="G502">
        <f t="shared" si="376"/>
        <v>1.0944102689774348E-3</v>
      </c>
      <c r="H502">
        <f t="shared" si="377"/>
        <v>-3.1404982397310226</v>
      </c>
      <c r="J502">
        <f t="shared" si="378"/>
        <v>15</v>
      </c>
      <c r="M502">
        <f t="shared" si="379"/>
        <v>6.6182195306784919E-4</v>
      </c>
      <c r="N502">
        <f t="shared" si="380"/>
        <v>-1.5707963250000001</v>
      </c>
      <c r="O502">
        <f t="shared" si="381"/>
        <v>612.0835960672274</v>
      </c>
      <c r="P502">
        <f t="shared" si="382"/>
        <v>1.5691625623037555</v>
      </c>
      <c r="Q502">
        <f t="shared" si="383"/>
        <v>277.02694210665771</v>
      </c>
      <c r="R502">
        <f t="shared" si="384"/>
        <v>1.5671865617513498</v>
      </c>
      <c r="S502">
        <f t="shared" si="385"/>
        <v>0.17604860857193849</v>
      </c>
      <c r="T502">
        <f t="shared" si="386"/>
        <v>-1.3938254137348252</v>
      </c>
      <c r="U502">
        <f t="shared" si="387"/>
        <v>9.0572502603850136E-2</v>
      </c>
      <c r="V502">
        <f t="shared" si="388"/>
        <v>-1.4800995313968008</v>
      </c>
      <c r="X502">
        <f t="shared" si="405"/>
        <v>-54.826029556872726</v>
      </c>
      <c r="Y502">
        <f t="shared" si="389"/>
        <v>-174.40809581802165</v>
      </c>
      <c r="Z502">
        <f t="shared" si="406"/>
        <v>5.5919041819783502</v>
      </c>
      <c r="AC502">
        <v>1</v>
      </c>
      <c r="AD502">
        <f t="shared" si="390"/>
        <v>612.08277918480007</v>
      </c>
      <c r="AE502">
        <f t="shared" si="391"/>
        <v>-0.83069917644032976</v>
      </c>
      <c r="AF502">
        <f t="shared" si="392"/>
        <v>7.5549020047200002E-2</v>
      </c>
      <c r="AG502">
        <f t="shared" si="421"/>
        <v>65.268170309104292</v>
      </c>
      <c r="AH502">
        <f t="shared" si="422"/>
        <v>-730.89254220692737</v>
      </c>
      <c r="AJ502">
        <f t="shared" si="393"/>
        <v>20000</v>
      </c>
      <c r="AK502">
        <f t="shared" si="394"/>
        <v>111830.64524351999</v>
      </c>
      <c r="AL502">
        <v>1</v>
      </c>
      <c r="AM502">
        <f t="shared" si="395"/>
        <v>277.025137222176</v>
      </c>
      <c r="AN502">
        <f t="shared" si="423"/>
        <v>403.93945418523549</v>
      </c>
      <c r="AO502">
        <f t="shared" si="424"/>
        <v>-70.737481595753508</v>
      </c>
      <c r="AQ502">
        <f t="shared" si="396"/>
        <v>1.2056325706943755E-3</v>
      </c>
      <c r="AR502">
        <f t="shared" si="397"/>
        <v>-3.472221803599802</v>
      </c>
      <c r="AT502">
        <f t="shared" si="418"/>
        <v>-2537.7423317074272</v>
      </c>
      <c r="AU502">
        <f t="shared" si="419"/>
        <v>-227.50675188289944</v>
      </c>
      <c r="AV502">
        <f t="shared" si="407"/>
        <v>-3.0521824004745701</v>
      </c>
      <c r="AW502">
        <f t="shared" si="408"/>
        <v>217.42741010447077</v>
      </c>
      <c r="AX502">
        <f t="shared" si="409"/>
        <v>-2282.9941630184676</v>
      </c>
      <c r="AY502">
        <f t="shared" si="417"/>
        <v>-1.475844883255758</v>
      </c>
      <c r="BA502">
        <f t="shared" si="398"/>
        <v>1.1110158583347642</v>
      </c>
      <c r="BB502">
        <f t="shared" si="410"/>
        <v>0.91440515970172931</v>
      </c>
      <c r="BC502">
        <f t="shared" si="411"/>
        <v>-1.5763375172188121</v>
      </c>
      <c r="BD502">
        <f t="shared" si="399"/>
        <v>-270.31748692797146</v>
      </c>
      <c r="BF502">
        <f t="shared" si="400"/>
        <v>-58.965682044535228</v>
      </c>
      <c r="BG502">
        <f t="shared" si="401"/>
        <v>-189.76138065767535</v>
      </c>
      <c r="BH502">
        <f t="shared" si="412"/>
        <v>-9.7613806576753461</v>
      </c>
      <c r="BI502">
        <f t="shared" si="413"/>
        <v>-9.7613806576753461</v>
      </c>
      <c r="BJ502">
        <f t="shared" si="402"/>
        <v>0</v>
      </c>
      <c r="BK502">
        <f t="shared" si="414"/>
        <v>0</v>
      </c>
      <c r="BM502">
        <f t="shared" si="415"/>
        <v>-59.880087204236958</v>
      </c>
      <c r="BN502">
        <f t="shared" si="403"/>
        <v>-99.443893729703916</v>
      </c>
      <c r="BQ502" s="66">
        <f t="shared" si="416"/>
        <v>17.816365959986868</v>
      </c>
    </row>
    <row r="503" spans="1:69" x14ac:dyDescent="0.15">
      <c r="A503">
        <f t="shared" si="420"/>
        <v>1445000</v>
      </c>
      <c r="B503">
        <f t="shared" si="404"/>
        <v>1445</v>
      </c>
      <c r="C503">
        <f t="shared" si="373"/>
        <v>6.0751416066761745</v>
      </c>
      <c r="D503">
        <f t="shared" si="374"/>
        <v>1.4054385717720517</v>
      </c>
      <c r="F503">
        <f t="shared" si="375"/>
        <v>1.1086683837456193E-5</v>
      </c>
      <c r="G503">
        <f t="shared" si="376"/>
        <v>1.090623299755125E-3</v>
      </c>
      <c r="H503">
        <f t="shared" si="377"/>
        <v>-3.1405020267002453</v>
      </c>
      <c r="J503">
        <f t="shared" si="378"/>
        <v>15</v>
      </c>
      <c r="M503">
        <f t="shared" si="379"/>
        <v>6.5953191170775279E-4</v>
      </c>
      <c r="N503">
        <f t="shared" si="380"/>
        <v>-1.5707963250000001</v>
      </c>
      <c r="O503">
        <f t="shared" si="381"/>
        <v>614.20888066837324</v>
      </c>
      <c r="P503">
        <f t="shared" si="382"/>
        <v>1.5691682154580775</v>
      </c>
      <c r="Q503">
        <f t="shared" si="383"/>
        <v>277.98882869900018</v>
      </c>
      <c r="R503">
        <f t="shared" si="384"/>
        <v>1.5671990521798911</v>
      </c>
      <c r="S503">
        <f t="shared" si="385"/>
        <v>0.17545822888469206</v>
      </c>
      <c r="T503">
        <f t="shared" si="386"/>
        <v>-1.3944251284585165</v>
      </c>
      <c r="U503">
        <f t="shared" si="387"/>
        <v>9.0261660656980408E-2</v>
      </c>
      <c r="V503">
        <f t="shared" si="388"/>
        <v>-1.4804116517941643</v>
      </c>
      <c r="X503">
        <f t="shared" si="405"/>
        <v>-54.885887259637194</v>
      </c>
      <c r="Y503">
        <f t="shared" si="389"/>
        <v>-174.42722011006839</v>
      </c>
      <c r="Z503">
        <f t="shared" si="406"/>
        <v>5.5727798899316099</v>
      </c>
      <c r="AC503">
        <v>1</v>
      </c>
      <c r="AD503">
        <f t="shared" si="390"/>
        <v>614.20806661252516</v>
      </c>
      <c r="AE503">
        <f t="shared" si="391"/>
        <v>-0.83647793590220842</v>
      </c>
      <c r="AF503">
        <f t="shared" si="392"/>
        <v>7.5811343033475004E-2</v>
      </c>
      <c r="AG503">
        <f t="shared" si="421"/>
        <v>64.820942496822241</v>
      </c>
      <c r="AH503">
        <f t="shared" si="422"/>
        <v>-728.40403524567944</v>
      </c>
      <c r="AJ503">
        <f t="shared" si="393"/>
        <v>20000</v>
      </c>
      <c r="AK503">
        <f t="shared" si="394"/>
        <v>112218.94609506002</v>
      </c>
      <c r="AL503">
        <v>1</v>
      </c>
      <c r="AM503">
        <f t="shared" si="395"/>
        <v>277.98703005975301</v>
      </c>
      <c r="AN503">
        <f t="shared" si="423"/>
        <v>403.93769015947498</v>
      </c>
      <c r="AO503">
        <f t="shared" si="424"/>
        <v>-70.492721569162327</v>
      </c>
      <c r="AQ503">
        <f t="shared" si="396"/>
        <v>1.1973035287767713E-3</v>
      </c>
      <c r="AR503">
        <f t="shared" si="397"/>
        <v>-3.460207198164869</v>
      </c>
      <c r="AT503">
        <f t="shared" si="418"/>
        <v>-2520.3512755862471</v>
      </c>
      <c r="AU503">
        <f t="shared" si="419"/>
        <v>-225.16601254111029</v>
      </c>
      <c r="AV503">
        <f t="shared" si="407"/>
        <v>-3.052490069178444</v>
      </c>
      <c r="AW503">
        <f t="shared" si="408"/>
        <v>218.71741130795456</v>
      </c>
      <c r="AX503">
        <f t="shared" si="409"/>
        <v>-2275.1240637387409</v>
      </c>
      <c r="AY503">
        <f t="shared" si="417"/>
        <v>-1.4749565677077967</v>
      </c>
      <c r="BA503">
        <f t="shared" si="398"/>
        <v>1.1070943980132451</v>
      </c>
      <c r="BB503">
        <f t="shared" si="410"/>
        <v>0.88369306415784643</v>
      </c>
      <c r="BC503">
        <f t="shared" si="411"/>
        <v>-1.5775335014706473</v>
      </c>
      <c r="BD503">
        <f t="shared" si="399"/>
        <v>-270.38601177804401</v>
      </c>
      <c r="BF503">
        <f t="shared" si="400"/>
        <v>-59.027320390059622</v>
      </c>
      <c r="BG503">
        <f t="shared" si="401"/>
        <v>-189.79782504641119</v>
      </c>
      <c r="BH503">
        <f t="shared" si="412"/>
        <v>-9.7978250464111909</v>
      </c>
      <c r="BI503">
        <f t="shared" si="413"/>
        <v>-9.7978250464111909</v>
      </c>
      <c r="BJ503">
        <f t="shared" si="402"/>
        <v>0</v>
      </c>
      <c r="BK503">
        <f t="shared" si="414"/>
        <v>0</v>
      </c>
      <c r="BM503">
        <f t="shared" si="415"/>
        <v>-59.911013454217475</v>
      </c>
      <c r="BN503">
        <f t="shared" si="403"/>
        <v>-99.411813268367183</v>
      </c>
      <c r="BQ503" s="66">
        <f t="shared" si="416"/>
        <v>17.785653864442985</v>
      </c>
    </row>
    <row r="504" spans="1:69" x14ac:dyDescent="0.15">
      <c r="A504">
        <f t="shared" si="420"/>
        <v>1450000</v>
      </c>
      <c r="B504">
        <f t="shared" si="404"/>
        <v>1450</v>
      </c>
      <c r="C504">
        <f t="shared" si="373"/>
        <v>6.0955942451826663</v>
      </c>
      <c r="D504">
        <f t="shared" si="374"/>
        <v>1.4059984858338828</v>
      </c>
      <c r="F504">
        <f t="shared" si="375"/>
        <v>1.1010354967283951E-5</v>
      </c>
      <c r="G504">
        <f t="shared" si="376"/>
        <v>1.0868624484107624E-3</v>
      </c>
      <c r="H504">
        <f t="shared" si="377"/>
        <v>-3.1405057875515894</v>
      </c>
      <c r="J504">
        <f t="shared" si="378"/>
        <v>15</v>
      </c>
      <c r="M504">
        <f t="shared" si="379"/>
        <v>6.5725766373634677E-4</v>
      </c>
      <c r="N504">
        <f t="shared" si="380"/>
        <v>-1.5707963250000001</v>
      </c>
      <c r="O504">
        <f t="shared" si="381"/>
        <v>616.33416528901284</v>
      </c>
      <c r="P504">
        <f t="shared" si="382"/>
        <v>1.5691738296252311</v>
      </c>
      <c r="Q504">
        <f t="shared" si="383"/>
        <v>278.95071533441273</v>
      </c>
      <c r="R504">
        <f t="shared" si="384"/>
        <v>1.5672114564686566</v>
      </c>
      <c r="S504">
        <f t="shared" si="385"/>
        <v>0.17487173337939824</v>
      </c>
      <c r="T504">
        <f t="shared" si="386"/>
        <v>-1.3950208341220376</v>
      </c>
      <c r="U504">
        <f t="shared" si="387"/>
        <v>8.9952936338624487E-2</v>
      </c>
      <c r="V504">
        <f t="shared" si="388"/>
        <v>-1.48072163711444</v>
      </c>
      <c r="X504">
        <f t="shared" si="405"/>
        <v>-54.945540591806804</v>
      </c>
      <c r="Y504">
        <f t="shared" si="389"/>
        <v>-174.44621476780364</v>
      </c>
      <c r="Z504">
        <f t="shared" si="406"/>
        <v>5.5537852321963612</v>
      </c>
      <c r="AC504">
        <v>1</v>
      </c>
      <c r="AD504">
        <f t="shared" si="390"/>
        <v>616.33335404025001</v>
      </c>
      <c r="AE504">
        <f t="shared" si="391"/>
        <v>-0.8422767257261734</v>
      </c>
      <c r="AF504">
        <f t="shared" si="392"/>
        <v>7.6073666019750005E-2</v>
      </c>
      <c r="AG504">
        <f t="shared" si="421"/>
        <v>64.378283283630793</v>
      </c>
      <c r="AH504">
        <f t="shared" si="422"/>
        <v>-725.93227776970048</v>
      </c>
      <c r="AJ504">
        <f t="shared" si="393"/>
        <v>20000</v>
      </c>
      <c r="AK504">
        <f t="shared" si="394"/>
        <v>112607.2469466</v>
      </c>
      <c r="AL504">
        <v>1</v>
      </c>
      <c r="AM504">
        <f t="shared" si="395"/>
        <v>278.94892289733002</v>
      </c>
      <c r="AN504">
        <f t="shared" si="423"/>
        <v>403.93594435046282</v>
      </c>
      <c r="AO504">
        <f t="shared" si="424"/>
        <v>-70.249649477449552</v>
      </c>
      <c r="AQ504">
        <f t="shared" si="396"/>
        <v>1.1890605007062426E-3</v>
      </c>
      <c r="AR504">
        <f t="shared" si="397"/>
        <v>-3.4482754520481032</v>
      </c>
      <c r="AT504">
        <f t="shared" si="418"/>
        <v>-2503.1379036088674</v>
      </c>
      <c r="AU504">
        <f t="shared" si="419"/>
        <v>-222.8572312896265</v>
      </c>
      <c r="AV504">
        <f t="shared" si="407"/>
        <v>-3.0527956335064625</v>
      </c>
      <c r="AW504">
        <f t="shared" si="408"/>
        <v>219.99404643375166</v>
      </c>
      <c r="AX504">
        <f t="shared" si="409"/>
        <v>-2267.3079410814826</v>
      </c>
      <c r="AY504">
        <f t="shared" si="417"/>
        <v>-1.4740703670974638</v>
      </c>
      <c r="BA504">
        <f t="shared" si="398"/>
        <v>1.1031991605304876</v>
      </c>
      <c r="BB504">
        <f t="shared" si="410"/>
        <v>0.85307845390851966</v>
      </c>
      <c r="BC504">
        <f t="shared" si="411"/>
        <v>-1.5787252664089988</v>
      </c>
      <c r="BD504">
        <f t="shared" si="399"/>
        <v>-270.45429487926128</v>
      </c>
      <c r="BF504">
        <f t="shared" si="400"/>
        <v>-59.088748945753018</v>
      </c>
      <c r="BG504">
        <f t="shared" si="401"/>
        <v>-189.83424291586846</v>
      </c>
      <c r="BH504">
        <f t="shared" si="412"/>
        <v>-9.8342429158684581</v>
      </c>
      <c r="BI504">
        <f t="shared" si="413"/>
        <v>-9.8342429158684581</v>
      </c>
      <c r="BJ504">
        <f t="shared" si="402"/>
        <v>0</v>
      </c>
      <c r="BK504">
        <f t="shared" si="414"/>
        <v>0</v>
      </c>
      <c r="BM504">
        <f t="shared" si="415"/>
        <v>-59.941827399661548</v>
      </c>
      <c r="BN504">
        <f t="shared" si="403"/>
        <v>-99.379948036607217</v>
      </c>
      <c r="BQ504" s="66">
        <f t="shared" si="416"/>
        <v>17.755039254193655</v>
      </c>
    </row>
    <row r="505" spans="1:69" x14ac:dyDescent="0.15">
      <c r="A505">
        <f t="shared" si="420"/>
        <v>1455000</v>
      </c>
      <c r="B505">
        <f t="shared" si="404"/>
        <v>1455</v>
      </c>
      <c r="C505">
        <f t="shared" si="373"/>
        <v>6.1160487818994334</v>
      </c>
      <c r="D505">
        <f t="shared" si="374"/>
        <v>1.4065546549116847</v>
      </c>
      <c r="F505">
        <f t="shared" si="375"/>
        <v>1.0934811650892461E-5</v>
      </c>
      <c r="G505">
        <f t="shared" si="376"/>
        <v>1.0831274456762658E-3</v>
      </c>
      <c r="H505">
        <f t="shared" si="377"/>
        <v>-3.140509522554324</v>
      </c>
      <c r="J505">
        <f t="shared" si="378"/>
        <v>15</v>
      </c>
      <c r="M505">
        <f t="shared" si="379"/>
        <v>6.5499904633519086E-4</v>
      </c>
      <c r="N505">
        <f t="shared" si="380"/>
        <v>-1.5707963250000001</v>
      </c>
      <c r="O505">
        <f t="shared" si="381"/>
        <v>618.45944992894511</v>
      </c>
      <c r="P505">
        <f t="shared" si="382"/>
        <v>1.5691794052071446</v>
      </c>
      <c r="Q505">
        <f t="shared" si="383"/>
        <v>279.91260201245149</v>
      </c>
      <c r="R505">
        <f t="shared" si="384"/>
        <v>1.5672237755056702</v>
      </c>
      <c r="S505">
        <f t="shared" si="385"/>
        <v>0.17428908447800981</v>
      </c>
      <c r="T505">
        <f t="shared" si="386"/>
        <v>-1.3956125703734052</v>
      </c>
      <c r="U505">
        <f t="shared" si="387"/>
        <v>8.9646308171000291E-2</v>
      </c>
      <c r="V505">
        <f t="shared" si="388"/>
        <v>-1.4810295091316577</v>
      </c>
      <c r="X505">
        <f t="shared" si="405"/>
        <v>-55.004990936597579</v>
      </c>
      <c r="Y505">
        <f t="shared" si="389"/>
        <v>-174.4650810977291</v>
      </c>
      <c r="Z505">
        <f t="shared" si="406"/>
        <v>5.5349189022709027</v>
      </c>
      <c r="AC505">
        <v>1</v>
      </c>
      <c r="AD505">
        <f t="shared" si="390"/>
        <v>618.4586414679751</v>
      </c>
      <c r="AE505">
        <f t="shared" si="391"/>
        <v>-0.84809554591222458</v>
      </c>
      <c r="AF505">
        <f t="shared" si="392"/>
        <v>7.6335989006025007E-2</v>
      </c>
      <c r="AG505">
        <f t="shared" si="421"/>
        <v>63.94013082246591</v>
      </c>
      <c r="AH505">
        <f t="shared" si="422"/>
        <v>-723.47710267065952</v>
      </c>
      <c r="AJ505">
        <f t="shared" si="393"/>
        <v>20000</v>
      </c>
      <c r="AK505">
        <f t="shared" si="394"/>
        <v>112995.54779814</v>
      </c>
      <c r="AL505">
        <v>1</v>
      </c>
      <c r="AM505">
        <f t="shared" si="395"/>
        <v>279.91081573490698</v>
      </c>
      <c r="AN505">
        <f t="shared" si="423"/>
        <v>403.93421650823336</v>
      </c>
      <c r="AO505">
        <f t="shared" si="424"/>
        <v>-70.008247920117768</v>
      </c>
      <c r="AQ505">
        <f t="shared" si="396"/>
        <v>1.1809023061959227E-3</v>
      </c>
      <c r="AR505">
        <f t="shared" si="397"/>
        <v>-3.4364257110301355</v>
      </c>
      <c r="AT505">
        <f t="shared" si="418"/>
        <v>-2486.0998099110966</v>
      </c>
      <c r="AU505">
        <f t="shared" si="419"/>
        <v>-220.57986530397602</v>
      </c>
      <c r="AV505">
        <f t="shared" si="407"/>
        <v>-3.053099114916149</v>
      </c>
      <c r="AW505">
        <f t="shared" si="408"/>
        <v>221.25749963987462</v>
      </c>
      <c r="AX505">
        <f t="shared" si="409"/>
        <v>-2259.545242620296</v>
      </c>
      <c r="AY505">
        <f t="shared" si="417"/>
        <v>-1.4731862611913418</v>
      </c>
      <c r="BA505">
        <f t="shared" si="398"/>
        <v>1.0993298820250157</v>
      </c>
      <c r="BB505">
        <f t="shared" si="410"/>
        <v>0.82256066276806905</v>
      </c>
      <c r="BC505">
        <f t="shared" si="411"/>
        <v>-1.5799128537248073</v>
      </c>
      <c r="BD505">
        <f t="shared" si="399"/>
        <v>-270.52233862033808</v>
      </c>
      <c r="BF505">
        <f t="shared" si="400"/>
        <v>-59.149969205248603</v>
      </c>
      <c r="BG505">
        <f t="shared" si="401"/>
        <v>-189.87063451594858</v>
      </c>
      <c r="BH505">
        <f t="shared" si="412"/>
        <v>-9.8706345159485807</v>
      </c>
      <c r="BI505">
        <f t="shared" si="413"/>
        <v>-9.8706345159485807</v>
      </c>
      <c r="BJ505">
        <f t="shared" si="402"/>
        <v>0</v>
      </c>
      <c r="BK505">
        <f t="shared" si="414"/>
        <v>0</v>
      </c>
      <c r="BM505">
        <f t="shared" si="415"/>
        <v>-59.972529868016665</v>
      </c>
      <c r="BN505">
        <f t="shared" si="403"/>
        <v>-99.348295895610491</v>
      </c>
      <c r="BQ505" s="66">
        <f t="shared" si="416"/>
        <v>17.724521463053208</v>
      </c>
    </row>
    <row r="506" spans="1:69" x14ac:dyDescent="0.15">
      <c r="A506">
        <f t="shared" si="420"/>
        <v>1460000</v>
      </c>
      <c r="B506">
        <f t="shared" si="404"/>
        <v>1460</v>
      </c>
      <c r="C506">
        <f t="shared" si="373"/>
        <v>6.136505197844822</v>
      </c>
      <c r="D506">
        <f t="shared" si="374"/>
        <v>1.4071071161120547</v>
      </c>
      <c r="F506">
        <f t="shared" si="375"/>
        <v>1.0860043145530762E-5</v>
      </c>
      <c r="G506">
        <f t="shared" si="376"/>
        <v>1.0794180259723555E-3</v>
      </c>
      <c r="H506">
        <f t="shared" si="377"/>
        <v>-3.1405132319740279</v>
      </c>
      <c r="J506">
        <f t="shared" si="378"/>
        <v>15</v>
      </c>
      <c r="M506">
        <f t="shared" si="379"/>
        <v>6.5275589891623472E-4</v>
      </c>
      <c r="N506">
        <f t="shared" si="380"/>
        <v>-1.5707963250000001</v>
      </c>
      <c r="O506">
        <f t="shared" si="381"/>
        <v>620.58473458797175</v>
      </c>
      <c r="P506">
        <f t="shared" si="382"/>
        <v>1.5691849426002404</v>
      </c>
      <c r="Q506">
        <f t="shared" si="383"/>
        <v>280.87448873267851</v>
      </c>
      <c r="R506">
        <f t="shared" si="384"/>
        <v>1.5672360101667913</v>
      </c>
      <c r="S506">
        <f t="shared" si="385"/>
        <v>0.17371024507716953</v>
      </c>
      <c r="T506">
        <f t="shared" si="386"/>
        <v>-1.3962003763451327</v>
      </c>
      <c r="U506">
        <f t="shared" si="387"/>
        <v>8.9341754964593498E-2</v>
      </c>
      <c r="V506">
        <f t="shared" si="388"/>
        <v>-1.4813352893255722</v>
      </c>
      <c r="X506">
        <f t="shared" si="405"/>
        <v>-55.064239663302679</v>
      </c>
      <c r="Y506">
        <f t="shared" si="389"/>
        <v>-174.4838203889407</v>
      </c>
      <c r="Z506">
        <f t="shared" si="406"/>
        <v>5.5161796110593002</v>
      </c>
      <c r="AC506">
        <v>1</v>
      </c>
      <c r="AD506">
        <f t="shared" si="390"/>
        <v>620.58392889570007</v>
      </c>
      <c r="AE506">
        <f t="shared" si="391"/>
        <v>-0.85393439646036207</v>
      </c>
      <c r="AF506">
        <f t="shared" si="392"/>
        <v>7.6598311992300008E-2</v>
      </c>
      <c r="AG506">
        <f t="shared" si="421"/>
        <v>63.506424306451045</v>
      </c>
      <c r="AH506">
        <f t="shared" si="422"/>
        <v>-721.03834503607504</v>
      </c>
      <c r="AJ506">
        <f t="shared" si="393"/>
        <v>20000</v>
      </c>
      <c r="AK506">
        <f t="shared" si="394"/>
        <v>113383.84864968</v>
      </c>
      <c r="AL506">
        <v>1</v>
      </c>
      <c r="AM506">
        <f t="shared" si="395"/>
        <v>280.87270857248399</v>
      </c>
      <c r="AN506">
        <f t="shared" si="423"/>
        <v>403.9325063870931</v>
      </c>
      <c r="AO506">
        <f t="shared" si="424"/>
        <v>-69.768499735017187</v>
      </c>
      <c r="AQ506">
        <f t="shared" si="396"/>
        <v>1.1728277851346658E-3</v>
      </c>
      <c r="AR506">
        <f t="shared" si="397"/>
        <v>-3.4246571325932242</v>
      </c>
      <c r="AT506">
        <f t="shared" si="418"/>
        <v>-2469.2346291020476</v>
      </c>
      <c r="AU506">
        <f t="shared" si="419"/>
        <v>-218.3333827717851</v>
      </c>
      <c r="AV506">
        <f t="shared" si="407"/>
        <v>-3.0534005345750885</v>
      </c>
      <c r="AW506">
        <f t="shared" si="408"/>
        <v>222.50795192126401</v>
      </c>
      <c r="AX506">
        <f t="shared" si="409"/>
        <v>-2251.8354234289177</v>
      </c>
      <c r="AY506">
        <f t="shared" si="417"/>
        <v>-1.4723042300407718</v>
      </c>
      <c r="BA506">
        <f t="shared" si="398"/>
        <v>1.0954863021469272</v>
      </c>
      <c r="BB506">
        <f t="shared" si="410"/>
        <v>0.79213903110298056</v>
      </c>
      <c r="BC506">
        <f t="shared" si="411"/>
        <v>-1.5810963045343167</v>
      </c>
      <c r="BD506">
        <f t="shared" si="399"/>
        <v>-270.59014535706183</v>
      </c>
      <c r="BF506">
        <f t="shared" si="400"/>
        <v>-59.210982646403892</v>
      </c>
      <c r="BG506">
        <f t="shared" si="401"/>
        <v>-189.90700009160389</v>
      </c>
      <c r="BH506">
        <f t="shared" si="412"/>
        <v>-9.9070000916038907</v>
      </c>
      <c r="BI506">
        <f t="shared" si="413"/>
        <v>-9.9070000916038907</v>
      </c>
      <c r="BJ506">
        <f t="shared" si="402"/>
        <v>0</v>
      </c>
      <c r="BK506">
        <f t="shared" si="414"/>
        <v>0</v>
      </c>
      <c r="BM506">
        <f t="shared" si="415"/>
        <v>-60.003121677506869</v>
      </c>
      <c r="BN506">
        <f t="shared" si="403"/>
        <v>-99.316854734542105</v>
      </c>
      <c r="BQ506" s="66">
        <f t="shared" si="416"/>
        <v>17.694099831388115</v>
      </c>
    </row>
    <row r="507" spans="1:69" x14ac:dyDescent="0.15">
      <c r="A507">
        <f t="shared" si="420"/>
        <v>1465000</v>
      </c>
      <c r="B507">
        <f t="shared" si="404"/>
        <v>1465</v>
      </c>
      <c r="C507">
        <f t="shared" si="373"/>
        <v>6.1569634742877071</v>
      </c>
      <c r="D507">
        <f t="shared" si="374"/>
        <v>1.4076559060575209</v>
      </c>
      <c r="F507">
        <f t="shared" si="375"/>
        <v>1.0786038891461742E-5</v>
      </c>
      <c r="G507">
        <f t="shared" si="376"/>
        <v>1.0757339273455993E-3</v>
      </c>
      <c r="H507">
        <f t="shared" si="377"/>
        <v>-3.1405169160726545</v>
      </c>
      <c r="J507">
        <f t="shared" si="378"/>
        <v>15</v>
      </c>
      <c r="M507">
        <f t="shared" si="379"/>
        <v>6.5052806308375614E-4</v>
      </c>
      <c r="N507">
        <f t="shared" si="380"/>
        <v>-1.5707963250000001</v>
      </c>
      <c r="O507">
        <f t="shared" si="381"/>
        <v>622.71001926589724</v>
      </c>
      <c r="P507">
        <f t="shared" si="382"/>
        <v>1.5691904421955289</v>
      </c>
      <c r="Q507">
        <f t="shared" si="383"/>
        <v>281.83637549466175</v>
      </c>
      <c r="R507">
        <f t="shared" si="384"/>
        <v>1.5672481613159222</v>
      </c>
      <c r="S507">
        <f t="shared" si="385"/>
        <v>0.17313517854088289</v>
      </c>
      <c r="T507">
        <f t="shared" si="386"/>
        <v>-1.3967842906624859</v>
      </c>
      <c r="U507">
        <f t="shared" si="387"/>
        <v>8.9039255813357726E-2</v>
      </c>
      <c r="V507">
        <f t="shared" si="388"/>
        <v>-1.4816389988866059</v>
      </c>
      <c r="X507">
        <f t="shared" si="405"/>
        <v>-55.123288127477778</v>
      </c>
      <c r="Y507">
        <f t="shared" si="389"/>
        <v>-174.5024339134163</v>
      </c>
      <c r="Z507">
        <f t="shared" si="406"/>
        <v>5.4975660865837028</v>
      </c>
      <c r="AC507">
        <v>1</v>
      </c>
      <c r="AD507">
        <f t="shared" si="390"/>
        <v>622.70921632342504</v>
      </c>
      <c r="AE507">
        <f t="shared" si="391"/>
        <v>-0.85979327737058586</v>
      </c>
      <c r="AF507">
        <f t="shared" si="392"/>
        <v>7.686063497857501E-2</v>
      </c>
      <c r="AG507">
        <f t="shared" si="421"/>
        <v>63.077103948031485</v>
      </c>
      <c r="AH507">
        <f t="shared" si="422"/>
        <v>-718.6158421137095</v>
      </c>
      <c r="AJ507">
        <f t="shared" si="393"/>
        <v>20000</v>
      </c>
      <c r="AK507">
        <f t="shared" si="394"/>
        <v>113772.14950121999</v>
      </c>
      <c r="AL507">
        <v>1</v>
      </c>
      <c r="AM507">
        <f t="shared" si="395"/>
        <v>281.834601410061</v>
      </c>
      <c r="AN507">
        <f t="shared" si="423"/>
        <v>403.93081374553441</v>
      </c>
      <c r="AO507">
        <f t="shared" si="424"/>
        <v>-69.53038799427884</v>
      </c>
      <c r="AQ507">
        <f t="shared" si="396"/>
        <v>1.1648357971745975E-3</v>
      </c>
      <c r="AR507">
        <f t="shared" si="397"/>
        <v>-3.412968885721571</v>
      </c>
      <c r="AT507">
        <f t="shared" si="418"/>
        <v>-2452.5400354520348</v>
      </c>
      <c r="AU507">
        <f t="shared" si="419"/>
        <v>-216.11726263336752</v>
      </c>
      <c r="AV507">
        <f t="shared" si="407"/>
        <v>-3.053699913365794</v>
      </c>
      <c r="AW507">
        <f t="shared" si="408"/>
        <v>223.74558117480376</v>
      </c>
      <c r="AX507">
        <f t="shared" si="409"/>
        <v>-2244.1779459545719</v>
      </c>
      <c r="AY507">
        <f t="shared" si="417"/>
        <v>-1.4714242539769329</v>
      </c>
      <c r="BA507">
        <f t="shared" si="398"/>
        <v>1.0916681640000887</v>
      </c>
      <c r="BB507">
        <f t="shared" si="410"/>
        <v>0.76181290574807337</v>
      </c>
      <c r="BC507">
        <f t="shared" si="411"/>
        <v>-1.5822756593888612</v>
      </c>
      <c r="BD507">
        <f t="shared" si="399"/>
        <v>-270.65771741285266</v>
      </c>
      <c r="BF507">
        <f t="shared" si="400"/>
        <v>-59.271790731522167</v>
      </c>
      <c r="BG507">
        <f t="shared" si="401"/>
        <v>-189.94333988294727</v>
      </c>
      <c r="BH507">
        <f t="shared" si="412"/>
        <v>-9.9433398829472708</v>
      </c>
      <c r="BI507">
        <f t="shared" si="413"/>
        <v>-9.9433398829472708</v>
      </c>
      <c r="BJ507">
        <f t="shared" si="402"/>
        <v>0</v>
      </c>
      <c r="BK507">
        <f t="shared" si="414"/>
        <v>0</v>
      </c>
      <c r="BM507">
        <f t="shared" si="415"/>
        <v>-60.033603637270232</v>
      </c>
      <c r="BN507">
        <f t="shared" si="403"/>
        <v>-99.285622470094609</v>
      </c>
      <c r="BQ507" s="66">
        <f t="shared" si="416"/>
        <v>17.663773706033211</v>
      </c>
    </row>
    <row r="508" spans="1:69" x14ac:dyDescent="0.15">
      <c r="A508">
        <f t="shared" si="420"/>
        <v>1470000</v>
      </c>
      <c r="B508">
        <f t="shared" si="404"/>
        <v>1470</v>
      </c>
      <c r="C508">
        <f t="shared" si="373"/>
        <v>6.1774235927434056</v>
      </c>
      <c r="D508">
        <f t="shared" si="374"/>
        <v>1.4082010608943369</v>
      </c>
      <c r="F508">
        <f t="shared" si="375"/>
        <v>1.0712788508233415E-5</v>
      </c>
      <c r="G508">
        <f t="shared" si="376"/>
        <v>1.072074891406748E-3</v>
      </c>
      <c r="H508">
        <f t="shared" si="377"/>
        <v>-3.1405205751085936</v>
      </c>
      <c r="J508">
        <f t="shared" si="378"/>
        <v>15</v>
      </c>
      <c r="M508">
        <f t="shared" si="379"/>
        <v>6.4831538259707674E-4</v>
      </c>
      <c r="N508">
        <f t="shared" si="380"/>
        <v>-1.5707963250000001</v>
      </c>
      <c r="O508">
        <f t="shared" si="381"/>
        <v>624.83530396252888</v>
      </c>
      <c r="P508">
        <f t="shared" si="382"/>
        <v>1.5691959043787009</v>
      </c>
      <c r="Q508">
        <f t="shared" si="383"/>
        <v>282.79826229797521</v>
      </c>
      <c r="R508">
        <f t="shared" si="384"/>
        <v>1.5672602298052116</v>
      </c>
      <c r="S508">
        <f t="shared" si="385"/>
        <v>0.17256384869332272</v>
      </c>
      <c r="T508">
        <f t="shared" si="386"/>
        <v>-1.3973643514515861</v>
      </c>
      <c r="U508">
        <f t="shared" si="387"/>
        <v>8.8738790090010067E-2</v>
      </c>
      <c r="V508">
        <f t="shared" si="388"/>
        <v>-1.4819406587206889</v>
      </c>
      <c r="X508">
        <f t="shared" si="405"/>
        <v>-55.182137671123243</v>
      </c>
      <c r="Y508">
        <f t="shared" si="389"/>
        <v>-174.52092292629709</v>
      </c>
      <c r="Z508">
        <f t="shared" si="406"/>
        <v>5.4790770737029106</v>
      </c>
      <c r="AC508">
        <v>1</v>
      </c>
      <c r="AD508">
        <f t="shared" si="390"/>
        <v>624.83450375115012</v>
      </c>
      <c r="AE508">
        <f t="shared" si="391"/>
        <v>-0.86567218864289563</v>
      </c>
      <c r="AF508">
        <f t="shared" si="392"/>
        <v>7.7122957964850011E-2</v>
      </c>
      <c r="AG508">
        <f t="shared" si="421"/>
        <v>62.652110958594157</v>
      </c>
      <c r="AH508">
        <f t="shared" si="422"/>
        <v>-716.2094332766452</v>
      </c>
      <c r="AJ508">
        <f t="shared" si="393"/>
        <v>20000</v>
      </c>
      <c r="AK508">
        <f t="shared" si="394"/>
        <v>114160.45035276002</v>
      </c>
      <c r="AL508">
        <v>1</v>
      </c>
      <c r="AM508">
        <f t="shared" si="395"/>
        <v>282.79649424763795</v>
      </c>
      <c r="AN508">
        <f t="shared" si="423"/>
        <v>403.92913834614995</v>
      </c>
      <c r="AO508">
        <f t="shared" si="424"/>
        <v>-69.293896000330363</v>
      </c>
      <c r="AQ508">
        <f t="shared" si="396"/>
        <v>1.1569252213284719E-3</v>
      </c>
      <c r="AR508">
        <f t="shared" si="397"/>
        <v>-3.401360150705707</v>
      </c>
      <c r="AT508">
        <f t="shared" si="418"/>
        <v>-2436.0137420993615</v>
      </c>
      <c r="AU508">
        <f t="shared" si="419"/>
        <v>-213.93099432926564</v>
      </c>
      <c r="AV508">
        <f t="shared" si="407"/>
        <v>-3.0539972718904767</v>
      </c>
      <c r="AW508">
        <f t="shared" si="408"/>
        <v>224.97056226278255</v>
      </c>
      <c r="AX508">
        <f t="shared" si="409"/>
        <v>-2236.5722798938732</v>
      </c>
      <c r="AY508">
        <f t="shared" si="417"/>
        <v>-1.4705463136060188</v>
      </c>
      <c r="BA508">
        <f t="shared" si="398"/>
        <v>1.0878752140854553</v>
      </c>
      <c r="BB508">
        <f t="shared" si="410"/>
        <v>0.73158163992394543</v>
      </c>
      <c r="BC508">
        <f t="shared" si="411"/>
        <v>-1.5834509582844578</v>
      </c>
      <c r="BD508">
        <f t="shared" si="399"/>
        <v>-270.72505707931367</v>
      </c>
      <c r="BF508">
        <f t="shared" si="400"/>
        <v>-59.332394907569878</v>
      </c>
      <c r="BG508">
        <f t="shared" si="401"/>
        <v>-189.97965412535854</v>
      </c>
      <c r="BH508">
        <f t="shared" si="412"/>
        <v>-9.979654125358536</v>
      </c>
      <c r="BI508">
        <f t="shared" si="413"/>
        <v>-9.979654125358536</v>
      </c>
      <c r="BJ508">
        <f t="shared" si="402"/>
        <v>0</v>
      </c>
      <c r="BK508">
        <f t="shared" si="414"/>
        <v>0</v>
      </c>
      <c r="BM508">
        <f t="shared" si="415"/>
        <v>-60.063976547493823</v>
      </c>
      <c r="BN508">
        <f t="shared" si="403"/>
        <v>-99.254597046044836</v>
      </c>
      <c r="BQ508" s="66">
        <f t="shared" si="416"/>
        <v>17.633542440209084</v>
      </c>
    </row>
    <row r="509" spans="1:69" x14ac:dyDescent="0.15">
      <c r="A509">
        <f t="shared" si="420"/>
        <v>1475000</v>
      </c>
      <c r="B509">
        <f t="shared" si="404"/>
        <v>1475</v>
      </c>
      <c r="C509">
        <f t="shared" si="373"/>
        <v>6.1978855349696627</v>
      </c>
      <c r="D509">
        <f t="shared" si="374"/>
        <v>1.4087426163001253</v>
      </c>
      <c r="F509">
        <f t="shared" si="375"/>
        <v>1.0640281791038572E-5</v>
      </c>
      <c r="G509">
        <f t="shared" si="376"/>
        <v>1.0684406632703173E-3</v>
      </c>
      <c r="H509">
        <f t="shared" si="377"/>
        <v>-3.1405242093367298</v>
      </c>
      <c r="J509">
        <f t="shared" si="378"/>
        <v>15</v>
      </c>
      <c r="M509">
        <f t="shared" si="379"/>
        <v>6.4611770333403574E-4</v>
      </c>
      <c r="N509">
        <f t="shared" si="380"/>
        <v>-1.5707963250000001</v>
      </c>
      <c r="O509">
        <f t="shared" si="381"/>
        <v>626.96058867767647</v>
      </c>
      <c r="P509">
        <f t="shared" si="382"/>
        <v>1.569201329530217</v>
      </c>
      <c r="Q509">
        <f t="shared" si="383"/>
        <v>283.76014914219849</v>
      </c>
      <c r="R509">
        <f t="shared" si="384"/>
        <v>1.5672722164752544</v>
      </c>
      <c r="S509">
        <f t="shared" si="385"/>
        <v>0.17199621981176383</v>
      </c>
      <c r="T509">
        <f t="shared" si="386"/>
        <v>-1.397940596347359</v>
      </c>
      <c r="U509">
        <f t="shared" si="387"/>
        <v>8.8440337441419298E-2</v>
      </c>
      <c r="V509">
        <f t="shared" si="388"/>
        <v>-1.4822402894540065</v>
      </c>
      <c r="X509">
        <f t="shared" si="405"/>
        <v>-55.24078962286346</v>
      </c>
      <c r="Y509">
        <f t="shared" si="389"/>
        <v>-174.53928866616417</v>
      </c>
      <c r="Z509">
        <f t="shared" si="406"/>
        <v>5.4607113338358317</v>
      </c>
      <c r="AC509">
        <v>1</v>
      </c>
      <c r="AD509">
        <f t="shared" si="390"/>
        <v>626.95979117887509</v>
      </c>
      <c r="AE509">
        <f t="shared" si="391"/>
        <v>-0.87157113027729183</v>
      </c>
      <c r="AF509">
        <f t="shared" si="392"/>
        <v>7.7385280951125013E-2</v>
      </c>
      <c r="AG509">
        <f t="shared" si="421"/>
        <v>62.231387528559644</v>
      </c>
      <c r="AH509">
        <f t="shared" si="422"/>
        <v>-713.81895998902939</v>
      </c>
      <c r="AJ509">
        <f t="shared" si="393"/>
        <v>20000</v>
      </c>
      <c r="AK509">
        <f t="shared" si="394"/>
        <v>114548.7512043</v>
      </c>
      <c r="AL509">
        <v>1</v>
      </c>
      <c r="AM509">
        <f t="shared" si="395"/>
        <v>283.75838708521502</v>
      </c>
      <c r="AN509">
        <f t="shared" si="423"/>
        <v>403.92747995554862</v>
      </c>
      <c r="AO509">
        <f t="shared" si="424"/>
        <v>-69.05900728199299</v>
      </c>
      <c r="AQ509">
        <f t="shared" si="396"/>
        <v>1.1490949555765637E-3</v>
      </c>
      <c r="AR509">
        <f t="shared" si="397"/>
        <v>-3.3898301189508624</v>
      </c>
      <c r="AT509">
        <f t="shared" si="418"/>
        <v>-2419.6535002755049</v>
      </c>
      <c r="AU509">
        <f t="shared" si="419"/>
        <v>-211.77407755453285</v>
      </c>
      <c r="AV509">
        <f t="shared" si="407"/>
        <v>-3.0542926304757194</v>
      </c>
      <c r="AW509">
        <f t="shared" si="408"/>
        <v>226.18306707484047</v>
      </c>
      <c r="AX509">
        <f t="shared" si="409"/>
        <v>-2229.0179020712244</v>
      </c>
      <c r="AY509">
        <f t="shared" si="417"/>
        <v>-1.4696703898045189</v>
      </c>
      <c r="BA509">
        <f t="shared" si="398"/>
        <v>1.0841072022454974</v>
      </c>
      <c r="BB509">
        <f t="shared" si="410"/>
        <v>0.70144459315572538</v>
      </c>
      <c r="BC509">
        <f t="shared" si="411"/>
        <v>-1.5846222406712005</v>
      </c>
      <c r="BD509">
        <f t="shared" si="399"/>
        <v>-270.79216661676878</v>
      </c>
      <c r="BF509">
        <f t="shared" si="400"/>
        <v>-59.392796606390455</v>
      </c>
      <c r="BG509">
        <f t="shared" si="401"/>
        <v>-190.0159430495882</v>
      </c>
      <c r="BH509">
        <f t="shared" si="412"/>
        <v>-10.015943049588202</v>
      </c>
      <c r="BI509">
        <f t="shared" si="413"/>
        <v>-10.015943049588202</v>
      </c>
      <c r="BJ509">
        <f t="shared" si="402"/>
        <v>0</v>
      </c>
      <c r="BK509">
        <f t="shared" si="414"/>
        <v>0</v>
      </c>
      <c r="BM509">
        <f t="shared" si="415"/>
        <v>-60.09424119954619</v>
      </c>
      <c r="BN509">
        <f t="shared" si="403"/>
        <v>-99.223776432819434</v>
      </c>
      <c r="BQ509" s="66">
        <f t="shared" si="416"/>
        <v>17.603405393440863</v>
      </c>
    </row>
    <row r="510" spans="1:69" x14ac:dyDescent="0.15">
      <c r="A510">
        <f t="shared" si="420"/>
        <v>1480000</v>
      </c>
      <c r="B510">
        <f t="shared" si="404"/>
        <v>1480</v>
      </c>
      <c r="C510">
        <f t="shared" si="373"/>
        <v>6.2183492829627216</v>
      </c>
      <c r="D510">
        <f t="shared" si="374"/>
        <v>1.4092806074913753</v>
      </c>
      <c r="F510">
        <f t="shared" si="375"/>
        <v>1.0568508707160344E-5</v>
      </c>
      <c r="G510">
        <f t="shared" si="376"/>
        <v>1.0648309914954028E-3</v>
      </c>
      <c r="H510">
        <f t="shared" si="377"/>
        <v>-3.1405278190085046</v>
      </c>
      <c r="J510">
        <f t="shared" si="378"/>
        <v>15</v>
      </c>
      <c r="M510">
        <f t="shared" si="379"/>
        <v>6.4393487325520456E-4</v>
      </c>
      <c r="N510">
        <f t="shared" si="380"/>
        <v>-1.5707963250000001</v>
      </c>
      <c r="O510">
        <f t="shared" si="381"/>
        <v>629.08587341115219</v>
      </c>
      <c r="P510">
        <f t="shared" si="382"/>
        <v>1.5692067180253968</v>
      </c>
      <c r="Q510">
        <f t="shared" si="383"/>
        <v>284.72203602691707</v>
      </c>
      <c r="R510">
        <f t="shared" si="384"/>
        <v>1.5672841221552858</v>
      </c>
      <c r="S510">
        <f t="shared" si="385"/>
        <v>0.17143225661964448</v>
      </c>
      <c r="T510">
        <f t="shared" si="386"/>
        <v>-1.3985130625013331</v>
      </c>
      <c r="U510">
        <f t="shared" si="387"/>
        <v>8.8143877784085278E-2</v>
      </c>
      <c r="V510">
        <f t="shared" si="388"/>
        <v>-1.4825379114376491</v>
      </c>
      <c r="X510">
        <f t="shared" si="405"/>
        <v>-55.299245298123118</v>
      </c>
      <c r="Y510">
        <f t="shared" si="389"/>
        <v>-174.55753235530941</v>
      </c>
      <c r="Z510">
        <f t="shared" si="406"/>
        <v>5.4424676446905949</v>
      </c>
      <c r="AC510">
        <v>1</v>
      </c>
      <c r="AD510">
        <f t="shared" si="390"/>
        <v>629.08507860660006</v>
      </c>
      <c r="AE510">
        <f t="shared" si="391"/>
        <v>-0.87749010227377422</v>
      </c>
      <c r="AF510">
        <f t="shared" si="392"/>
        <v>7.7647603937400014E-2</v>
      </c>
      <c r="AG510">
        <f t="shared" si="421"/>
        <v>61.814876807934745</v>
      </c>
      <c r="AH510">
        <f t="shared" si="422"/>
        <v>-711.44426577247407</v>
      </c>
      <c r="AJ510">
        <f t="shared" si="393"/>
        <v>20000</v>
      </c>
      <c r="AK510">
        <f t="shared" si="394"/>
        <v>114937.05205584</v>
      </c>
      <c r="AL510">
        <v>1</v>
      </c>
      <c r="AM510">
        <f t="shared" si="395"/>
        <v>284.72027992279197</v>
      </c>
      <c r="AN510">
        <f t="shared" si="423"/>
        <v>403.92583834427592</v>
      </c>
      <c r="AO510">
        <f t="shared" si="424"/>
        <v>-68.825705590657691</v>
      </c>
      <c r="AQ510">
        <f t="shared" si="396"/>
        <v>1.1413439164828438E-3</v>
      </c>
      <c r="AR510">
        <f t="shared" si="397"/>
        <v>-3.3783779927892175</v>
      </c>
      <c r="AT510">
        <f t="shared" si="418"/>
        <v>-2403.4570985482169</v>
      </c>
      <c r="AU510">
        <f t="shared" si="419"/>
        <v>-209.64602201955935</v>
      </c>
      <c r="AV510">
        <f t="shared" si="407"/>
        <v>-3.0545860091770605</v>
      </c>
      <c r="AW510">
        <f t="shared" si="408"/>
        <v>227.38326458844841</v>
      </c>
      <c r="AX510">
        <f t="shared" si="409"/>
        <v>-2221.5142963196581</v>
      </c>
      <c r="AY510">
        <f t="shared" si="417"/>
        <v>-1.4687964637145905</v>
      </c>
      <c r="BA510">
        <f t="shared" si="398"/>
        <v>1.080363881609703</v>
      </c>
      <c r="BB510">
        <f t="shared" si="410"/>
        <v>0.67140113119306133</v>
      </c>
      <c r="BC510">
        <f t="shared" si="411"/>
        <v>-1.58578954546247</v>
      </c>
      <c r="BD510">
        <f t="shared" si="399"/>
        <v>-270.85904825479031</v>
      </c>
      <c r="BF510">
        <f t="shared" si="400"/>
        <v>-59.452997244914272</v>
      </c>
      <c r="BG510">
        <f t="shared" si="401"/>
        <v>-190.05220688185904</v>
      </c>
      <c r="BH510">
        <f t="shared" si="412"/>
        <v>-10.052206881859036</v>
      </c>
      <c r="BI510">
        <f t="shared" si="413"/>
        <v>-10.052206881859036</v>
      </c>
      <c r="BJ510">
        <f t="shared" si="402"/>
        <v>0</v>
      </c>
      <c r="BK510">
        <f t="shared" si="414"/>
        <v>0</v>
      </c>
      <c r="BM510">
        <f t="shared" si="415"/>
        <v>-60.124398376107337</v>
      </c>
      <c r="BN510">
        <f t="shared" si="403"/>
        <v>-99.19315862706874</v>
      </c>
      <c r="BQ510" s="66">
        <f t="shared" si="416"/>
        <v>17.573361931478196</v>
      </c>
    </row>
    <row r="511" spans="1:69" x14ac:dyDescent="0.15">
      <c r="A511">
        <f t="shared" si="420"/>
        <v>1485000</v>
      </c>
      <c r="B511">
        <f t="shared" si="404"/>
        <v>1485</v>
      </c>
      <c r="C511">
        <f t="shared" si="373"/>
        <v>6.2388148189534567</v>
      </c>
      <c r="D511">
        <f t="shared" si="374"/>
        <v>1.4098150692307998</v>
      </c>
      <c r="F511">
        <f t="shared" si="375"/>
        <v>1.0497459392501417E-5</v>
      </c>
      <c r="G511">
        <f t="shared" si="376"/>
        <v>1.0612456280276834E-3</v>
      </c>
      <c r="H511">
        <f t="shared" si="377"/>
        <v>-3.1405314043719725</v>
      </c>
      <c r="J511">
        <f t="shared" si="378"/>
        <v>15</v>
      </c>
      <c r="M511">
        <f t="shared" si="379"/>
        <v>6.4176674236882342E-4</v>
      </c>
      <c r="N511">
        <f t="shared" si="380"/>
        <v>-1.5707963250000001</v>
      </c>
      <c r="O511">
        <f t="shared" si="381"/>
        <v>631.21115816277097</v>
      </c>
      <c r="P511">
        <f t="shared" si="382"/>
        <v>1.5692120702345052</v>
      </c>
      <c r="Q511">
        <f t="shared" si="383"/>
        <v>285.68392295172185</v>
      </c>
      <c r="R511">
        <f t="shared" si="384"/>
        <v>1.5672959476633732</v>
      </c>
      <c r="S511">
        <f t="shared" si="385"/>
        <v>0.17087192427975223</v>
      </c>
      <c r="T511">
        <f t="shared" si="386"/>
        <v>-1.3990817865892928</v>
      </c>
      <c r="U511">
        <f t="shared" si="387"/>
        <v>8.7849391299707022E-2</v>
      </c>
      <c r="V511">
        <f t="shared" si="388"/>
        <v>-1.4828335447521712</v>
      </c>
      <c r="X511">
        <f t="shared" si="405"/>
        <v>-55.357505999300656</v>
      </c>
      <c r="Y511">
        <f t="shared" si="389"/>
        <v>-174.57565520000068</v>
      </c>
      <c r="Z511">
        <f t="shared" si="406"/>
        <v>5.424344799999318</v>
      </c>
      <c r="AC511">
        <v>1</v>
      </c>
      <c r="AD511">
        <f t="shared" si="390"/>
        <v>631.21036603432503</v>
      </c>
      <c r="AE511">
        <f t="shared" si="391"/>
        <v>-0.88342910463234292</v>
      </c>
      <c r="AF511">
        <f t="shared" si="392"/>
        <v>7.7909926923675016E-2</v>
      </c>
      <c r="AG511">
        <f t="shared" si="421"/>
        <v>61.402522887312557</v>
      </c>
      <c r="AH511">
        <f t="shared" si="422"/>
        <v>-709.08519617309355</v>
      </c>
      <c r="AJ511">
        <f t="shared" si="393"/>
        <v>20000</v>
      </c>
      <c r="AK511">
        <f t="shared" si="394"/>
        <v>115325.35290738</v>
      </c>
      <c r="AL511">
        <v>1</v>
      </c>
      <c r="AM511">
        <f t="shared" si="395"/>
        <v>285.68217276036899</v>
      </c>
      <c r="AN511">
        <f t="shared" si="423"/>
        <v>403.92421328673282</v>
      </c>
      <c r="AO511">
        <f t="shared" si="424"/>
        <v>-68.593974896538299</v>
      </c>
      <c r="AQ511">
        <f t="shared" si="396"/>
        <v>1.133671038820184E-3</v>
      </c>
      <c r="AR511">
        <f t="shared" si="397"/>
        <v>-3.3670029852959464</v>
      </c>
      <c r="AT511">
        <f t="shared" si="418"/>
        <v>-2387.4223620820603</v>
      </c>
      <c r="AU511">
        <f t="shared" si="419"/>
        <v>-207.54634721724162</v>
      </c>
      <c r="AV511">
        <f t="shared" si="407"/>
        <v>-3.0548774277834823</v>
      </c>
      <c r="AW511">
        <f t="shared" si="408"/>
        <v>228.57132092795158</v>
      </c>
      <c r="AX511">
        <f t="shared" si="409"/>
        <v>-2214.0609533640436</v>
      </c>
      <c r="AY511">
        <f t="shared" si="417"/>
        <v>-1.4679245167395298</v>
      </c>
      <c r="BA511">
        <f t="shared" si="398"/>
        <v>1.0766450085411421</v>
      </c>
      <c r="BB511">
        <f t="shared" si="410"/>
        <v>0.64145062593140767</v>
      </c>
      <c r="BC511">
        <f t="shared" si="411"/>
        <v>-1.5869529110439524</v>
      </c>
      <c r="BD511">
        <f t="shared" si="399"/>
        <v>-270.92570419271624</v>
      </c>
      <c r="BF511">
        <f t="shared" si="400"/>
        <v>-59.512998225364981</v>
      </c>
      <c r="BG511">
        <f t="shared" si="401"/>
        <v>-190.08844584396468</v>
      </c>
      <c r="BH511">
        <f t="shared" si="412"/>
        <v>-10.088445843964678</v>
      </c>
      <c r="BI511">
        <f t="shared" si="413"/>
        <v>-10.088445843964678</v>
      </c>
      <c r="BJ511">
        <f t="shared" si="402"/>
        <v>0</v>
      </c>
      <c r="BK511">
        <f t="shared" si="414"/>
        <v>0</v>
      </c>
      <c r="BM511">
        <f t="shared" si="415"/>
        <v>-60.154448851296387</v>
      </c>
      <c r="BN511">
        <f t="shared" si="403"/>
        <v>-99.162741651248481</v>
      </c>
      <c r="BQ511" s="66">
        <f t="shared" si="416"/>
        <v>17.543411426216544</v>
      </c>
    </row>
    <row r="512" spans="1:69" x14ac:dyDescent="0.15">
      <c r="A512">
        <f t="shared" si="420"/>
        <v>1490000</v>
      </c>
      <c r="B512">
        <f t="shared" si="404"/>
        <v>1490</v>
      </c>
      <c r="C512">
        <f t="shared" si="373"/>
        <v>6.2592821254035975</v>
      </c>
      <c r="D512">
        <f t="shared" si="374"/>
        <v>1.410346035834553</v>
      </c>
      <c r="F512">
        <f t="shared" si="375"/>
        <v>1.0427124148194638E-5</v>
      </c>
      <c r="G512">
        <f t="shared" si="376"/>
        <v>1.0576843281425987E-3</v>
      </c>
      <c r="H512">
        <f t="shared" si="377"/>
        <v>-3.1405349656718577</v>
      </c>
      <c r="J512">
        <f t="shared" si="378"/>
        <v>15</v>
      </c>
      <c r="M512">
        <f t="shared" si="379"/>
        <v>6.3961316269644478E-4</v>
      </c>
      <c r="N512">
        <f t="shared" si="380"/>
        <v>-1.5707963250000001</v>
      </c>
      <c r="O512">
        <f t="shared" si="381"/>
        <v>633.33644293235011</v>
      </c>
      <c r="P512">
        <f t="shared" si="382"/>
        <v>1.5692173865228369</v>
      </c>
      <c r="Q512">
        <f t="shared" si="383"/>
        <v>286.64580991620932</v>
      </c>
      <c r="R512">
        <f t="shared" si="384"/>
        <v>1.567307693806604</v>
      </c>
      <c r="S512">
        <f t="shared" si="385"/>
        <v>0.17031518838753176</v>
      </c>
      <c r="T512">
        <f t="shared" si="386"/>
        <v>-1.3996468048187878</v>
      </c>
      <c r="U512">
        <f t="shared" si="387"/>
        <v>8.7556858430837325E-2</v>
      </c>
      <c r="V512">
        <f t="shared" si="388"/>
        <v>-1.4831272092120609</v>
      </c>
      <c r="X512">
        <f t="shared" si="405"/>
        <v>-55.415573015938918</v>
      </c>
      <c r="Y512">
        <f t="shared" si="389"/>
        <v>-174.59365839074275</v>
      </c>
      <c r="Z512">
        <f t="shared" si="406"/>
        <v>5.4063416092572538</v>
      </c>
      <c r="AC512">
        <v>1</v>
      </c>
      <c r="AD512">
        <f t="shared" si="390"/>
        <v>633.33565346205012</v>
      </c>
      <c r="AE512">
        <f t="shared" si="391"/>
        <v>-0.88938813735299771</v>
      </c>
      <c r="AF512">
        <f t="shared" si="392"/>
        <v>7.8172249909950017E-2</v>
      </c>
      <c r="AG512">
        <f t="shared" si="421"/>
        <v>60.994270779309183</v>
      </c>
      <c r="AH512">
        <f t="shared" si="422"/>
        <v>-706.74159872916835</v>
      </c>
      <c r="AJ512">
        <f t="shared" si="393"/>
        <v>20000</v>
      </c>
      <c r="AK512">
        <f t="shared" si="394"/>
        <v>115713.65375891999</v>
      </c>
      <c r="AL512">
        <v>1</v>
      </c>
      <c r="AM512">
        <f t="shared" si="395"/>
        <v>286.644065597946</v>
      </c>
      <c r="AN512">
        <f t="shared" si="423"/>
        <v>403.92260456109943</v>
      </c>
      <c r="AO512">
        <f t="shared" si="424"/>
        <v>-68.36379938500049</v>
      </c>
      <c r="AQ512">
        <f t="shared" si="396"/>
        <v>1.1260752752043517E-3</v>
      </c>
      <c r="AR512">
        <f t="shared" si="397"/>
        <v>-3.355704320108968</v>
      </c>
      <c r="AT512">
        <f t="shared" si="418"/>
        <v>-2371.5471519159355</v>
      </c>
      <c r="AU512">
        <f t="shared" si="419"/>
        <v>-205.47458219631133</v>
      </c>
      <c r="AV512">
        <f t="shared" si="407"/>
        <v>-3.0551669058218143</v>
      </c>
      <c r="AW512">
        <f t="shared" si="408"/>
        <v>229.74739942222317</v>
      </c>
      <c r="AX512">
        <f t="shared" si="409"/>
        <v>-2206.6573707066309</v>
      </c>
      <c r="AY512">
        <f t="shared" si="417"/>
        <v>-1.4670545305393334</v>
      </c>
      <c r="BA512">
        <f t="shared" si="398"/>
        <v>1.072950342584053</v>
      </c>
      <c r="BB512">
        <f t="shared" si="410"/>
        <v>0.61159245533444828</v>
      </c>
      <c r="BC512">
        <f t="shared" si="411"/>
        <v>-1.5881123752824808</v>
      </c>
      <c r="BD512">
        <f t="shared" si="399"/>
        <v>-270.99213660015613</v>
      </c>
      <c r="BF512">
        <f t="shared" si="400"/>
        <v>-59.572800935462382</v>
      </c>
      <c r="BG512">
        <f t="shared" si="401"/>
        <v>-190.12466015336562</v>
      </c>
      <c r="BH512">
        <f t="shared" si="412"/>
        <v>-10.124660153365625</v>
      </c>
      <c r="BI512">
        <f t="shared" si="413"/>
        <v>-10.124660153365625</v>
      </c>
      <c r="BJ512">
        <f t="shared" si="402"/>
        <v>0</v>
      </c>
      <c r="BK512">
        <f t="shared" si="414"/>
        <v>0</v>
      </c>
      <c r="BM512">
        <f t="shared" si="415"/>
        <v>-60.184393390796835</v>
      </c>
      <c r="BN512">
        <f t="shared" si="403"/>
        <v>-99.132523553209509</v>
      </c>
      <c r="BQ512" s="66">
        <f t="shared" si="416"/>
        <v>17.513553255619584</v>
      </c>
    </row>
    <row r="513" spans="1:69" x14ac:dyDescent="0.15">
      <c r="A513">
        <f t="shared" si="420"/>
        <v>1495000</v>
      </c>
      <c r="B513">
        <f t="shared" si="404"/>
        <v>1495</v>
      </c>
      <c r="C513">
        <f t="shared" si="373"/>
        <v>6.2797511850020111</v>
      </c>
      <c r="D513">
        <f t="shared" si="374"/>
        <v>1.4108735411793116</v>
      </c>
      <c r="F513">
        <f t="shared" si="375"/>
        <v>1.0357493437292836E-5</v>
      </c>
      <c r="G513">
        <f t="shared" si="376"/>
        <v>1.0541468503896623E-3</v>
      </c>
      <c r="H513">
        <f t="shared" si="377"/>
        <v>-3.1405385031496107</v>
      </c>
      <c r="J513">
        <f t="shared" si="378"/>
        <v>15</v>
      </c>
      <c r="M513">
        <f t="shared" si="379"/>
        <v>6.3747398823926608E-4</v>
      </c>
      <c r="N513">
        <f t="shared" si="380"/>
        <v>-1.5707963250000001</v>
      </c>
      <c r="O513">
        <f t="shared" si="381"/>
        <v>635.46172771970953</v>
      </c>
      <c r="P513">
        <f t="shared" si="382"/>
        <v>1.5692226672508001</v>
      </c>
      <c r="Q513">
        <f t="shared" si="383"/>
        <v>287.60769691998127</v>
      </c>
      <c r="R513">
        <f t="shared" si="384"/>
        <v>1.5673193613812677</v>
      </c>
      <c r="S513">
        <f t="shared" si="385"/>
        <v>0.16976201496451204</v>
      </c>
      <c r="T513">
        <f t="shared" si="386"/>
        <v>-1.400208152936502</v>
      </c>
      <c r="U513">
        <f t="shared" si="387"/>
        <v>8.7266259876622551E-2</v>
      </c>
      <c r="V513">
        <f t="shared" si="388"/>
        <v>-1.4834189243701201</v>
      </c>
      <c r="X513">
        <f t="shared" si="405"/>
        <v>-55.47344762489292</v>
      </c>
      <c r="Y513">
        <f t="shared" si="389"/>
        <v>-174.61154310253229</v>
      </c>
      <c r="Z513">
        <f t="shared" si="406"/>
        <v>5.3884568974677052</v>
      </c>
      <c r="AC513">
        <v>1</v>
      </c>
      <c r="AD513">
        <f t="shared" si="390"/>
        <v>635.46094088977509</v>
      </c>
      <c r="AE513">
        <f t="shared" si="391"/>
        <v>-0.89536720043573881</v>
      </c>
      <c r="AF513">
        <f t="shared" si="392"/>
        <v>7.8434572896225019E-2</v>
      </c>
      <c r="AG513">
        <f t="shared" si="421"/>
        <v>60.590066400424909</v>
      </c>
      <c r="AH513">
        <f t="shared" si="422"/>
        <v>-704.41332293941923</v>
      </c>
      <c r="AJ513">
        <f t="shared" si="393"/>
        <v>20000</v>
      </c>
      <c r="AK513">
        <f t="shared" si="394"/>
        <v>116101.95461046002</v>
      </c>
      <c r="AL513">
        <v>1</v>
      </c>
      <c r="AM513">
        <f t="shared" si="395"/>
        <v>287.60595843552301</v>
      </c>
      <c r="AN513">
        <f t="shared" si="423"/>
        <v>403.92101194925903</v>
      </c>
      <c r="AO513">
        <f t="shared" si="424"/>
        <v>-68.135163452964036</v>
      </c>
      <c r="AQ513">
        <f t="shared" si="396"/>
        <v>1.1185555957365582E-3</v>
      </c>
      <c r="AR513">
        <f t="shared" si="397"/>
        <v>-3.3444812312523093</v>
      </c>
      <c r="AT513">
        <f t="shared" si="418"/>
        <v>-2355.8293642571412</v>
      </c>
      <c r="AU513">
        <f t="shared" si="419"/>
        <v>-203.43026534063756</v>
      </c>
      <c r="AV513">
        <f t="shared" si="407"/>
        <v>-3.0554544625610478</v>
      </c>
      <c r="AW513">
        <f t="shared" si="408"/>
        <v>230.91166066096136</v>
      </c>
      <c r="AX513">
        <f t="shared" si="409"/>
        <v>-2199.3030525148547</v>
      </c>
      <c r="AY513">
        <f t="shared" si="417"/>
        <v>-1.4661864870263499</v>
      </c>
      <c r="BA513">
        <f t="shared" si="398"/>
        <v>1.0692796464124461</v>
      </c>
      <c r="BB513">
        <f t="shared" si="410"/>
        <v>0.58182600335779422</v>
      </c>
      <c r="BC513">
        <f t="shared" si="411"/>
        <v>-1.5892679755346979</v>
      </c>
      <c r="BD513">
        <f t="shared" si="399"/>
        <v>-271.0583476174881</v>
      </c>
      <c r="BF513">
        <f t="shared" si="400"/>
        <v>-59.632406748621712</v>
      </c>
      <c r="BG513">
        <f t="shared" si="401"/>
        <v>-190.16085002328339</v>
      </c>
      <c r="BH513">
        <f t="shared" si="412"/>
        <v>-10.160850023283388</v>
      </c>
      <c r="BI513">
        <f t="shared" si="413"/>
        <v>-10.160850023283388</v>
      </c>
      <c r="BJ513">
        <f t="shared" si="402"/>
        <v>0</v>
      </c>
      <c r="BK513">
        <f t="shared" si="414"/>
        <v>0</v>
      </c>
      <c r="BM513">
        <f t="shared" si="415"/>
        <v>-60.214232751979502</v>
      </c>
      <c r="BN513">
        <f t="shared" si="403"/>
        <v>-99.102502405795292</v>
      </c>
      <c r="BQ513" s="66">
        <f t="shared" si="416"/>
        <v>17.483786803642932</v>
      </c>
    </row>
    <row r="514" spans="1:69" x14ac:dyDescent="0.15">
      <c r="A514">
        <f t="shared" si="420"/>
        <v>1500000</v>
      </c>
      <c r="B514">
        <f t="shared" si="404"/>
        <v>1500</v>
      </c>
      <c r="C514">
        <f t="shared" si="373"/>
        <v>6.3002219806610622</v>
      </c>
      <c r="D514">
        <f t="shared" si="374"/>
        <v>1.411397618709223</v>
      </c>
      <c r="F514">
        <f t="shared" si="375"/>
        <v>1.0288557881535756E-5</v>
      </c>
      <c r="G514">
        <f t="shared" si="376"/>
        <v>1.0506329565378916E-3</v>
      </c>
      <c r="H514">
        <f t="shared" si="377"/>
        <v>-3.1405420170434621</v>
      </c>
      <c r="J514">
        <f t="shared" si="378"/>
        <v>15</v>
      </c>
      <c r="M514">
        <f t="shared" si="379"/>
        <v>6.3534907494513517E-4</v>
      </c>
      <c r="N514">
        <f t="shared" si="380"/>
        <v>-1.5707963250000001</v>
      </c>
      <c r="O514">
        <f t="shared" si="381"/>
        <v>637.5870125246712</v>
      </c>
      <c r="P514">
        <f t="shared" si="382"/>
        <v>1.569227912773997</v>
      </c>
      <c r="Q514">
        <f t="shared" si="383"/>
        <v>288.56958396264491</v>
      </c>
      <c r="R514">
        <f t="shared" si="384"/>
        <v>1.5673309511730376</v>
      </c>
      <c r="S514">
        <f t="shared" si="385"/>
        <v>0.16921237045185036</v>
      </c>
      <c r="T514">
        <f t="shared" si="386"/>
        <v>-1.400765866235486</v>
      </c>
      <c r="U514">
        <f t="shared" si="387"/>
        <v>8.697757658862508E-2</v>
      </c>
      <c r="V514">
        <f t="shared" si="388"/>
        <v>-1.4837087095217589</v>
      </c>
      <c r="X514">
        <f t="shared" si="405"/>
        <v>-55.531131090495037</v>
      </c>
      <c r="Y514">
        <f t="shared" si="389"/>
        <v>-174.62931049510854</v>
      </c>
      <c r="Z514">
        <f t="shared" si="406"/>
        <v>5.3706895048914589</v>
      </c>
      <c r="AC514">
        <v>1</v>
      </c>
      <c r="AD514">
        <f t="shared" si="390"/>
        <v>637.58622831750006</v>
      </c>
      <c r="AE514">
        <f t="shared" si="391"/>
        <v>-0.90136629388056611</v>
      </c>
      <c r="AF514">
        <f t="shared" si="392"/>
        <v>7.8696895882500006E-2</v>
      </c>
      <c r="AG514">
        <f t="shared" si="421"/>
        <v>60.189856553319785</v>
      </c>
      <c r="AH514">
        <f t="shared" si="422"/>
        <v>-702.10022023188219</v>
      </c>
      <c r="AJ514">
        <f t="shared" si="393"/>
        <v>20000</v>
      </c>
      <c r="AK514">
        <f t="shared" si="394"/>
        <v>116490.255462</v>
      </c>
      <c r="AL514">
        <v>1</v>
      </c>
      <c r="AM514">
        <f t="shared" si="395"/>
        <v>288.56785127309996</v>
      </c>
      <c r="AN514">
        <f t="shared" si="423"/>
        <v>403.91943523672359</v>
      </c>
      <c r="AO514">
        <f t="shared" si="424"/>
        <v>-67.908051705377218</v>
      </c>
      <c r="AQ514">
        <f t="shared" si="396"/>
        <v>1.1111109876543346E-3</v>
      </c>
      <c r="AR514">
        <f t="shared" si="397"/>
        <v>-3.333332962963004</v>
      </c>
      <c r="AT514">
        <f t="shared" si="418"/>
        <v>-2340.2669297915554</v>
      </c>
      <c r="AU514">
        <f t="shared" si="419"/>
        <v>-201.41294415432981</v>
      </c>
      <c r="AV514">
        <f t="shared" si="407"/>
        <v>-3.0557401170165672</v>
      </c>
      <c r="AW514">
        <f t="shared" si="408"/>
        <v>232.06426254966701</v>
      </c>
      <c r="AX514">
        <f t="shared" si="409"/>
        <v>-2191.9975095113641</v>
      </c>
      <c r="AY514">
        <f t="shared" si="417"/>
        <v>-1.4653203683610194</v>
      </c>
      <c r="BA514">
        <f t="shared" si="398"/>
        <v>1.0656326857796874</v>
      </c>
      <c r="BB514">
        <f t="shared" si="410"/>
        <v>0.55215065987379774</v>
      </c>
      <c r="BC514">
        <f t="shared" si="411"/>
        <v>-1.5904197486555478</v>
      </c>
      <c r="BD514">
        <f t="shared" si="399"/>
        <v>-271.12433935634482</v>
      </c>
      <c r="BF514">
        <f t="shared" si="400"/>
        <v>-59.691817024149579</v>
      </c>
      <c r="BG514">
        <f t="shared" si="401"/>
        <v>-190.19701566279181</v>
      </c>
      <c r="BH514">
        <f t="shared" si="412"/>
        <v>-10.197015662791813</v>
      </c>
      <c r="BI514">
        <f t="shared" si="413"/>
        <v>-10.197015662791813</v>
      </c>
      <c r="BJ514">
        <f t="shared" si="402"/>
        <v>0</v>
      </c>
      <c r="BK514">
        <f t="shared" si="414"/>
        <v>0</v>
      </c>
      <c r="BM514">
        <f t="shared" si="415"/>
        <v>-60.243967684023374</v>
      </c>
      <c r="BN514">
        <f t="shared" si="403"/>
        <v>-99.072676306447008</v>
      </c>
      <c r="BQ514" s="66">
        <f t="shared" si="416"/>
        <v>17.454111460158934</v>
      </c>
    </row>
    <row r="515" spans="1:69" x14ac:dyDescent="0.15">
      <c r="A515">
        <f t="shared" si="420"/>
        <v>1505000</v>
      </c>
      <c r="B515">
        <f t="shared" si="404"/>
        <v>1505</v>
      </c>
      <c r="C515">
        <f t="shared" si="373"/>
        <v>6.3206944955130435</v>
      </c>
      <c r="D515">
        <f t="shared" si="374"/>
        <v>1.4119183014427239</v>
      </c>
      <c r="F515">
        <f t="shared" si="375"/>
        <v>1.0220308258192068E-5</v>
      </c>
      <c r="G515">
        <f t="shared" si="376"/>
        <v>1.0471424115223232E-3</v>
      </c>
      <c r="H515">
        <f t="shared" si="377"/>
        <v>-3.1405455075884778</v>
      </c>
      <c r="J515">
        <f t="shared" si="378"/>
        <v>15</v>
      </c>
      <c r="M515">
        <f t="shared" si="379"/>
        <v>6.3323828067621453E-4</v>
      </c>
      <c r="N515">
        <f t="shared" si="380"/>
        <v>-1.5707963250000001</v>
      </c>
      <c r="O515">
        <f t="shared" si="381"/>
        <v>639.71229734706003</v>
      </c>
      <c r="P515">
        <f t="shared" si="382"/>
        <v>1.5692331234433046</v>
      </c>
      <c r="Q515">
        <f t="shared" si="383"/>
        <v>289.53147104381264</v>
      </c>
      <c r="R515">
        <f t="shared" si="384"/>
        <v>1.5673424639571458</v>
      </c>
      <c r="S515">
        <f t="shared" si="385"/>
        <v>0.16866622170399126</v>
      </c>
      <c r="T515">
        <f t="shared" si="386"/>
        <v>-1.4013199795622551</v>
      </c>
      <c r="U515">
        <f t="shared" si="387"/>
        <v>8.6690789766726728E-2</v>
      </c>
      <c r="V515">
        <f t="shared" si="388"/>
        <v>-1.4839965837092071</v>
      </c>
      <c r="X515">
        <f t="shared" si="405"/>
        <v>-55.588624664717408</v>
      </c>
      <c r="Y515">
        <f t="shared" si="389"/>
        <v>-174.64696171319912</v>
      </c>
      <c r="Z515">
        <f t="shared" si="406"/>
        <v>5.3530382868008815</v>
      </c>
      <c r="AC515">
        <v>1</v>
      </c>
      <c r="AD515">
        <f t="shared" si="390"/>
        <v>639.71151574522514</v>
      </c>
      <c r="AE515">
        <f t="shared" si="391"/>
        <v>-0.90738541768747982</v>
      </c>
      <c r="AF515">
        <f t="shared" si="392"/>
        <v>7.8959218868775008E-2</v>
      </c>
      <c r="AG515">
        <f t="shared" si="421"/>
        <v>59.793588909491739</v>
      </c>
      <c r="AH515">
        <f t="shared" si="422"/>
        <v>-699.80214393336587</v>
      </c>
      <c r="AJ515">
        <f t="shared" si="393"/>
        <v>20000</v>
      </c>
      <c r="AK515">
        <f t="shared" si="394"/>
        <v>116878.55631354</v>
      </c>
      <c r="AL515">
        <v>1</v>
      </c>
      <c r="AM515">
        <f t="shared" si="395"/>
        <v>289.52974411067703</v>
      </c>
      <c r="AN515">
        <f t="shared" si="423"/>
        <v>403.9178742125622</v>
      </c>
      <c r="AO515">
        <f t="shared" si="424"/>
        <v>-67.682448951761387</v>
      </c>
      <c r="AQ515">
        <f t="shared" si="396"/>
        <v>1.1037404549905129E-3</v>
      </c>
      <c r="AR515">
        <f t="shared" si="397"/>
        <v>-3.3222587695214436</v>
      </c>
      <c r="AT515">
        <f t="shared" si="418"/>
        <v>-2324.8578130095038</v>
      </c>
      <c r="AU515">
        <f t="shared" si="419"/>
        <v>-199.4221750524674</v>
      </c>
      <c r="AV515">
        <f t="shared" si="407"/>
        <v>-3.0560238879542974</v>
      </c>
      <c r="AW515">
        <f t="shared" si="408"/>
        <v>233.20536036333854</v>
      </c>
      <c r="AX515">
        <f t="shared" si="409"/>
        <v>-2184.7402588662135</v>
      </c>
      <c r="AY515">
        <f t="shared" si="417"/>
        <v>-1.4644561569476993</v>
      </c>
      <c r="BA515">
        <f t="shared" si="398"/>
        <v>1.0620092294690517</v>
      </c>
      <c r="BB515">
        <f t="shared" si="410"/>
        <v>0.52256582059756962</v>
      </c>
      <c r="BC515">
        <f t="shared" si="411"/>
        <v>-1.5915677310065981</v>
      </c>
      <c r="BD515">
        <f t="shared" si="399"/>
        <v>-271.19011390009064</v>
      </c>
      <c r="BF515">
        <f t="shared" si="400"/>
        <v>-59.751033107436484</v>
      </c>
      <c r="BG515">
        <f t="shared" si="401"/>
        <v>-190.23315727690644</v>
      </c>
      <c r="BH515">
        <f t="shared" si="412"/>
        <v>-10.233157276906439</v>
      </c>
      <c r="BI515">
        <f t="shared" si="413"/>
        <v>-10.233157276906439</v>
      </c>
      <c r="BJ515">
        <f t="shared" si="402"/>
        <v>0</v>
      </c>
      <c r="BK515">
        <f t="shared" si="414"/>
        <v>0</v>
      </c>
      <c r="BM515">
        <f t="shared" si="415"/>
        <v>-60.273598928034062</v>
      </c>
      <c r="BN515">
        <f t="shared" si="403"/>
        <v>-99.043043376815788</v>
      </c>
      <c r="BQ515" s="66">
        <f t="shared" si="416"/>
        <v>17.424526620882705</v>
      </c>
    </row>
    <row r="516" spans="1:69" x14ac:dyDescent="0.15">
      <c r="A516">
        <f t="shared" si="420"/>
        <v>1510000</v>
      </c>
      <c r="B516">
        <f t="shared" si="404"/>
        <v>1510</v>
      </c>
      <c r="C516">
        <f t="shared" si="373"/>
        <v>6.3411687129066703</v>
      </c>
      <c r="D516">
        <f t="shared" si="374"/>
        <v>1.4124356219792316</v>
      </c>
      <c r="F516">
        <f t="shared" si="375"/>
        <v>1.0152735496974429E-5</v>
      </c>
      <c r="G516">
        <f t="shared" si="376"/>
        <v>1.0436749833915935E-3</v>
      </c>
      <c r="H516">
        <f t="shared" si="377"/>
        <v>-3.1405489750166087</v>
      </c>
      <c r="J516">
        <f t="shared" si="378"/>
        <v>15</v>
      </c>
      <c r="M516">
        <f t="shared" si="379"/>
        <v>6.3114146517728666E-4</v>
      </c>
      <c r="N516">
        <f t="shared" si="380"/>
        <v>-1.5707963250000001</v>
      </c>
      <c r="O516">
        <f t="shared" si="381"/>
        <v>641.83758218670255</v>
      </c>
      <c r="P516">
        <f t="shared" si="382"/>
        <v>1.5692382996049525</v>
      </c>
      <c r="Q516">
        <f t="shared" si="383"/>
        <v>290.49335816310196</v>
      </c>
      <c r="R516">
        <f t="shared" si="384"/>
        <v>1.5673539004985575</v>
      </c>
      <c r="S516">
        <f t="shared" si="385"/>
        <v>0.16812353598243762</v>
      </c>
      <c r="T516">
        <f t="shared" si="386"/>
        <v>-1.4018705273237542</v>
      </c>
      <c r="U516">
        <f t="shared" si="387"/>
        <v>8.64058808551115E-2</v>
      </c>
      <c r="V516">
        <f t="shared" si="388"/>
        <v>-1.4842825657256418</v>
      </c>
      <c r="X516">
        <f t="shared" si="405"/>
        <v>-55.645929587331828</v>
      </c>
      <c r="Y516">
        <f t="shared" si="389"/>
        <v>-174.6644978867605</v>
      </c>
      <c r="Z516">
        <f t="shared" si="406"/>
        <v>5.3355021132394995</v>
      </c>
      <c r="AC516">
        <v>1</v>
      </c>
      <c r="AD516">
        <f t="shared" si="390"/>
        <v>641.83680317295011</v>
      </c>
      <c r="AE516">
        <f t="shared" si="391"/>
        <v>-0.91342457185647952</v>
      </c>
      <c r="AF516">
        <f t="shared" si="392"/>
        <v>7.9221541855050009E-2</v>
      </c>
      <c r="AG516">
        <f t="shared" si="421"/>
        <v>59.401211992347868</v>
      </c>
      <c r="AH516">
        <f t="shared" si="422"/>
        <v>-697.51894923948453</v>
      </c>
      <c r="AJ516">
        <f t="shared" si="393"/>
        <v>20000</v>
      </c>
      <c r="AK516">
        <f t="shared" si="394"/>
        <v>117266.85716508</v>
      </c>
      <c r="AL516">
        <v>1</v>
      </c>
      <c r="AM516">
        <f t="shared" si="395"/>
        <v>290.49163694825398</v>
      </c>
      <c r="AN516">
        <f t="shared" si="423"/>
        <v>403.9163286693306</v>
      </c>
      <c r="AO516">
        <f t="shared" si="424"/>
        <v>-67.458340202824388</v>
      </c>
      <c r="AQ516">
        <f t="shared" si="396"/>
        <v>1.096443018240097E-3</v>
      </c>
      <c r="AR516">
        <f t="shared" si="397"/>
        <v>-3.3112579150850934</v>
      </c>
      <c r="AT516">
        <f t="shared" si="418"/>
        <v>-2309.6000115469164</v>
      </c>
      <c r="AU516">
        <f t="shared" si="419"/>
        <v>-197.45752315729325</v>
      </c>
      <c r="AV516">
        <f t="shared" si="407"/>
        <v>-3.0563057938947695</v>
      </c>
      <c r="AW516">
        <f t="shared" si="408"/>
        <v>234.3351067989162</v>
      </c>
      <c r="AX516">
        <f t="shared" si="409"/>
        <v>-2177.5308240911791</v>
      </c>
      <c r="AY516">
        <f t="shared" si="417"/>
        <v>-1.4635938354305735</v>
      </c>
      <c r="BA516">
        <f t="shared" si="398"/>
        <v>1.0584090492452103</v>
      </c>
      <c r="BB516">
        <f t="shared" si="410"/>
        <v>0.49307088701405261</v>
      </c>
      <c r="BC516">
        <f t="shared" si="411"/>
        <v>-1.592711958464196</v>
      </c>
      <c r="BD516">
        <f t="shared" si="399"/>
        <v>-271.25567330428891</v>
      </c>
      <c r="BF516">
        <f t="shared" si="400"/>
        <v>-59.810056330146196</v>
      </c>
      <c r="BG516">
        <f t="shared" si="401"/>
        <v>-190.26927506667138</v>
      </c>
      <c r="BH516">
        <f t="shared" si="412"/>
        <v>-10.269275066671383</v>
      </c>
      <c r="BI516">
        <f t="shared" si="413"/>
        <v>-10.269275066671383</v>
      </c>
      <c r="BJ516">
        <f t="shared" si="402"/>
        <v>0</v>
      </c>
      <c r="BK516">
        <f t="shared" si="414"/>
        <v>0</v>
      </c>
      <c r="BM516">
        <f t="shared" si="415"/>
        <v>-60.303127217160259</v>
      </c>
      <c r="BN516">
        <f t="shared" si="403"/>
        <v>-99.013601762382478</v>
      </c>
      <c r="BQ516" s="66">
        <f t="shared" si="416"/>
        <v>17.395031687299188</v>
      </c>
    </row>
    <row r="517" spans="1:69" x14ac:dyDescent="0.15">
      <c r="A517">
        <f t="shared" si="420"/>
        <v>1515000</v>
      </c>
      <c r="B517">
        <f t="shared" si="404"/>
        <v>1515</v>
      </c>
      <c r="C517">
        <f t="shared" si="373"/>
        <v>6.3616446164036429</v>
      </c>
      <c r="D517">
        <f t="shared" si="374"/>
        <v>1.4129496125057091</v>
      </c>
      <c r="F517">
        <f t="shared" si="375"/>
        <v>1.008583067702573E-5</v>
      </c>
      <c r="G517">
        <f t="shared" si="376"/>
        <v>1.0402304432565557E-3</v>
      </c>
      <c r="H517">
        <f t="shared" si="377"/>
        <v>-3.1405524195567436</v>
      </c>
      <c r="J517">
        <f t="shared" si="378"/>
        <v>15</v>
      </c>
      <c r="M517">
        <f t="shared" si="379"/>
        <v>6.2905849004468836E-4</v>
      </c>
      <c r="N517">
        <f t="shared" si="380"/>
        <v>-1.5707963250000001</v>
      </c>
      <c r="O517">
        <f t="shared" si="381"/>
        <v>643.96286704342833</v>
      </c>
      <c r="P517">
        <f t="shared" si="382"/>
        <v>1.5692434416005996</v>
      </c>
      <c r="Q517">
        <f t="shared" si="383"/>
        <v>291.45524532013536</v>
      </c>
      <c r="R517">
        <f t="shared" si="384"/>
        <v>1.5673652615521385</v>
      </c>
      <c r="S517">
        <f t="shared" si="385"/>
        <v>0.16758428094963165</v>
      </c>
      <c r="T517">
        <f t="shared" si="386"/>
        <v>-1.4024175434941974</v>
      </c>
      <c r="U517">
        <f t="shared" si="387"/>
        <v>8.612283153832577E-2</v>
      </c>
      <c r="V517">
        <f t="shared" si="388"/>
        <v>-1.4845666741192354</v>
      </c>
      <c r="X517">
        <f t="shared" si="405"/>
        <v>-55.703047086066981</v>
      </c>
      <c r="Y517">
        <f t="shared" si="389"/>
        <v>-174.68192013121472</v>
      </c>
      <c r="Z517">
        <f t="shared" si="406"/>
        <v>5.3180798687852757</v>
      </c>
      <c r="AC517">
        <v>1</v>
      </c>
      <c r="AD517">
        <f t="shared" si="390"/>
        <v>643.96209060067508</v>
      </c>
      <c r="AE517">
        <f t="shared" si="391"/>
        <v>-0.91948375638756552</v>
      </c>
      <c r="AF517">
        <f t="shared" si="392"/>
        <v>7.9483864841325011E-2</v>
      </c>
      <c r="AG517">
        <f t="shared" si="421"/>
        <v>59.012675160657892</v>
      </c>
      <c r="AH517">
        <f t="shared" si="422"/>
        <v>-695.25049318524907</v>
      </c>
      <c r="AJ517">
        <f t="shared" si="393"/>
        <v>20000</v>
      </c>
      <c r="AK517">
        <f t="shared" si="394"/>
        <v>117655.15801662</v>
      </c>
      <c r="AL517">
        <v>1</v>
      </c>
      <c r="AM517">
        <f t="shared" si="395"/>
        <v>291.45352978583099</v>
      </c>
      <c r="AN517">
        <f t="shared" si="423"/>
        <v>403.91479840300161</v>
      </c>
      <c r="AO517">
        <f t="shared" si="424"/>
        <v>-67.235710667140665</v>
      </c>
      <c r="AQ517">
        <f t="shared" si="396"/>
        <v>1.0892177140348208E-3</v>
      </c>
      <c r="AR517">
        <f t="shared" si="397"/>
        <v>-3.300329673525507</v>
      </c>
      <c r="AT517">
        <f t="shared" si="418"/>
        <v>-2294.4915555413831</v>
      </c>
      <c r="AU517">
        <f t="shared" si="419"/>
        <v>-195.51856209970967</v>
      </c>
      <c r="AV517">
        <f t="shared" si="407"/>
        <v>-3.0565858531171113</v>
      </c>
      <c r="AW517">
        <f t="shared" si="408"/>
        <v>235.4536520265101</v>
      </c>
      <c r="AX517">
        <f t="shared" si="409"/>
        <v>-2170.3687349361307</v>
      </c>
      <c r="AY517">
        <f t="shared" si="417"/>
        <v>-1.4627333866896437</v>
      </c>
      <c r="BA517">
        <f t="shared" si="398"/>
        <v>1.0548319198066558</v>
      </c>
      <c r="BB517">
        <f t="shared" si="410"/>
        <v>0.46366526630633698</v>
      </c>
      <c r="BC517">
        <f t="shared" si="411"/>
        <v>-1.5938524664274676</v>
      </c>
      <c r="BD517">
        <f t="shared" si="399"/>
        <v>-271.3210195971601</v>
      </c>
      <c r="BF517">
        <f t="shared" si="400"/>
        <v>-59.868888010401733</v>
      </c>
      <c r="BG517">
        <f t="shared" si="401"/>
        <v>-190.30536922924441</v>
      </c>
      <c r="BH517">
        <f t="shared" si="412"/>
        <v>-10.305369229244405</v>
      </c>
      <c r="BI517">
        <f t="shared" si="413"/>
        <v>-10.305369229244405</v>
      </c>
      <c r="BJ517">
        <f t="shared" si="402"/>
        <v>0</v>
      </c>
      <c r="BK517">
        <f t="shared" si="414"/>
        <v>0</v>
      </c>
      <c r="BM517">
        <f t="shared" si="415"/>
        <v>-60.332553276708076</v>
      </c>
      <c r="BN517">
        <f t="shared" si="403"/>
        <v>-98.984349632084289</v>
      </c>
      <c r="BQ517" s="66">
        <f t="shared" si="416"/>
        <v>17.365626066591474</v>
      </c>
    </row>
    <row r="518" spans="1:69" x14ac:dyDescent="0.15">
      <c r="A518">
        <f>A517+5000</f>
        <v>1520000</v>
      </c>
      <c r="B518">
        <f t="shared" si="404"/>
        <v>1520</v>
      </c>
      <c r="C518">
        <f t="shared" si="373"/>
        <v>6.3821221897752718</v>
      </c>
      <c r="D518">
        <f t="shared" si="374"/>
        <v>1.4134603048031105</v>
      </c>
      <c r="F518">
        <f t="shared" si="375"/>
        <v>1.001958502397459E-5</v>
      </c>
      <c r="G518">
        <f t="shared" si="376"/>
        <v>1.0368085652399102E-3</v>
      </c>
      <c r="H518">
        <f t="shared" si="377"/>
        <v>-3.1405558414347605</v>
      </c>
      <c r="J518">
        <f t="shared" si="378"/>
        <v>15</v>
      </c>
      <c r="M518">
        <f t="shared" si="379"/>
        <v>6.269892186958571E-4</v>
      </c>
      <c r="N518">
        <f t="shared" si="380"/>
        <v>-1.5707963250000001</v>
      </c>
      <c r="O518">
        <f t="shared" si="381"/>
        <v>646.08815191706833</v>
      </c>
      <c r="P518">
        <f t="shared" si="382"/>
        <v>1.5692485497674091</v>
      </c>
      <c r="Q518">
        <f t="shared" si="383"/>
        <v>292.41713251454053</v>
      </c>
      <c r="R518">
        <f t="shared" si="384"/>
        <v>1.5673765478628228</v>
      </c>
      <c r="S518">
        <f t="shared" si="385"/>
        <v>0.16704842466294392</v>
      </c>
      <c r="T518">
        <f t="shared" si="386"/>
        <v>-1.4029610616217791</v>
      </c>
      <c r="U518">
        <f t="shared" si="387"/>
        <v>8.5841623737414025E-2</v>
      </c>
      <c r="V518">
        <f t="shared" si="388"/>
        <v>-1.4848489271971266</v>
      </c>
      <c r="X518">
        <f t="shared" si="405"/>
        <v>-55.759978376763257</v>
      </c>
      <c r="Y518">
        <f t="shared" si="389"/>
        <v>-174.69922954768126</v>
      </c>
      <c r="Z518">
        <f t="shared" si="406"/>
        <v>5.3007704523187442</v>
      </c>
      <c r="AC518">
        <v>1</v>
      </c>
      <c r="AD518">
        <f t="shared" si="390"/>
        <v>646.08737802840005</v>
      </c>
      <c r="AE518">
        <f t="shared" si="391"/>
        <v>-0.92556297128073783</v>
      </c>
      <c r="AF518">
        <f t="shared" si="392"/>
        <v>7.9746187827600012E-2</v>
      </c>
      <c r="AG518">
        <f t="shared" si="421"/>
        <v>58.627928592380677</v>
      </c>
      <c r="AH518">
        <f t="shared" si="422"/>
        <v>-692.99663461620753</v>
      </c>
      <c r="AJ518">
        <f t="shared" si="393"/>
        <v>20000</v>
      </c>
      <c r="AK518">
        <f t="shared" si="394"/>
        <v>118043.45886816001</v>
      </c>
      <c r="AL518">
        <v>1</v>
      </c>
      <c r="AM518">
        <f t="shared" si="395"/>
        <v>292.41542262340801</v>
      </c>
      <c r="AN518">
        <f t="shared" si="423"/>
        <v>403.91328321289814</v>
      </c>
      <c r="AO518">
        <f t="shared" si="424"/>
        <v>-67.014545747897301</v>
      </c>
      <c r="AQ518">
        <f t="shared" si="396"/>
        <v>1.0820635948251822E-3</v>
      </c>
      <c r="AR518">
        <f t="shared" si="397"/>
        <v>-3.2894733282685542</v>
      </c>
      <c r="AT518">
        <f t="shared" si="418"/>
        <v>-2279.5305070027134</v>
      </c>
      <c r="AU518">
        <f t="shared" si="419"/>
        <v>-193.60487382592416</v>
      </c>
      <c r="AV518">
        <f t="shared" si="407"/>
        <v>-3.0568640836629539</v>
      </c>
      <c r="AW518">
        <f t="shared" si="408"/>
        <v>236.5611437394432</v>
      </c>
      <c r="AX518">
        <f t="shared" si="409"/>
        <v>-2163.2535272874397</v>
      </c>
      <c r="AY518">
        <f t="shared" si="417"/>
        <v>-1.4618747938368006</v>
      </c>
      <c r="BA518">
        <f t="shared" si="398"/>
        <v>1.0512776187390112</v>
      </c>
      <c r="BB518">
        <f t="shared" si="410"/>
        <v>0.4343483712849136</v>
      </c>
      <c r="BC518">
        <f t="shared" si="411"/>
        <v>-1.5949892898261533</v>
      </c>
      <c r="BD518">
        <f t="shared" si="399"/>
        <v>-271.38615478003095</v>
      </c>
      <c r="BF518">
        <f t="shared" si="400"/>
        <v>-59.927529452968365</v>
      </c>
      <c r="BG518">
        <f t="shared" si="401"/>
        <v>-190.34143995797945</v>
      </c>
      <c r="BH518">
        <f t="shared" si="412"/>
        <v>-10.341439957979446</v>
      </c>
      <c r="BI518">
        <f t="shared" si="413"/>
        <v>-10.341439957979446</v>
      </c>
      <c r="BJ518">
        <f t="shared" si="402"/>
        <v>0</v>
      </c>
      <c r="BK518">
        <f t="shared" si="414"/>
        <v>0</v>
      </c>
      <c r="BM518">
        <f t="shared" si="415"/>
        <v>-60.361877824253284</v>
      </c>
      <c r="BN518">
        <f t="shared" si="403"/>
        <v>-98.955285177948511</v>
      </c>
      <c r="BQ518" s="66">
        <f t="shared" si="416"/>
        <v>17.336309171570051</v>
      </c>
    </row>
    <row r="519" spans="1:69" x14ac:dyDescent="0.15">
      <c r="A519">
        <f t="shared" si="420"/>
        <v>1525000</v>
      </c>
      <c r="B519">
        <f t="shared" si="404"/>
        <v>1525</v>
      </c>
      <c r="C519">
        <f t="shared" si="373"/>
        <v>6.4026014169991745</v>
      </c>
      <c r="D519">
        <f t="shared" si="374"/>
        <v>1.4139677302527058</v>
      </c>
      <c r="F519">
        <f t="shared" si="375"/>
        <v>9.9539899070583621E-6</v>
      </c>
      <c r="G519">
        <f t="shared" si="376"/>
        <v>1.0334091264268294E-3</v>
      </c>
      <c r="H519">
        <f t="shared" si="377"/>
        <v>-3.1405592408735732</v>
      </c>
      <c r="J519">
        <f t="shared" si="378"/>
        <v>15</v>
      </c>
      <c r="M519">
        <f t="shared" si="379"/>
        <v>6.2493351633947718E-4</v>
      </c>
      <c r="N519">
        <f t="shared" si="380"/>
        <v>-1.5707963250000001</v>
      </c>
      <c r="O519">
        <f t="shared" si="381"/>
        <v>648.21343680745645</v>
      </c>
      <c r="P519">
        <f t="shared" si="382"/>
        <v>1.569253624438123</v>
      </c>
      <c r="Q519">
        <f t="shared" si="383"/>
        <v>293.37901974594973</v>
      </c>
      <c r="R519">
        <f t="shared" si="384"/>
        <v>1.5673877601657753</v>
      </c>
      <c r="S519">
        <f t="shared" si="385"/>
        <v>0.16651593556876818</v>
      </c>
      <c r="T519">
        <f t="shared" si="386"/>
        <v>-1.403501114835263</v>
      </c>
      <c r="U519">
        <f t="shared" si="387"/>
        <v>8.5562239606128701E-2</v>
      </c>
      <c r="V519">
        <f t="shared" si="388"/>
        <v>-1.4851293430293113</v>
      </c>
      <c r="X519">
        <f t="shared" si="405"/>
        <v>-55.816724663524973</v>
      </c>
      <c r="Y519">
        <f t="shared" si="389"/>
        <v>-174.71642722320402</v>
      </c>
      <c r="Z519">
        <f t="shared" si="406"/>
        <v>5.2835727767959781</v>
      </c>
      <c r="AC519">
        <v>1</v>
      </c>
      <c r="AD519">
        <f t="shared" si="390"/>
        <v>648.21266545612502</v>
      </c>
      <c r="AE519">
        <f t="shared" si="391"/>
        <v>-0.93166221653599635</v>
      </c>
      <c r="AF519">
        <f t="shared" si="392"/>
        <v>8.0008510813875014E-2</v>
      </c>
      <c r="AG519">
        <f t="shared" si="421"/>
        <v>58.246923268853934</v>
      </c>
      <c r="AH519">
        <f t="shared" si="422"/>
        <v>-690.75723416012249</v>
      </c>
      <c r="AJ519">
        <f t="shared" si="393"/>
        <v>20000</v>
      </c>
      <c r="AK519">
        <f t="shared" si="394"/>
        <v>118431.75971970001</v>
      </c>
      <c r="AL519">
        <v>1</v>
      </c>
      <c r="AM519">
        <f t="shared" si="395"/>
        <v>293.37731546098496</v>
      </c>
      <c r="AN519">
        <f t="shared" si="423"/>
        <v>403.91178290162765</v>
      </c>
      <c r="AO519">
        <f t="shared" si="424"/>
        <v>-66.794831039703794</v>
      </c>
      <c r="AQ519">
        <f t="shared" si="396"/>
        <v>1.0749797285697685E-3</v>
      </c>
      <c r="AR519">
        <f t="shared" si="397"/>
        <v>-3.2786881721377941</v>
      </c>
      <c r="AT519">
        <f t="shared" si="418"/>
        <v>-2264.7149591976445</v>
      </c>
      <c r="AU519">
        <f t="shared" si="419"/>
        <v>-191.7160484090941</v>
      </c>
      <c r="AV519">
        <f t="shared" si="407"/>
        <v>-3.0571405033402708</v>
      </c>
      <c r="AW519">
        <f t="shared" si="408"/>
        <v>237.65772720314274</v>
      </c>
      <c r="AX519">
        <f t="shared" si="409"/>
        <v>-2156.1847430683583</v>
      </c>
      <c r="AY519">
        <f t="shared" si="417"/>
        <v>-1.4610180402119732</v>
      </c>
      <c r="BA519">
        <f t="shared" si="398"/>
        <v>1.0477459264692364</v>
      </c>
      <c r="BB519">
        <f t="shared" si="410"/>
        <v>0.40511962031813403</v>
      </c>
      <c r="BC519">
        <f t="shared" si="411"/>
        <v>-1.5961224631282975</v>
      </c>
      <c r="BD519">
        <f t="shared" si="399"/>
        <v>-271.45108082777489</v>
      </c>
      <c r="BF519">
        <f t="shared" si="400"/>
        <v>-59.985981949433437</v>
      </c>
      <c r="BG519">
        <f t="shared" si="401"/>
        <v>-190.37748744250774</v>
      </c>
      <c r="BH519">
        <f t="shared" si="412"/>
        <v>-10.377487442507743</v>
      </c>
      <c r="BI519">
        <f t="shared" si="413"/>
        <v>-10.377487442507743</v>
      </c>
      <c r="BJ519">
        <f t="shared" si="402"/>
        <v>0</v>
      </c>
      <c r="BK519">
        <f t="shared" si="414"/>
        <v>0</v>
      </c>
      <c r="BM519">
        <f t="shared" si="415"/>
        <v>-60.391101569751569</v>
      </c>
      <c r="BN519">
        <f t="shared" si="403"/>
        <v>-98.926406614732841</v>
      </c>
      <c r="BQ519" s="66">
        <f t="shared" si="416"/>
        <v>17.30708042060327</v>
      </c>
    </row>
    <row r="520" spans="1:69" x14ac:dyDescent="0.15">
      <c r="A520">
        <f t="shared" si="420"/>
        <v>1530000</v>
      </c>
      <c r="B520">
        <f t="shared" si="404"/>
        <v>1530</v>
      </c>
      <c r="C520">
        <f t="shared" si="373"/>
        <v>6.4230822822560221</v>
      </c>
      <c r="D520">
        <f t="shared" si="374"/>
        <v>1.4144719198422897</v>
      </c>
      <c r="F520">
        <f t="shared" si="375"/>
        <v>9.8890368363118105E-6</v>
      </c>
      <c r="G520">
        <f t="shared" si="376"/>
        <v>1.0300319068165464E-3</v>
      </c>
      <c r="H520">
        <f t="shared" si="377"/>
        <v>-3.1405626180931838</v>
      </c>
      <c r="J520">
        <f t="shared" si="378"/>
        <v>15</v>
      </c>
      <c r="M520">
        <f t="shared" si="379"/>
        <v>6.2289124994621096E-4</v>
      </c>
      <c r="N520">
        <f t="shared" si="380"/>
        <v>-1.5707963250000001</v>
      </c>
      <c r="O520">
        <f t="shared" si="381"/>
        <v>650.33872171442829</v>
      </c>
      <c r="P520">
        <f t="shared" si="382"/>
        <v>1.5692586659411329</v>
      </c>
      <c r="Q520">
        <f t="shared" si="383"/>
        <v>294.34090701400015</v>
      </c>
      <c r="R520">
        <f t="shared" si="384"/>
        <v>1.5673988991865506</v>
      </c>
      <c r="S520">
        <f t="shared" si="385"/>
        <v>0.16598678249671925</v>
      </c>
      <c r="T520">
        <f t="shared" si="386"/>
        <v>-1.4040377358504499</v>
      </c>
      <c r="U520">
        <f t="shared" si="387"/>
        <v>8.5284661527212396E-2</v>
      </c>
      <c r="V520">
        <f t="shared" si="388"/>
        <v>-1.485407939452462</v>
      </c>
      <c r="X520">
        <f t="shared" si="405"/>
        <v>-55.873287138870339</v>
      </c>
      <c r="Y520">
        <f t="shared" si="389"/>
        <v>-174.73351423097517</v>
      </c>
      <c r="Z520">
        <f t="shared" si="406"/>
        <v>5.2664857690248255</v>
      </c>
      <c r="AC520">
        <v>1</v>
      </c>
      <c r="AD520">
        <f t="shared" si="390"/>
        <v>650.33795288385011</v>
      </c>
      <c r="AE520">
        <f t="shared" si="391"/>
        <v>-0.93778149215334117</v>
      </c>
      <c r="AF520">
        <f t="shared" si="392"/>
        <v>8.0270833800150002E-2</v>
      </c>
      <c r="AG520">
        <f t="shared" si="421"/>
        <v>57.869610959337628</v>
      </c>
      <c r="AH520">
        <f t="shared" si="422"/>
        <v>-688.53215419917194</v>
      </c>
      <c r="AJ520">
        <f t="shared" si="393"/>
        <v>20000</v>
      </c>
      <c r="AK520">
        <f t="shared" si="394"/>
        <v>118820.06057124</v>
      </c>
      <c r="AL520">
        <v>1</v>
      </c>
      <c r="AM520">
        <f t="shared" si="395"/>
        <v>294.33920829856197</v>
      </c>
      <c r="AN520">
        <f t="shared" si="423"/>
        <v>403.91029727501746</v>
      </c>
      <c r="AO520">
        <f t="shared" si="424"/>
        <v>-66.576552325464419</v>
      </c>
      <c r="AQ520">
        <f t="shared" si="396"/>
        <v>1.0679651984316718E-3</v>
      </c>
      <c r="AR520">
        <f t="shared" si="397"/>
        <v>-3.2679735072009155</v>
      </c>
      <c r="AT520">
        <f t="shared" si="418"/>
        <v>-2250.0430360483183</v>
      </c>
      <c r="AU520">
        <f t="shared" si="419"/>
        <v>-189.85168386582501</v>
      </c>
      <c r="AV520">
        <f t="shared" si="407"/>
        <v>-3.0574151297271346</v>
      </c>
      <c r="AW520">
        <f t="shared" si="408"/>
        <v>238.74354530290682</v>
      </c>
      <c r="AX520">
        <f t="shared" si="409"/>
        <v>-2149.1619301413266</v>
      </c>
      <c r="AY520">
        <f t="shared" si="417"/>
        <v>-1.4601631093793546</v>
      </c>
      <c r="BA520">
        <f t="shared" si="398"/>
        <v>1.0442366262206879</v>
      </c>
      <c r="BB520">
        <f t="shared" si="410"/>
        <v>0.37597843726363445</v>
      </c>
      <c r="BC520">
        <f t="shared" si="411"/>
        <v>-1.59725202034778</v>
      </c>
      <c r="BD520">
        <f t="shared" si="399"/>
        <v>-271.51579968924375</v>
      </c>
      <c r="BF520">
        <f t="shared" si="400"/>
        <v>-60.044246778383211</v>
      </c>
      <c r="BG520">
        <f t="shared" si="401"/>
        <v>-190.41351186881636</v>
      </c>
      <c r="BH520">
        <f t="shared" si="412"/>
        <v>-10.413511868816357</v>
      </c>
      <c r="BI520">
        <f t="shared" si="413"/>
        <v>-10.413511868816357</v>
      </c>
      <c r="BJ520">
        <f t="shared" si="402"/>
        <v>0</v>
      </c>
      <c r="BK520">
        <f t="shared" si="414"/>
        <v>0</v>
      </c>
      <c r="BM520">
        <f t="shared" si="415"/>
        <v>-60.420225215646838</v>
      </c>
      <c r="BN520">
        <f t="shared" si="403"/>
        <v>-98.89771217957265</v>
      </c>
      <c r="BQ520" s="66">
        <f t="shared" si="416"/>
        <v>17.277939237548772</v>
      </c>
    </row>
    <row r="521" spans="1:69" x14ac:dyDescent="0.15">
      <c r="A521">
        <f t="shared" si="420"/>
        <v>1535000</v>
      </c>
      <c r="B521">
        <f t="shared" si="404"/>
        <v>1535</v>
      </c>
      <c r="C521">
        <f t="shared" ref="C521:C584" si="425">SQRT((A521/Fesr)^2+1)</f>
        <v>6.4435647699263541</v>
      </c>
      <c r="D521">
        <f t="shared" ref="D521:D584" si="426">ATAN(A521/Fesr)</f>
        <v>1.4149729041722741</v>
      </c>
      <c r="F521">
        <f t="shared" ref="F521:F584" si="427">(Ro/(Ro+Rdcr))/SQRT((A521/(Q*Fo))^2+(1-(A521^2/Fo^2))^2)</f>
        <v>9.8247174598197983E-6</v>
      </c>
      <c r="G521">
        <f t="shared" ref="G521:G584" si="428">-ATAN(A521*Fo/(Q*(Fo^2-A521^2)))</f>
        <v>1.0266766892748933E-3</v>
      </c>
      <c r="H521">
        <f t="shared" ref="H521:H584" si="429">IF(G521&gt;0,G521-Pi,G521)</f>
        <v>-3.1405659733107254</v>
      </c>
      <c r="J521">
        <f t="shared" ref="J521:J584" si="430">Vin/Vramp</f>
        <v>15</v>
      </c>
      <c r="M521">
        <f t="shared" ref="M521:M584" si="431">1/(2*Pi*_Rfb1*(Cc1ea_u+Cc2ea_u)*A521)</f>
        <v>6.2086228822000181E-4</v>
      </c>
      <c r="N521">
        <f t="shared" ref="N521:N584" si="432">-Pi/2</f>
        <v>-1.5707963250000001</v>
      </c>
      <c r="O521">
        <f t="shared" ref="O521:O584" si="433">SQRT(1+(A521/Fz1_u)^2)</f>
        <v>652.46400663782219</v>
      </c>
      <c r="P521">
        <f t="shared" ref="P521:P584" si="434">ATAN2(Fz1_u,A521)</f>
        <v>1.5692636746005526</v>
      </c>
      <c r="Q521">
        <f t="shared" ref="Q521:Q584" si="435">SQRT(1+(A521/Fz2_u)^2)</f>
        <v>295.30279431833389</v>
      </c>
      <c r="R521">
        <f t="shared" ref="R521:R584" si="436">ATAN2(Fz2_u,A521)</f>
        <v>1.5674099656412501</v>
      </c>
      <c r="S521">
        <f t="shared" ref="S521:S584" si="437">1/SQRT(1+(A521/Fp1_u)^2)</f>
        <v>0.16546093465393316</v>
      </c>
      <c r="T521">
        <f t="shared" ref="T521:T584" si="438">-ATAN2(Fp1_u,A521)</f>
        <v>-1.4045709569765279</v>
      </c>
      <c r="U521">
        <f t="shared" ref="U521:U584" si="439">1/SQRT(1+(A521/Fp2_u)^2)</f>
        <v>8.500887210875091E-2</v>
      </c>
      <c r="V521">
        <f t="shared" ref="V521:V584" si="440">-ATAN2(Fp2_u,A521)</f>
        <v>-1.4856847340736714</v>
      </c>
      <c r="X521">
        <f t="shared" si="405"/>
        <v>-55.92966698387886</v>
      </c>
      <c r="Y521">
        <f t="shared" ref="Y521:Y584" si="441">(180/Pi)*(D521+H521+N521+P521+R521+T521+V521)</f>
        <v>-174.75049163055323</v>
      </c>
      <c r="Z521">
        <f t="shared" si="406"/>
        <v>5.2495083694467723</v>
      </c>
      <c r="AC521">
        <v>1</v>
      </c>
      <c r="AD521">
        <f t="shared" ref="AD521:AD584" si="442">Rcea1_u*Cc1ea_u*A521*2*Pi</f>
        <v>652.46324031157508</v>
      </c>
      <c r="AE521">
        <f t="shared" ref="AE521:AE584" si="443">-Rcea1_u*Cc1ea_u*Cc2ea_u*(A521*2*Pi)^2</f>
        <v>-0.94392079813277219</v>
      </c>
      <c r="AF521">
        <f t="shared" ref="AF521:AF584" si="444">(Cc2ea_u+Cc1ea_u)*A521*2*Pi</f>
        <v>8.0533156786425003E-2</v>
      </c>
      <c r="AG521">
        <f t="shared" si="421"/>
        <v>57.495944205902617</v>
      </c>
      <c r="AH521">
        <f t="shared" si="422"/>
        <v>-686.3212588426652</v>
      </c>
      <c r="AJ521">
        <f t="shared" ref="AJ521:AJ584" si="445">_Rfb1</f>
        <v>20000</v>
      </c>
      <c r="AK521">
        <f t="shared" ref="AK521:AK584" si="446">_Rfb1*Rcea2_u*Cc3ea_u*A521*2*Pi</f>
        <v>119208.36142278</v>
      </c>
      <c r="AL521">
        <v>1</v>
      </c>
      <c r="AM521">
        <f t="shared" ref="AM521:AM584" si="447">(_Rfb1+Rcea2_u)*Cc3ea_u*A521*2*Pi</f>
        <v>295.30110113613904</v>
      </c>
      <c r="AN521">
        <f t="shared" si="423"/>
        <v>403.90882614205208</v>
      </c>
      <c r="AO521">
        <f t="shared" si="424"/>
        <v>-66.359695573311811</v>
      </c>
      <c r="AQ521">
        <f t="shared" ref="AQ521:AQ584" si="448">Eadcg/(1+(Eadcg*A521/GBP)^2)</f>
        <v>1.0610191024818191E-3</v>
      </c>
      <c r="AR521">
        <f t="shared" ref="AR521:AR584" si="449">-(A521*Eadcg*Eadcg/GBP)/(1+(Eadcg*A521/GBP)^2)</f>
        <v>-3.2573286446191849</v>
      </c>
      <c r="AT521">
        <f t="shared" si="418"/>
        <v>-2235.5128915441937</v>
      </c>
      <c r="AU521">
        <f t="shared" si="419"/>
        <v>-188.01138597738449</v>
      </c>
      <c r="AV521">
        <f t="shared" si="407"/>
        <v>-3.0576879801754093</v>
      </c>
      <c r="AW521">
        <f t="shared" si="408"/>
        <v>239.8187385905789</v>
      </c>
      <c r="AX521">
        <f t="shared" si="409"/>
        <v>-2142.1846422121725</v>
      </c>
      <c r="AY521">
        <f t="shared" si="417"/>
        <v>-1.4593099851237017</v>
      </c>
      <c r="BA521">
        <f t="shared" ref="BA521:BA584" si="450">SQRT(AT521^2+AU521^2)/SQRT(AW521^2+AX521^2)</f>
        <v>1.0407495039690264</v>
      </c>
      <c r="BB521">
        <f t="shared" si="410"/>
        <v>0.34692425140083022</v>
      </c>
      <c r="BC521">
        <f t="shared" si="411"/>
        <v>-1.5983779950517076</v>
      </c>
      <c r="BD521">
        <f t="shared" ref="BD521:BD584" si="451">BC521*180/Pi-180</f>
        <v>-271.58031328769101</v>
      </c>
      <c r="BF521">
        <f t="shared" ref="BF521:BF584" si="452">20*LOG(BA521*J521*F521*C521)</f>
        <v>-60.102325205576761</v>
      </c>
      <c r="BG521">
        <f t="shared" ref="BG521:BG584" si="453">(180/Pi)*(D521+H521+BC521)</f>
        <v>-190.44951341932526</v>
      </c>
      <c r="BH521">
        <f t="shared" si="412"/>
        <v>-10.449513419325257</v>
      </c>
      <c r="BI521">
        <f t="shared" si="413"/>
        <v>-10.449513419325257</v>
      </c>
      <c r="BJ521">
        <f t="shared" ref="BJ521:BJ584" si="454">SUM((BF522&lt;0)*(BF521&gt;0))*A521</f>
        <v>0</v>
      </c>
      <c r="BK521">
        <f t="shared" si="414"/>
        <v>0</v>
      </c>
      <c r="BM521">
        <f t="shared" si="415"/>
        <v>-60.44924945697759</v>
      </c>
      <c r="BN521">
        <f t="shared" ref="BN521:BN584" si="455">(H521+D521)*180/Pi</f>
        <v>-98.869200131634258</v>
      </c>
      <c r="BQ521" s="66">
        <f t="shared" si="416"/>
        <v>17.248885051685967</v>
      </c>
    </row>
    <row r="522" spans="1:69" x14ac:dyDescent="0.15">
      <c r="A522">
        <f t="shared" si="420"/>
        <v>1540000</v>
      </c>
      <c r="B522">
        <f t="shared" ref="B522:B585" si="456">A522/1000</f>
        <v>1540</v>
      </c>
      <c r="C522">
        <f t="shared" si="425"/>
        <v>6.464048864587455</v>
      </c>
      <c r="D522">
        <f t="shared" si="426"/>
        <v>1.4154707134616713</v>
      </c>
      <c r="F522">
        <f t="shared" si="427"/>
        <v>9.7610235610323266E-6</v>
      </c>
      <c r="G522">
        <f t="shared" si="428"/>
        <v>1.0233432594877615E-3</v>
      </c>
      <c r="H522">
        <f t="shared" si="429"/>
        <v>-3.1405693067405123</v>
      </c>
      <c r="J522">
        <f t="shared" si="430"/>
        <v>15</v>
      </c>
      <c r="M522">
        <f t="shared" si="431"/>
        <v>6.1884650156993689E-4</v>
      </c>
      <c r="N522">
        <f t="shared" si="432"/>
        <v>-1.5707963250000001</v>
      </c>
      <c r="O522">
        <f t="shared" si="433"/>
        <v>654.58929157747787</v>
      </c>
      <c r="P522">
        <f t="shared" si="434"/>
        <v>1.5692686507362861</v>
      </c>
      <c r="Q522">
        <f t="shared" si="435"/>
        <v>296.26468165859751</v>
      </c>
      <c r="R522">
        <f t="shared" si="436"/>
        <v>1.5674209602366755</v>
      </c>
      <c r="S522">
        <f t="shared" si="437"/>
        <v>0.16493836161946607</v>
      </c>
      <c r="T522">
        <f t="shared" si="438"/>
        <v>-1.4051008101223077</v>
      </c>
      <c r="U522">
        <f t="shared" si="439"/>
        <v>8.4734854180595232E-2</v>
      </c>
      <c r="V522">
        <f t="shared" si="440"/>
        <v>-1.4859597442741264</v>
      </c>
      <c r="X522">
        <f t="shared" ref="X522:X585" si="457">20*LOG(C522*J522*O522*Q522*F522*M522*S522*U522)</f>
        <v>-55.985865368336583</v>
      </c>
      <c r="Y522">
        <f t="shared" si="441"/>
        <v>-174.76736046807864</v>
      </c>
      <c r="Z522">
        <f t="shared" ref="Z522:Z585" si="458">Y522+180</f>
        <v>5.2326395319213646</v>
      </c>
      <c r="AC522">
        <v>1</v>
      </c>
      <c r="AD522">
        <f t="shared" si="442"/>
        <v>654.58852773930016</v>
      </c>
      <c r="AE522">
        <f t="shared" si="443"/>
        <v>-0.95008013447428885</v>
      </c>
      <c r="AF522">
        <f t="shared" si="444"/>
        <v>8.0795479772700005E-2</v>
      </c>
      <c r="AG522">
        <f t="shared" si="421"/>
        <v>57.125876308655478</v>
      </c>
      <c r="AH522">
        <f t="shared" si="422"/>
        <v>-684.12441390026345</v>
      </c>
      <c r="AJ522">
        <f t="shared" si="445"/>
        <v>20000</v>
      </c>
      <c r="AK522">
        <f t="shared" si="446"/>
        <v>119596.66227432</v>
      </c>
      <c r="AL522">
        <v>1</v>
      </c>
      <c r="AM522">
        <f t="shared" si="447"/>
        <v>296.26299397371599</v>
      </c>
      <c r="AN522">
        <f t="shared" si="423"/>
        <v>403.90736931481194</v>
      </c>
      <c r="AO522">
        <f t="shared" si="424"/>
        <v>-66.144246933600229</v>
      </c>
      <c r="AQ522">
        <f t="shared" si="448"/>
        <v>1.0541405534090326E-3</v>
      </c>
      <c r="AR522">
        <f t="shared" si="449"/>
        <v>-3.2467529044998202</v>
      </c>
      <c r="AT522">
        <f t="shared" si="418"/>
        <v>-2221.1227091670517</v>
      </c>
      <c r="AU522">
        <f t="shared" si="419"/>
        <v>-186.1947681154941</v>
      </c>
      <c r="AV522">
        <f t="shared" ref="AV522:AV585" si="459">ATAN2(AT522,AU522)</f>
        <v>-3.0579590718143663</v>
      </c>
      <c r="AW522">
        <f t="shared" ref="AW522:AW585" si="460">AG522-AH522*AO522/_Rfb2+AG522*AN522/_Rfb2+AN522-AO522*AR522+AQ522*AN522</f>
        <v>240.8834453301566</v>
      </c>
      <c r="AX522">
        <f t="shared" ref="AX522:AX585" si="461">AH522+AH522*AN522/_Rfb2+AG522*AO522/_Rfb2+AO522+AO522*AQ522+AN522*AR522</f>
        <v>-2135.2524387361577</v>
      </c>
      <c r="AY522">
        <f t="shared" si="417"/>
        <v>-1.4584586514467088</v>
      </c>
      <c r="BA522">
        <f t="shared" si="450"/>
        <v>1.0372843483989547</v>
      </c>
      <c r="BB522">
        <f t="shared" ref="BB522:BB585" si="462">20*LOG(BA522)</f>
        <v>0.31795649736446169</v>
      </c>
      <c r="BC522">
        <f t="shared" ref="BC522:BC585" si="463">AV522-AY522</f>
        <v>-1.5995004203676575</v>
      </c>
      <c r="BD522">
        <f t="shared" si="451"/>
        <v>-271.64462352118704</v>
      </c>
      <c r="BF522">
        <f t="shared" si="452"/>
        <v>-60.160218484116925</v>
      </c>
      <c r="BG522">
        <f t="shared" si="453"/>
        <v>-190.48549227296212</v>
      </c>
      <c r="BH522">
        <f t="shared" ref="BH522:BH585" si="464">IF(BG522&gt;180,BG522-180,BG522+180)</f>
        <v>-10.485492272962119</v>
      </c>
      <c r="BI522">
        <f t="shared" ref="BI522:BI585" si="465">IF(BH522&gt;180,BH522-360,BH522)</f>
        <v>-10.485492272962119</v>
      </c>
      <c r="BJ522">
        <f t="shared" si="454"/>
        <v>0</v>
      </c>
      <c r="BK522">
        <f t="shared" ref="BK522:BK585" si="466">IF(BJ522&gt;0,BI522,0)</f>
        <v>0</v>
      </c>
      <c r="BM522">
        <f t="shared" ref="BM522:BM585" si="467">20*LOG(J522*F522*C522)</f>
        <v>-60.478174981481381</v>
      </c>
      <c r="BN522">
        <f t="shared" si="455"/>
        <v>-98.840868751775105</v>
      </c>
      <c r="BQ522" s="66">
        <f t="shared" ref="BQ522:BQ585" si="468">20*LOG(BA522*7)</f>
        <v>17.219917297649598</v>
      </c>
    </row>
    <row r="523" spans="1:69" x14ac:dyDescent="0.15">
      <c r="A523">
        <f t="shared" si="420"/>
        <v>1545000</v>
      </c>
      <c r="B523">
        <f t="shared" si="456"/>
        <v>1545</v>
      </c>
      <c r="C523">
        <f t="shared" si="425"/>
        <v>6.4845345510102819</v>
      </c>
      <c r="D523">
        <f t="shared" si="426"/>
        <v>1.4159653775539667</v>
      </c>
      <c r="F523">
        <f t="shared" si="427"/>
        <v>9.6979470561402809E-6</v>
      </c>
      <c r="G523">
        <f t="shared" si="428"/>
        <v>1.0200314059154688E-3</v>
      </c>
      <c r="H523">
        <f t="shared" si="429"/>
        <v>-3.1405726185940845</v>
      </c>
      <c r="J523">
        <f t="shared" si="430"/>
        <v>15</v>
      </c>
      <c r="M523">
        <f t="shared" si="431"/>
        <v>6.168437620826555E-4</v>
      </c>
      <c r="N523">
        <f t="shared" si="432"/>
        <v>-1.5707963250000001</v>
      </c>
      <c r="O523">
        <f t="shared" si="433"/>
        <v>656.7145765332375</v>
      </c>
      <c r="P523">
        <f t="shared" si="434"/>
        <v>1.5692735946640959</v>
      </c>
      <c r="Q523">
        <f t="shared" si="435"/>
        <v>297.22656903444209</v>
      </c>
      <c r="R523">
        <f t="shared" si="436"/>
        <v>1.5674318836704793</v>
      </c>
      <c r="S523">
        <f t="shared" si="437"/>
        <v>0.16441903333879104</v>
      </c>
      <c r="T523">
        <f t="shared" si="438"/>
        <v>-1.4056273268023425</v>
      </c>
      <c r="U523">
        <f t="shared" si="439"/>
        <v>8.4462590790851624E-2</v>
      </c>
      <c r="V523">
        <f t="shared" si="440"/>
        <v>-1.4862329872127087</v>
      </c>
      <c r="X523">
        <f t="shared" si="457"/>
        <v>-56.041883450878956</v>
      </c>
      <c r="Y523">
        <f t="shared" si="441"/>
        <v>-174.78412177648394</v>
      </c>
      <c r="Z523">
        <f t="shared" si="458"/>
        <v>5.2158782235160572</v>
      </c>
      <c r="AC523">
        <v>1</v>
      </c>
      <c r="AD523">
        <f t="shared" si="442"/>
        <v>656.71381516702513</v>
      </c>
      <c r="AE523">
        <f t="shared" si="443"/>
        <v>-0.95625950117789249</v>
      </c>
      <c r="AF523">
        <f t="shared" si="444"/>
        <v>8.1057802758975006E-2</v>
      </c>
      <c r="AG523">
        <f t="shared" si="421"/>
        <v>56.759361311290455</v>
      </c>
      <c r="AH523">
        <f t="shared" si="422"/>
        <v>-681.94148685568666</v>
      </c>
      <c r="AJ523">
        <f t="shared" si="445"/>
        <v>20000</v>
      </c>
      <c r="AK523">
        <f t="shared" si="446"/>
        <v>119984.96312586001</v>
      </c>
      <c r="AL523">
        <v>1</v>
      </c>
      <c r="AM523">
        <f t="shared" si="447"/>
        <v>297.224886811293</v>
      </c>
      <c r="AN523">
        <f t="shared" si="423"/>
        <v>403.90592660841293</v>
      </c>
      <c r="AO523">
        <f t="shared" si="424"/>
        <v>-65.930192735957121</v>
      </c>
      <c r="AQ523">
        <f t="shared" si="448"/>
        <v>1.0473286782366462E-3</v>
      </c>
      <c r="AR523">
        <f t="shared" si="449"/>
        <v>-3.2362456157512369</v>
      </c>
      <c r="AT523">
        <f t="shared" si="418"/>
        <v>-2206.8707013287362</v>
      </c>
      <c r="AU523">
        <f t="shared" si="419"/>
        <v>-184.4014510725674</v>
      </c>
      <c r="AV523">
        <f t="shared" si="459"/>
        <v>-3.0582284215542348</v>
      </c>
      <c r="AW523">
        <f t="shared" si="460"/>
        <v>241.93780154236305</v>
      </c>
      <c r="AX523">
        <f t="shared" si="461"/>
        <v>-2128.3648848258217</v>
      </c>
      <c r="AY523">
        <f t="shared" ref="AY523:AY586" si="469">ATAN2(AW523,AX523)</f>
        <v>-1.4576090925634517</v>
      </c>
      <c r="BA523">
        <f t="shared" si="450"/>
        <v>1.0338409508617534</v>
      </c>
      <c r="BB523">
        <f t="shared" si="462"/>
        <v>0.28907461507905624</v>
      </c>
      <c r="BC523">
        <f t="shared" si="463"/>
        <v>-1.6006193289907831</v>
      </c>
      <c r="BD523">
        <f t="shared" si="451"/>
        <v>-271.70873226302615</v>
      </c>
      <c r="BF523">
        <f t="shared" si="452"/>
        <v>-60.217927854618445</v>
      </c>
      <c r="BG523">
        <f t="shared" si="453"/>
        <v>-190.52144860523597</v>
      </c>
      <c r="BH523">
        <f t="shared" si="464"/>
        <v>-10.521448605235975</v>
      </c>
      <c r="BI523">
        <f t="shared" si="465"/>
        <v>-10.521448605235975</v>
      </c>
      <c r="BJ523">
        <f t="shared" si="454"/>
        <v>0</v>
      </c>
      <c r="BK523">
        <f t="shared" si="466"/>
        <v>0</v>
      </c>
      <c r="BM523">
        <f t="shared" si="467"/>
        <v>-60.507002469697497</v>
      </c>
      <c r="BN523">
        <f t="shared" si="455"/>
        <v>-98.812716342209811</v>
      </c>
      <c r="BQ523" s="66">
        <f t="shared" si="468"/>
        <v>17.191035415364194</v>
      </c>
    </row>
    <row r="524" spans="1:69" x14ac:dyDescent="0.15">
      <c r="A524">
        <f t="shared" si="420"/>
        <v>1550000</v>
      </c>
      <c r="B524">
        <f t="shared" si="456"/>
        <v>1550</v>
      </c>
      <c r="C524">
        <f t="shared" si="425"/>
        <v>6.5050218141564553</v>
      </c>
      <c r="D524">
        <f t="shared" si="426"/>
        <v>1.4164569259228834</v>
      </c>
      <c r="F524">
        <f t="shared" si="427"/>
        <v>9.6354799915103495E-6</v>
      </c>
      <c r="G524">
        <f t="shared" si="428"/>
        <v>1.0167409197480066E-3</v>
      </c>
      <c r="H524">
        <f t="shared" si="429"/>
        <v>-3.1405759090802521</v>
      </c>
      <c r="J524">
        <f t="shared" si="430"/>
        <v>15</v>
      </c>
      <c r="M524">
        <f t="shared" si="431"/>
        <v>6.1485394349529204E-4</v>
      </c>
      <c r="N524">
        <f t="shared" si="432"/>
        <v>-1.5707963250000001</v>
      </c>
      <c r="O524">
        <f t="shared" si="433"/>
        <v>658.83986150494536</v>
      </c>
      <c r="P524">
        <f t="shared" si="434"/>
        <v>1.5692785066956711</v>
      </c>
      <c r="Q524">
        <f t="shared" si="435"/>
        <v>298.1884564455234</v>
      </c>
      <c r="R524">
        <f t="shared" si="436"/>
        <v>1.5674427366313117</v>
      </c>
      <c r="S524">
        <f t="shared" si="437"/>
        <v>0.16390292011839061</v>
      </c>
      <c r="T524">
        <f t="shared" si="438"/>
        <v>-1.4061505381429398</v>
      </c>
      <c r="U524">
        <f t="shared" si="439"/>
        <v>8.4192065202437563E-2</v>
      </c>
      <c r="V524">
        <f t="shared" si="440"/>
        <v>-1.4865044798295315</v>
      </c>
      <c r="X524">
        <f t="shared" si="457"/>
        <v>-56.097722379131469</v>
      </c>
      <c r="Y524">
        <f t="shared" si="441"/>
        <v>-174.80077657570092</v>
      </c>
      <c r="Z524">
        <f t="shared" si="458"/>
        <v>5.1992234242990776</v>
      </c>
      <c r="AC524">
        <v>1</v>
      </c>
      <c r="AD524">
        <f t="shared" si="442"/>
        <v>658.8391025947501</v>
      </c>
      <c r="AE524">
        <f t="shared" si="443"/>
        <v>-0.96245889824358211</v>
      </c>
      <c r="AF524">
        <f t="shared" si="444"/>
        <v>8.1320125745250008E-2</v>
      </c>
      <c r="AG524">
        <f t="shared" si="421"/>
        <v>56.39635398696204</v>
      </c>
      <c r="AH524">
        <f t="shared" si="422"/>
        <v>-679.77234684091047</v>
      </c>
      <c r="AJ524">
        <f t="shared" si="445"/>
        <v>20000</v>
      </c>
      <c r="AK524">
        <f t="shared" si="446"/>
        <v>120373.26397740001</v>
      </c>
      <c r="AL524">
        <v>1</v>
      </c>
      <c r="AM524">
        <f t="shared" si="447"/>
        <v>298.18677964887002</v>
      </c>
      <c r="AN524">
        <f t="shared" si="423"/>
        <v>403.90449784094852</v>
      </c>
      <c r="AO524">
        <f t="shared" si="424"/>
        <v>-65.717519486391865</v>
      </c>
      <c r="AQ524">
        <f t="shared" si="448"/>
        <v>1.0405826180455132E-3</v>
      </c>
      <c r="AR524">
        <f t="shared" si="449"/>
        <v>-3.2258061159410909</v>
      </c>
      <c r="AT524">
        <f t="shared" si="418"/>
        <v>-2192.7551088213577</v>
      </c>
      <c r="AU524">
        <f t="shared" si="419"/>
        <v>-182.63106289627154</v>
      </c>
      <c r="AV524">
        <f t="shared" si="459"/>
        <v>-3.0584960460896813</v>
      </c>
      <c r="AW524">
        <f t="shared" si="460"/>
        <v>242.98194104820939</v>
      </c>
      <c r="AX524">
        <f t="shared" si="461"/>
        <v>-2121.5215511606011</v>
      </c>
      <c r="AY524">
        <f t="shared" si="469"/>
        <v>-1.4567612928989011</v>
      </c>
      <c r="BA524">
        <f t="shared" si="450"/>
        <v>1.0304191053336165</v>
      </c>
      <c r="BB524">
        <f t="shared" si="462"/>
        <v>0.26027804969443946</v>
      </c>
      <c r="BC524">
        <f t="shared" si="463"/>
        <v>-1.6017347531907802</v>
      </c>
      <c r="BD524">
        <f t="shared" si="451"/>
        <v>-271.7726413621258</v>
      </c>
      <c r="BF524">
        <f t="shared" si="452"/>
        <v>-60.275454545373357</v>
      </c>
      <c r="BG524">
        <f t="shared" si="453"/>
        <v>-190.55738258830812</v>
      </c>
      <c r="BH524">
        <f t="shared" si="464"/>
        <v>-10.557382588308116</v>
      </c>
      <c r="BI524">
        <f t="shared" si="465"/>
        <v>-10.557382588308116</v>
      </c>
      <c r="BJ524">
        <f t="shared" si="454"/>
        <v>0</v>
      </c>
      <c r="BK524">
        <f t="shared" si="466"/>
        <v>0</v>
      </c>
      <c r="BM524">
        <f t="shared" si="467"/>
        <v>-60.535732595067799</v>
      </c>
      <c r="BN524">
        <f t="shared" si="455"/>
        <v>-98.784741226182319</v>
      </c>
      <c r="BQ524" s="66">
        <f t="shared" si="468"/>
        <v>17.162238849979577</v>
      </c>
    </row>
    <row r="525" spans="1:69" x14ac:dyDescent="0.15">
      <c r="A525">
        <f t="shared" si="420"/>
        <v>1555000</v>
      </c>
      <c r="B525">
        <f t="shared" si="456"/>
        <v>1555</v>
      </c>
      <c r="C525">
        <f t="shared" si="425"/>
        <v>6.5255106391752982</v>
      </c>
      <c r="D525">
        <f t="shared" si="426"/>
        <v>1.4169453876780433</v>
      </c>
      <c r="F525">
        <f t="shared" si="427"/>
        <v>9.5736145411775943E-6</v>
      </c>
      <c r="G525">
        <f t="shared" si="428"/>
        <v>1.0134715948611527E-3</v>
      </c>
      <c r="H525">
        <f t="shared" si="429"/>
        <v>-3.1405791784051389</v>
      </c>
      <c r="J525">
        <f t="shared" si="430"/>
        <v>15</v>
      </c>
      <c r="M525">
        <f t="shared" si="431"/>
        <v>6.1287692116894065E-4</v>
      </c>
      <c r="N525">
        <f t="shared" si="432"/>
        <v>-1.5707963250000001</v>
      </c>
      <c r="O525">
        <f t="shared" si="433"/>
        <v>660.9651464924475</v>
      </c>
      <c r="P525">
        <f t="shared" si="434"/>
        <v>1.5692833871386915</v>
      </c>
      <c r="Q525">
        <f t="shared" si="435"/>
        <v>299.15034389150139</v>
      </c>
      <c r="R525">
        <f t="shared" si="436"/>
        <v>1.5674535197989661</v>
      </c>
      <c r="S525">
        <f t="shared" si="437"/>
        <v>0.1633899926204424</v>
      </c>
      <c r="T525">
        <f t="shared" si="438"/>
        <v>-1.4066704748880627</v>
      </c>
      <c r="U525">
        <f t="shared" si="439"/>
        <v>8.3923260889702561E-2</v>
      </c>
      <c r="V525">
        <f t="shared" si="440"/>
        <v>-1.4867742388494045</v>
      </c>
      <c r="X525">
        <f t="shared" si="457"/>
        <v>-56.15338328984808</v>
      </c>
      <c r="Y525">
        <f t="shared" si="441"/>
        <v>-174.81732587286353</v>
      </c>
      <c r="Z525">
        <f t="shared" si="458"/>
        <v>5.1826741271364654</v>
      </c>
      <c r="AC525">
        <v>1</v>
      </c>
      <c r="AD525">
        <f t="shared" si="442"/>
        <v>660.96439002247507</v>
      </c>
      <c r="AE525">
        <f t="shared" si="443"/>
        <v>-0.96867832567135803</v>
      </c>
      <c r="AF525">
        <f t="shared" si="444"/>
        <v>8.1582448731525009E-2</v>
      </c>
      <c r="AG525">
        <f t="shared" si="421"/>
        <v>56.036809824467625</v>
      </c>
      <c r="AH525">
        <f t="shared" si="422"/>
        <v>-677.6168646108282</v>
      </c>
      <c r="AJ525">
        <f t="shared" si="445"/>
        <v>20000</v>
      </c>
      <c r="AK525">
        <f t="shared" si="446"/>
        <v>120761.56482894</v>
      </c>
      <c r="AL525">
        <v>1</v>
      </c>
      <c r="AM525">
        <f t="shared" si="447"/>
        <v>299.14867248644697</v>
      </c>
      <c r="AN525">
        <f t="shared" si="423"/>
        <v>403.90308283343154</v>
      </c>
      <c r="AO525">
        <f t="shared" si="424"/>
        <v>-65.50621386446025</v>
      </c>
      <c r="AQ525">
        <f t="shared" si="448"/>
        <v>1.0339015277032364E-3</v>
      </c>
      <c r="AR525">
        <f t="shared" si="449"/>
        <v>-3.215433751157065</v>
      </c>
      <c r="AT525">
        <f t="shared" si="418"/>
        <v>-2178.7742002795994</v>
      </c>
      <c r="AU525">
        <f t="shared" si="419"/>
        <v>-180.88323872828161</v>
      </c>
      <c r="AV525">
        <f t="shared" si="459"/>
        <v>-3.0587619619032274</v>
      </c>
      <c r="AW525">
        <f t="shared" si="460"/>
        <v>244.01599551157028</v>
      </c>
      <c r="AX525">
        <f t="shared" si="461"/>
        <v>-2114.722013898162</v>
      </c>
      <c r="AY525">
        <f t="shared" si="469"/>
        <v>-1.4559152370845048</v>
      </c>
      <c r="BA525">
        <f t="shared" si="450"/>
        <v>1.0270186083747597</v>
      </c>
      <c r="BB525">
        <f t="shared" si="462"/>
        <v>0.23156625152221594</v>
      </c>
      <c r="BC525">
        <f t="shared" si="463"/>
        <v>-1.6028467248187226</v>
      </c>
      <c r="BD525">
        <f t="shared" si="451"/>
        <v>-271.83635264341797</v>
      </c>
      <c r="BF525">
        <f t="shared" si="452"/>
        <v>-60.332799772513539</v>
      </c>
      <c r="BG525">
        <f t="shared" si="453"/>
        <v>-190.59329439106219</v>
      </c>
      <c r="BH525">
        <f t="shared" si="464"/>
        <v>-10.593294391062187</v>
      </c>
      <c r="BI525">
        <f t="shared" si="465"/>
        <v>-10.593294391062187</v>
      </c>
      <c r="BJ525">
        <f t="shared" si="454"/>
        <v>0</v>
      </c>
      <c r="BK525">
        <f t="shared" si="466"/>
        <v>0</v>
      </c>
      <c r="BM525">
        <f t="shared" si="467"/>
        <v>-60.564366024035756</v>
      </c>
      <c r="BN525">
        <f t="shared" si="455"/>
        <v>-98.756941747644206</v>
      </c>
      <c r="BQ525" s="66">
        <f t="shared" si="468"/>
        <v>17.133527051807352</v>
      </c>
    </row>
    <row r="526" spans="1:69" x14ac:dyDescent="0.15">
      <c r="A526">
        <f t="shared" si="420"/>
        <v>1560000</v>
      </c>
      <c r="B526">
        <f t="shared" si="456"/>
        <v>1560</v>
      </c>
      <c r="C526">
        <f t="shared" si="425"/>
        <v>6.546001011400941</v>
      </c>
      <c r="D526">
        <f t="shared" si="426"/>
        <v>1.4174307915705244</v>
      </c>
      <c r="F526">
        <f t="shared" si="427"/>
        <v>9.5123430043941694E-6</v>
      </c>
      <c r="G526">
        <f t="shared" si="428"/>
        <v>1.0102232277734264E-3</v>
      </c>
      <c r="H526">
        <f t="shared" si="429"/>
        <v>-3.1405824267722267</v>
      </c>
      <c r="J526">
        <f t="shared" si="430"/>
        <v>15</v>
      </c>
      <c r="M526">
        <f t="shared" si="431"/>
        <v>6.1091257206262993E-4</v>
      </c>
      <c r="N526">
        <f t="shared" si="432"/>
        <v>-1.5707963250000001</v>
      </c>
      <c r="O526">
        <f t="shared" si="433"/>
        <v>663.09043149559193</v>
      </c>
      <c r="P526">
        <f t="shared" si="434"/>
        <v>1.5692882362968921</v>
      </c>
      <c r="Q526">
        <f t="shared" si="435"/>
        <v>300.1122313720407</v>
      </c>
      <c r="R526">
        <f t="shared" si="436"/>
        <v>1.5674642338445208</v>
      </c>
      <c r="S526">
        <f t="shared" si="437"/>
        <v>0.16288022185759737</v>
      </c>
      <c r="T526">
        <f t="shared" si="438"/>
        <v>-1.4071871674051266</v>
      </c>
      <c r="U526">
        <f t="shared" si="439"/>
        <v>8.3656161535112378E-2</v>
      </c>
      <c r="V526">
        <f t="shared" si="440"/>
        <v>-1.4870422807852368</v>
      </c>
      <c r="X526">
        <f t="shared" si="457"/>
        <v>-56.20886730904752</v>
      </c>
      <c r="Y526">
        <f t="shared" si="441"/>
        <v>-174.83377066250696</v>
      </c>
      <c r="Z526">
        <f t="shared" si="458"/>
        <v>5.1662293374930357</v>
      </c>
      <c r="AC526">
        <v>1</v>
      </c>
      <c r="AD526">
        <f t="shared" si="442"/>
        <v>663.08967745020004</v>
      </c>
      <c r="AE526">
        <f t="shared" si="443"/>
        <v>-0.97491778346122016</v>
      </c>
      <c r="AF526">
        <f t="shared" si="444"/>
        <v>8.1844771717800011E-2</v>
      </c>
      <c r="AG526">
        <f t="shared" si="421"/>
        <v>55.680685014734728</v>
      </c>
      <c r="AH526">
        <f t="shared" si="422"/>
        <v>-675.47491251837778</v>
      </c>
      <c r="AJ526">
        <f t="shared" si="445"/>
        <v>20000</v>
      </c>
      <c r="AK526">
        <f t="shared" si="446"/>
        <v>121149.86568048</v>
      </c>
      <c r="AL526">
        <v>1</v>
      </c>
      <c r="AM526">
        <f t="shared" si="447"/>
        <v>300.11056532402398</v>
      </c>
      <c r="AN526">
        <f t="shared" si="423"/>
        <v>403.90168140973856</v>
      </c>
      <c r="AO526">
        <f t="shared" si="424"/>
        <v>-65.296262720483384</v>
      </c>
      <c r="AQ526">
        <f t="shared" si="448"/>
        <v>1.0272845755994642E-3</v>
      </c>
      <c r="AR526">
        <f t="shared" si="449"/>
        <v>-3.2051278758703283</v>
      </c>
      <c r="AT526">
        <f t="shared" si="418"/>
        <v>-2164.9262716548496</v>
      </c>
      <c r="AU526">
        <f t="shared" si="419"/>
        <v>-179.15762064711606</v>
      </c>
      <c r="AV526">
        <f t="shared" si="459"/>
        <v>-3.0590261852686003</v>
      </c>
      <c r="AW526">
        <f t="shared" si="460"/>
        <v>245.04009448080336</v>
      </c>
      <c r="AX526">
        <f t="shared" si="461"/>
        <v>-2107.9658545874277</v>
      </c>
      <c r="AY526">
        <f t="shared" si="469"/>
        <v>-1.4550709099548347</v>
      </c>
      <c r="BA526">
        <f t="shared" si="450"/>
        <v>1.02363925908928</v>
      </c>
      <c r="BB526">
        <f t="shared" si="462"/>
        <v>0.2029386759731367</v>
      </c>
      <c r="BC526">
        <f t="shared" si="463"/>
        <v>-1.6039552753137656</v>
      </c>
      <c r="BD526">
        <f t="shared" si="451"/>
        <v>-271.89986790823366</v>
      </c>
      <c r="BF526">
        <f t="shared" si="452"/>
        <v>-60.389964740170711</v>
      </c>
      <c r="BG526">
        <f t="shared" si="453"/>
        <v>-190.62918417917237</v>
      </c>
      <c r="BH526">
        <f t="shared" si="464"/>
        <v>-10.62918417917237</v>
      </c>
      <c r="BI526">
        <f t="shared" si="465"/>
        <v>-10.62918417917237</v>
      </c>
      <c r="BJ526">
        <f t="shared" si="454"/>
        <v>0</v>
      </c>
      <c r="BK526">
        <f t="shared" si="466"/>
        <v>0</v>
      </c>
      <c r="BM526">
        <f t="shared" si="467"/>
        <v>-60.592903416143848</v>
      </c>
      <c r="BN526">
        <f t="shared" si="455"/>
        <v>-98.729316270938682</v>
      </c>
      <c r="BQ526" s="66">
        <f t="shared" si="468"/>
        <v>17.104899476258272</v>
      </c>
    </row>
    <row r="527" spans="1:69" x14ac:dyDescent="0.15">
      <c r="A527">
        <f t="shared" si="420"/>
        <v>1565000</v>
      </c>
      <c r="B527">
        <f t="shared" si="456"/>
        <v>1565</v>
      </c>
      <c r="C527">
        <f t="shared" si="425"/>
        <v>6.5664929163494676</v>
      </c>
      <c r="D527">
        <f t="shared" si="426"/>
        <v>1.417913165998318</v>
      </c>
      <c r="F527">
        <f t="shared" si="427"/>
        <v>9.4516578032327977E-6</v>
      </c>
      <c r="G527">
        <f t="shared" si="428"/>
        <v>1.0069956176038716E-3</v>
      </c>
      <c r="H527">
        <f t="shared" si="429"/>
        <v>-3.1405856543823965</v>
      </c>
      <c r="J527">
        <f t="shared" si="430"/>
        <v>15</v>
      </c>
      <c r="M527">
        <f t="shared" si="431"/>
        <v>6.0896077470779734E-4</v>
      </c>
      <c r="N527">
        <f t="shared" si="432"/>
        <v>-1.5707963250000001</v>
      </c>
      <c r="O527">
        <f t="shared" si="433"/>
        <v>665.21571651422892</v>
      </c>
      <c r="P527">
        <f t="shared" si="434"/>
        <v>1.5692930544701265</v>
      </c>
      <c r="Q527">
        <f t="shared" si="435"/>
        <v>301.07411888681003</v>
      </c>
      <c r="R527">
        <f t="shared" si="436"/>
        <v>1.5674748794304785</v>
      </c>
      <c r="S527">
        <f t="shared" si="437"/>
        <v>0.16237357918784742</v>
      </c>
      <c r="T527">
        <f t="shared" si="438"/>
        <v>-1.4077006456906898</v>
      </c>
      <c r="U527">
        <f t="shared" si="439"/>
        <v>8.339075102599515E-2</v>
      </c>
      <c r="V527">
        <f t="shared" si="440"/>
        <v>-1.4873086219413736</v>
      </c>
      <c r="X527">
        <f t="shared" si="457"/>
        <v>-56.264175552147442</v>
      </c>
      <c r="Y527">
        <f t="shared" si="441"/>
        <v>-174.85011192676319</v>
      </c>
      <c r="Z527">
        <f t="shared" si="458"/>
        <v>5.1498880732368093</v>
      </c>
      <c r="AC527">
        <v>1</v>
      </c>
      <c r="AD527">
        <f t="shared" si="442"/>
        <v>665.21496487792513</v>
      </c>
      <c r="AE527">
        <f t="shared" si="443"/>
        <v>-0.98117727161316859</v>
      </c>
      <c r="AF527">
        <f t="shared" si="444"/>
        <v>8.2107094704075012E-2</v>
      </c>
      <c r="AG527">
        <f t="shared" si="421"/>
        <v>55.327936437603753</v>
      </c>
      <c r="AH527">
        <f t="shared" si="422"/>
        <v>-673.34636449011975</v>
      </c>
      <c r="AJ527">
        <f t="shared" si="445"/>
        <v>20000</v>
      </c>
      <c r="AK527">
        <f t="shared" si="446"/>
        <v>121538.16653202</v>
      </c>
      <c r="AL527">
        <v>1</v>
      </c>
      <c r="AM527">
        <f t="shared" si="447"/>
        <v>301.07245816160099</v>
      </c>
      <c r="AN527">
        <f t="shared" si="423"/>
        <v>403.90029339655553</v>
      </c>
      <c r="AO527">
        <f t="shared" si="424"/>
        <v>-65.08765307282016</v>
      </c>
      <c r="AQ527">
        <f t="shared" si="448"/>
        <v>1.0207309433870977E-3</v>
      </c>
      <c r="AR527">
        <f t="shared" si="449"/>
        <v>-3.1948878528016156</v>
      </c>
      <c r="AT527">
        <f t="shared" si="418"/>
        <v>-2151.2096457008574</v>
      </c>
      <c r="AU527">
        <f t="shared" si="419"/>
        <v>-177.45385751493239</v>
      </c>
      <c r="AV527">
        <f t="shared" si="459"/>
        <v>-3.0592887322540192</v>
      </c>
      <c r="AW527">
        <f t="shared" si="460"/>
        <v>246.05436542943247</v>
      </c>
      <c r="AX527">
        <f t="shared" si="461"/>
        <v>-2101.2526600832543</v>
      </c>
      <c r="AY527">
        <f t="shared" si="469"/>
        <v>-1.4542282965443016</v>
      </c>
      <c r="BA527">
        <f t="shared" si="450"/>
        <v>1.0202808590857608</v>
      </c>
      <c r="BB527">
        <f t="shared" si="462"/>
        <v>0.17439478349544232</v>
      </c>
      <c r="BC527">
        <f t="shared" si="463"/>
        <v>-1.6050604357097176</v>
      </c>
      <c r="BD527">
        <f t="shared" si="451"/>
        <v>-271.96318893467907</v>
      </c>
      <c r="BF527">
        <f t="shared" si="452"/>
        <v>-60.446950640633744</v>
      </c>
      <c r="BG527">
        <f t="shared" si="453"/>
        <v>-190.66505211516943</v>
      </c>
      <c r="BH527">
        <f t="shared" si="464"/>
        <v>-10.665052115169431</v>
      </c>
      <c r="BI527">
        <f t="shared" si="465"/>
        <v>-10.665052115169431</v>
      </c>
      <c r="BJ527">
        <f t="shared" si="454"/>
        <v>0</v>
      </c>
      <c r="BK527">
        <f t="shared" si="466"/>
        <v>0</v>
      </c>
      <c r="BM527">
        <f t="shared" si="467"/>
        <v>-60.621345424129188</v>
      </c>
      <c r="BN527">
        <f t="shared" si="455"/>
        <v>-98.701863180490363</v>
      </c>
      <c r="BQ527" s="66">
        <f t="shared" si="468"/>
        <v>17.076355583780579</v>
      </c>
    </row>
    <row r="528" spans="1:69" x14ac:dyDescent="0.15">
      <c r="A528">
        <f t="shared" si="420"/>
        <v>1570000</v>
      </c>
      <c r="B528">
        <f t="shared" si="456"/>
        <v>1570</v>
      </c>
      <c r="C528">
        <f t="shared" si="425"/>
        <v>6.5869863397161206</v>
      </c>
      <c r="D528">
        <f t="shared" si="426"/>
        <v>1.4183925390116872</v>
      </c>
      <c r="F528">
        <f t="shared" si="427"/>
        <v>9.3915514802435569E-6</v>
      </c>
      <c r="G528">
        <f t="shared" si="428"/>
        <v>1.0037885660306425E-3</v>
      </c>
      <c r="H528">
        <f t="shared" si="429"/>
        <v>-3.1405888614339696</v>
      </c>
      <c r="J528">
        <f t="shared" si="430"/>
        <v>15</v>
      </c>
      <c r="M528">
        <f t="shared" si="431"/>
        <v>6.0702140918325023E-4</v>
      </c>
      <c r="N528">
        <f t="shared" si="432"/>
        <v>-1.5707963250000001</v>
      </c>
      <c r="O528">
        <f t="shared" si="433"/>
        <v>667.34100154821056</v>
      </c>
      <c r="P528">
        <f t="shared" si="434"/>
        <v>1.5692978419544283</v>
      </c>
      <c r="Q528">
        <f t="shared" si="435"/>
        <v>302.03600643548231</v>
      </c>
      <c r="R528">
        <f t="shared" si="436"/>
        <v>1.5674854572109016</v>
      </c>
      <c r="S528">
        <f t="shared" si="437"/>
        <v>0.16187003630948166</v>
      </c>
      <c r="T528">
        <f t="shared" si="438"/>
        <v>-1.4082109393760445</v>
      </c>
      <c r="U528">
        <f t="shared" si="439"/>
        <v>8.3127013451348181E-2</v>
      </c>
      <c r="V528">
        <f t="shared" si="440"/>
        <v>-1.4875732784168709</v>
      </c>
      <c r="X528">
        <f t="shared" si="457"/>
        <v>-56.319309124096499</v>
      </c>
      <c r="Y528">
        <f t="shared" si="441"/>
        <v>-174.86635063555303</v>
      </c>
      <c r="Z528">
        <f t="shared" si="458"/>
        <v>5.133649364446967</v>
      </c>
      <c r="AC528">
        <v>1</v>
      </c>
      <c r="AD528">
        <f t="shared" si="442"/>
        <v>667.3402523056501</v>
      </c>
      <c r="AE528">
        <f t="shared" si="443"/>
        <v>-0.98745679012720311</v>
      </c>
      <c r="AF528">
        <f t="shared" si="444"/>
        <v>8.2369417690350014E-2</v>
      </c>
      <c r="AG528">
        <f t="shared" si="421"/>
        <v>54.978521648899658</v>
      </c>
      <c r="AH528">
        <f t="shared" si="422"/>
        <v>-671.2310960022578</v>
      </c>
      <c r="AJ528">
        <f t="shared" si="445"/>
        <v>20000</v>
      </c>
      <c r="AK528">
        <f t="shared" si="446"/>
        <v>121926.46738356001</v>
      </c>
      <c r="AL528">
        <v>1</v>
      </c>
      <c r="AM528">
        <f t="shared" si="447"/>
        <v>302.034350999178</v>
      </c>
      <c r="AN528">
        <f t="shared" si="423"/>
        <v>403.89891862332314</v>
      </c>
      <c r="AO528">
        <f t="shared" si="424"/>
        <v>-64.880372105191469</v>
      </c>
      <c r="AQ528">
        <f t="shared" si="448"/>
        <v>1.0142398257292561E-3</v>
      </c>
      <c r="AR528">
        <f t="shared" si="449"/>
        <v>-3.1847130527898644</v>
      </c>
      <c r="AT528">
        <f t="shared" si="418"/>
        <v>-2137.6226714706213</v>
      </c>
      <c r="AU528">
        <f t="shared" si="419"/>
        <v>-175.77160482817428</v>
      </c>
      <c r="AV528">
        <f t="shared" si="459"/>
        <v>-3.059549618725423</v>
      </c>
      <c r="AW528">
        <f t="shared" si="460"/>
        <v>247.05893379592098</v>
      </c>
      <c r="AX528">
        <f t="shared" si="461"/>
        <v>-2094.5820224627137</v>
      </c>
      <c r="AY528">
        <f t="shared" si="469"/>
        <v>-1.4533873820839303</v>
      </c>
      <c r="BA528">
        <f t="shared" si="450"/>
        <v>1.0169432124386035</v>
      </c>
      <c r="BB528">
        <f t="shared" si="462"/>
        <v>0.14593403951413067</v>
      </c>
      <c r="BC528">
        <f t="shared" si="463"/>
        <v>-1.6061622366414927</v>
      </c>
      <c r="BD528">
        <f t="shared" si="451"/>
        <v>-272.02631747800552</v>
      </c>
      <c r="BF528">
        <f t="shared" si="452"/>
        <v>-60.503758654503386</v>
      </c>
      <c r="BG528">
        <f t="shared" si="453"/>
        <v>-190.70089835850601</v>
      </c>
      <c r="BH528">
        <f t="shared" si="464"/>
        <v>-10.700898358506009</v>
      </c>
      <c r="BI528">
        <f t="shared" si="465"/>
        <v>-10.700898358506009</v>
      </c>
      <c r="BJ528">
        <f t="shared" si="454"/>
        <v>0</v>
      </c>
      <c r="BK528">
        <f t="shared" si="466"/>
        <v>0</v>
      </c>
      <c r="BM528">
        <f t="shared" si="467"/>
        <v>-60.649692694017517</v>
      </c>
      <c r="BN528">
        <f t="shared" si="455"/>
        <v>-98.674580880500471</v>
      </c>
      <c r="BQ528" s="66">
        <f t="shared" si="468"/>
        <v>17.047894839799266</v>
      </c>
    </row>
    <row r="529" spans="1:69" x14ac:dyDescent="0.15">
      <c r="A529">
        <f t="shared" si="420"/>
        <v>1575000</v>
      </c>
      <c r="B529">
        <f t="shared" si="456"/>
        <v>1575</v>
      </c>
      <c r="C529">
        <f t="shared" si="425"/>
        <v>6.6074812673725596</v>
      </c>
      <c r="D529">
        <f t="shared" si="426"/>
        <v>1.4188689383184292</v>
      </c>
      <c r="F529">
        <f t="shared" si="427"/>
        <v>9.3320166961626949E-6</v>
      </c>
      <c r="G529">
        <f t="shared" si="428"/>
        <v>1.0006018772503841E-3</v>
      </c>
      <c r="H529">
        <f t="shared" si="429"/>
        <v>-3.1405920481227496</v>
      </c>
      <c r="J529">
        <f t="shared" si="430"/>
        <v>15</v>
      </c>
      <c r="M529">
        <f t="shared" si="431"/>
        <v>6.0509435709060495E-4</v>
      </c>
      <c r="N529">
        <f t="shared" si="432"/>
        <v>-1.5707963250000001</v>
      </c>
      <c r="O529">
        <f t="shared" si="433"/>
        <v>669.46628659739031</v>
      </c>
      <c r="P529">
        <f t="shared" si="434"/>
        <v>1.5693025990420726</v>
      </c>
      <c r="Q529">
        <f t="shared" si="435"/>
        <v>302.99789401773461</v>
      </c>
      <c r="R529">
        <f t="shared" si="436"/>
        <v>1.5674959678315481</v>
      </c>
      <c r="S529">
        <f t="shared" si="437"/>
        <v>0.16136956525612914</v>
      </c>
      <c r="T529">
        <f t="shared" si="438"/>
        <v>-1.4087180777327057</v>
      </c>
      <c r="U529">
        <f t="shared" si="439"/>
        <v>8.2864933098704005E-2</v>
      </c>
      <c r="V529">
        <f t="shared" si="440"/>
        <v>-1.4878362661087097</v>
      </c>
      <c r="X529">
        <f t="shared" si="457"/>
        <v>-56.374269119504376</v>
      </c>
      <c r="Y529">
        <f t="shared" si="441"/>
        <v>-174.88248774677413</v>
      </c>
      <c r="Z529">
        <f t="shared" si="458"/>
        <v>5.1175122532258683</v>
      </c>
      <c r="AC529">
        <v>1</v>
      </c>
      <c r="AD529">
        <f t="shared" si="442"/>
        <v>669.46553973337507</v>
      </c>
      <c r="AE529">
        <f t="shared" si="443"/>
        <v>-0.99375633900332405</v>
      </c>
      <c r="AF529">
        <f t="shared" si="444"/>
        <v>8.2631740676625001E-2</v>
      </c>
      <c r="AG529">
        <f t="shared" si="421"/>
        <v>54.632398867784886</v>
      </c>
      <c r="AH529">
        <f t="shared" si="422"/>
        <v>-669.12898405709291</v>
      </c>
      <c r="AJ529">
        <f t="shared" si="445"/>
        <v>20000</v>
      </c>
      <c r="AK529">
        <f t="shared" si="446"/>
        <v>122314.76823510001</v>
      </c>
      <c r="AL529">
        <v>1</v>
      </c>
      <c r="AM529">
        <f t="shared" si="447"/>
        <v>302.99624383675501</v>
      </c>
      <c r="AN529">
        <f t="shared" si="423"/>
        <v>403.89755692218517</v>
      </c>
      <c r="AO529">
        <f t="shared" si="424"/>
        <v>-64.674407164055765</v>
      </c>
      <c r="AQ529">
        <f t="shared" si="448"/>
        <v>1.007810430051859E-3</v>
      </c>
      <c r="AR529">
        <f t="shared" si="449"/>
        <v>-3.1746028546633553</v>
      </c>
      <c r="AT529">
        <f t="shared" si="418"/>
        <v>-2124.1637238242406</v>
      </c>
      <c r="AU529">
        <f t="shared" si="419"/>
        <v>-174.1105245719597</v>
      </c>
      <c r="AV529">
        <f t="shared" si="459"/>
        <v>-3.0598088603496345</v>
      </c>
      <c r="AW529">
        <f t="shared" si="460"/>
        <v>248.05392302255788</v>
      </c>
      <c r="AX529">
        <f t="shared" si="461"/>
        <v>-2087.953538942962</v>
      </c>
      <c r="AY529">
        <f t="shared" si="469"/>
        <v>-1.4525481519981989</v>
      </c>
      <c r="BA529">
        <f t="shared" si="450"/>
        <v>1.0136261256500634</v>
      </c>
      <c r="BB529">
        <f t="shared" si="462"/>
        <v>0.11755591437107807</v>
      </c>
      <c r="BC529">
        <f t="shared" si="463"/>
        <v>-1.6072607083514356</v>
      </c>
      <c r="BD529">
        <f t="shared" si="451"/>
        <v>-272.08925527097165</v>
      </c>
      <c r="BF529">
        <f t="shared" si="452"/>
        <v>-60.560389950844552</v>
      </c>
      <c r="BG529">
        <f t="shared" si="453"/>
        <v>-190.7367230656196</v>
      </c>
      <c r="BH529">
        <f t="shared" si="464"/>
        <v>-10.7367230656196</v>
      </c>
      <c r="BI529">
        <f t="shared" si="465"/>
        <v>-10.7367230656196</v>
      </c>
      <c r="BJ529">
        <f t="shared" si="454"/>
        <v>0</v>
      </c>
      <c r="BK529">
        <f t="shared" si="466"/>
        <v>0</v>
      </c>
      <c r="BM529">
        <f t="shared" si="467"/>
        <v>-60.677945865215619</v>
      </c>
      <c r="BN529">
        <f t="shared" si="455"/>
        <v>-98.647467794647937</v>
      </c>
      <c r="BQ529" s="66">
        <f t="shared" si="468"/>
        <v>17.019516714656216</v>
      </c>
    </row>
    <row r="530" spans="1:69" x14ac:dyDescent="0.15">
      <c r="A530">
        <f t="shared" si="420"/>
        <v>1580000</v>
      </c>
      <c r="B530">
        <f t="shared" si="456"/>
        <v>1580</v>
      </c>
      <c r="C530">
        <f t="shared" si="425"/>
        <v>6.6279776853641597</v>
      </c>
      <c r="D530">
        <f t="shared" si="426"/>
        <v>1.4193423912890428</v>
      </c>
      <c r="F530">
        <f t="shared" si="427"/>
        <v>9.2730462276720868E-6</v>
      </c>
      <c r="G530">
        <f t="shared" si="428"/>
        <v>9.9743535793837606E-4</v>
      </c>
      <c r="H530">
        <f t="shared" si="429"/>
        <v>-3.1405952146420617</v>
      </c>
      <c r="J530">
        <f t="shared" si="430"/>
        <v>15</v>
      </c>
      <c r="M530">
        <f t="shared" si="431"/>
        <v>6.0317950153019164E-4</v>
      </c>
      <c r="N530">
        <f t="shared" si="432"/>
        <v>-1.5707963250000001</v>
      </c>
      <c r="O530">
        <f t="shared" si="433"/>
        <v>671.59157166162424</v>
      </c>
      <c r="P530">
        <f t="shared" si="434"/>
        <v>1.5693073260216344</v>
      </c>
      <c r="Q530">
        <f t="shared" si="435"/>
        <v>303.95978163324816</v>
      </c>
      <c r="R530">
        <f t="shared" si="436"/>
        <v>1.5675064119300013</v>
      </c>
      <c r="S530">
        <f t="shared" si="437"/>
        <v>0.16087213839188638</v>
      </c>
      <c r="T530">
        <f t="shared" si="438"/>
        <v>-1.4092220896778054</v>
      </c>
      <c r="U530">
        <f t="shared" si="439"/>
        <v>8.26044944510545E-2</v>
      </c>
      <c r="V530">
        <f t="shared" si="440"/>
        <v>-1.4880976007149476</v>
      </c>
      <c r="X530">
        <f t="shared" si="457"/>
        <v>-56.429056622769835</v>
      </c>
      <c r="Y530">
        <f t="shared" si="441"/>
        <v>-174.89852420648631</v>
      </c>
      <c r="Z530">
        <f t="shared" si="458"/>
        <v>5.1014757935136856</v>
      </c>
      <c r="AC530">
        <v>1</v>
      </c>
      <c r="AD530">
        <f t="shared" si="442"/>
        <v>671.59082716110004</v>
      </c>
      <c r="AE530">
        <f t="shared" si="443"/>
        <v>-1.0000759182415311</v>
      </c>
      <c r="AF530">
        <f t="shared" si="444"/>
        <v>8.2894063662900003E-2</v>
      </c>
      <c r="AG530">
        <f t="shared" si="421"/>
        <v>54.2895269643872</v>
      </c>
      <c r="AH530">
        <f t="shared" si="422"/>
        <v>-667.03990715990278</v>
      </c>
      <c r="AJ530">
        <f t="shared" si="445"/>
        <v>20000</v>
      </c>
      <c r="AK530">
        <f t="shared" si="446"/>
        <v>122703.06908664</v>
      </c>
      <c r="AL530">
        <v>1</v>
      </c>
      <c r="AM530">
        <f t="shared" si="447"/>
        <v>303.95813667433197</v>
      </c>
      <c r="AN530">
        <f t="shared" si="423"/>
        <v>403.89620812793737</v>
      </c>
      <c r="AO530">
        <f t="shared" si="424"/>
        <v>-64.469745756034158</v>
      </c>
      <c r="AQ530">
        <f t="shared" si="448"/>
        <v>1.0014419763016767E-3</v>
      </c>
      <c r="AR530">
        <f t="shared" si="449"/>
        <v>-3.1645566451132985</v>
      </c>
      <c r="AT530">
        <f t="shared" si="418"/>
        <v>-2110.8312029474523</v>
      </c>
      <c r="AU530">
        <f t="shared" si="419"/>
        <v>-172.47028507810742</v>
      </c>
      <c r="AV530">
        <f t="shared" si="459"/>
        <v>-3.0600664725974673</v>
      </c>
      <c r="AW530">
        <f t="shared" si="460"/>
        <v>249.03945459348023</v>
      </c>
      <c r="AX530">
        <f t="shared" si="461"/>
        <v>-2081.366811800649</v>
      </c>
      <c r="AY530">
        <f t="shared" si="469"/>
        <v>-1.4517105919019375</v>
      </c>
      <c r="BA530">
        <f t="shared" si="450"/>
        <v>1.010329407612987</v>
      </c>
      <c r="BB530">
        <f t="shared" si="462"/>
        <v>8.9259883266100834E-2</v>
      </c>
      <c r="BC530">
        <f t="shared" si="463"/>
        <v>-1.6083558806955298</v>
      </c>
      <c r="BD530">
        <f t="shared" si="451"/>
        <v>-272.15200402419941</v>
      </c>
      <c r="BF530">
        <f t="shared" si="452"/>
        <v>-60.61684568733596</v>
      </c>
      <c r="BG530">
        <f t="shared" si="453"/>
        <v>-190.77252638999479</v>
      </c>
      <c r="BH530">
        <f t="shared" si="464"/>
        <v>-10.772526389994795</v>
      </c>
      <c r="BI530">
        <f t="shared" si="465"/>
        <v>-10.772526389994795</v>
      </c>
      <c r="BJ530">
        <f t="shared" si="454"/>
        <v>0</v>
      </c>
      <c r="BK530">
        <f t="shared" si="466"/>
        <v>0</v>
      </c>
      <c r="BM530">
        <f t="shared" si="467"/>
        <v>-60.706105570602062</v>
      </c>
      <c r="BN530">
        <f t="shared" si="455"/>
        <v>-98.620522365795381</v>
      </c>
      <c r="BQ530" s="66">
        <f t="shared" si="468"/>
        <v>16.991220683551237</v>
      </c>
    </row>
    <row r="531" spans="1:69" x14ac:dyDescent="0.15">
      <c r="A531">
        <f t="shared" si="420"/>
        <v>1585000</v>
      </c>
      <c r="B531">
        <f t="shared" si="456"/>
        <v>1585</v>
      </c>
      <c r="C531">
        <f t="shared" si="425"/>
        <v>6.6484755799073714</v>
      </c>
      <c r="D531">
        <f t="shared" si="426"/>
        <v>1.4198129249618037</v>
      </c>
      <c r="F531">
        <f t="shared" si="427"/>
        <v>9.2146329652081133E-6</v>
      </c>
      <c r="G531">
        <f t="shared" si="428"/>
        <v>9.9428881720943886E-4</v>
      </c>
      <c r="H531">
        <f t="shared" si="429"/>
        <v>-3.1405983611827906</v>
      </c>
      <c r="J531">
        <f t="shared" si="430"/>
        <v>15</v>
      </c>
      <c r="M531">
        <f t="shared" si="431"/>
        <v>6.0127672707741497E-4</v>
      </c>
      <c r="N531">
        <f t="shared" si="432"/>
        <v>-1.5707963250000001</v>
      </c>
      <c r="O531">
        <f t="shared" si="433"/>
        <v>673.71685674076969</v>
      </c>
      <c r="P531">
        <f t="shared" si="434"/>
        <v>1.5693120231780469</v>
      </c>
      <c r="Q531">
        <f t="shared" si="435"/>
        <v>304.92166928170826</v>
      </c>
      <c r="R531">
        <f t="shared" si="436"/>
        <v>1.5675167901357998</v>
      </c>
      <c r="S531">
        <f t="shared" si="437"/>
        <v>0.16037772840652798</v>
      </c>
      <c r="T531">
        <f t="shared" si="438"/>
        <v>-1.4097230037793871</v>
      </c>
      <c r="U531">
        <f t="shared" si="439"/>
        <v>8.2345682183831939E-2</v>
      </c>
      <c r="V531">
        <f t="shared" si="440"/>
        <v>-1.488357297737815</v>
      </c>
      <c r="X531">
        <f t="shared" si="457"/>
        <v>-56.483672708206775</v>
      </c>
      <c r="Y531">
        <f t="shared" si="441"/>
        <v>-174.91446094909267</v>
      </c>
      <c r="Z531">
        <f t="shared" si="458"/>
        <v>5.0855390509073288</v>
      </c>
      <c r="AC531">
        <v>1</v>
      </c>
      <c r="AD531">
        <f t="shared" si="442"/>
        <v>673.71611458882501</v>
      </c>
      <c r="AE531">
        <f t="shared" si="443"/>
        <v>-1.0064155278418245</v>
      </c>
      <c r="AF531">
        <f t="shared" si="444"/>
        <v>8.3156386649175004E-2</v>
      </c>
      <c r="AG531">
        <f t="shared" si="421"/>
        <v>53.949865447694748</v>
      </c>
      <c r="AH531">
        <f t="shared" si="422"/>
        <v>-664.96374529623347</v>
      </c>
      <c r="AJ531">
        <f t="shared" si="445"/>
        <v>20000</v>
      </c>
      <c r="AK531">
        <f t="shared" si="446"/>
        <v>123091.36993818</v>
      </c>
      <c r="AL531">
        <v>1</v>
      </c>
      <c r="AM531">
        <f t="shared" si="447"/>
        <v>304.92002951190898</v>
      </c>
      <c r="AN531">
        <f t="shared" si="423"/>
        <v>403.8948720779768</v>
      </c>
      <c r="AO531">
        <f t="shared" si="424"/>
        <v>-64.266375545384363</v>
      </c>
      <c r="AQ531">
        <f t="shared" si="448"/>
        <v>9.9513369670971991E-4</v>
      </c>
      <c r="AR531">
        <f t="shared" si="449"/>
        <v>-3.1545738185698116</v>
      </c>
      <c r="AT531">
        <f t="shared" si="418"/>
        <v>-2097.6235338805832</v>
      </c>
      <c r="AU531">
        <f t="shared" si="419"/>
        <v>-170.85056088669654</v>
      </c>
      <c r="AV531">
        <f t="shared" si="459"/>
        <v>-3.060322470746776</v>
      </c>
      <c r="AW531">
        <f t="shared" si="460"/>
        <v>250.01564807185119</v>
      </c>
      <c r="AX531">
        <f t="shared" si="461"/>
        <v>-2074.821448292832</v>
      </c>
      <c r="AY531">
        <f t="shared" si="469"/>
        <v>-1.4508746875972864</v>
      </c>
      <c r="BA531">
        <f t="shared" si="450"/>
        <v>1.0070528695742227</v>
      </c>
      <c r="BB531">
        <f t="shared" si="462"/>
        <v>6.1045426198827316E-2</v>
      </c>
      <c r="BC531">
        <f t="shared" si="463"/>
        <v>-1.6094477831494896</v>
      </c>
      <c r="BD531">
        <f t="shared" si="451"/>
        <v>-272.21456542652277</v>
      </c>
      <c r="BF531">
        <f t="shared" si="452"/>
        <v>-60.673127010417602</v>
      </c>
      <c r="BG531">
        <f t="shared" si="453"/>
        <v>-190.8083084822234</v>
      </c>
      <c r="BH531">
        <f t="shared" si="464"/>
        <v>-10.808308482223396</v>
      </c>
      <c r="BI531">
        <f t="shared" si="465"/>
        <v>-10.808308482223396</v>
      </c>
      <c r="BJ531">
        <f t="shared" si="454"/>
        <v>0</v>
      </c>
      <c r="BK531">
        <f t="shared" si="466"/>
        <v>0</v>
      </c>
      <c r="BM531">
        <f t="shared" si="467"/>
        <v>-60.734172436616433</v>
      </c>
      <c r="BN531">
        <f t="shared" si="455"/>
        <v>-98.593743055700628</v>
      </c>
      <c r="BQ531" s="66">
        <f t="shared" si="468"/>
        <v>16.963006226483966</v>
      </c>
    </row>
    <row r="532" spans="1:69" x14ac:dyDescent="0.15">
      <c r="A532">
        <f t="shared" si="420"/>
        <v>1590000</v>
      </c>
      <c r="B532">
        <f t="shared" si="456"/>
        <v>1590</v>
      </c>
      <c r="C532">
        <f t="shared" si="425"/>
        <v>6.6689749373871203</v>
      </c>
      <c r="D532">
        <f t="shared" si="426"/>
        <v>1.4202805660477489</v>
      </c>
      <c r="F532">
        <f t="shared" si="427"/>
        <v>9.1567699108186773E-6</v>
      </c>
      <c r="G532">
        <f t="shared" si="428"/>
        <v>9.9116206657957244E-4</v>
      </c>
      <c r="H532">
        <f t="shared" si="429"/>
        <v>-3.1406014879334205</v>
      </c>
      <c r="J532">
        <f t="shared" si="430"/>
        <v>15</v>
      </c>
      <c r="M532">
        <f t="shared" si="431"/>
        <v>5.993859197595615E-4</v>
      </c>
      <c r="N532">
        <f t="shared" si="432"/>
        <v>-1.5707963250000001</v>
      </c>
      <c r="O532">
        <f t="shared" si="433"/>
        <v>675.84214183468623</v>
      </c>
      <c r="P532">
        <f t="shared" si="434"/>
        <v>1.5693166907926601</v>
      </c>
      <c r="Q532">
        <f t="shared" si="435"/>
        <v>305.88355696280411</v>
      </c>
      <c r="R532">
        <f t="shared" si="436"/>
        <v>1.5675271030705635</v>
      </c>
      <c r="S532">
        <f t="shared" si="437"/>
        <v>0.15988630831079928</v>
      </c>
      <c r="T532">
        <f t="shared" si="438"/>
        <v>-1.4102208482616099</v>
      </c>
      <c r="U532">
        <f t="shared" si="439"/>
        <v>8.2088481161945323E-2</v>
      </c>
      <c r="V532">
        <f t="shared" si="440"/>
        <v>-1.4886153724867515</v>
      </c>
      <c r="X532">
        <f t="shared" si="457"/>
        <v>-56.538118440168368</v>
      </c>
      <c r="Y532">
        <f t="shared" si="441"/>
        <v>-174.93029889751799</v>
      </c>
      <c r="Z532">
        <f t="shared" si="458"/>
        <v>5.0697011024820142</v>
      </c>
      <c r="AC532">
        <v>1</v>
      </c>
      <c r="AD532">
        <f t="shared" si="442"/>
        <v>675.84140201655009</v>
      </c>
      <c r="AE532">
        <f t="shared" si="443"/>
        <v>-1.0127751678042038</v>
      </c>
      <c r="AF532">
        <f t="shared" si="444"/>
        <v>8.3418709635450006E-2</v>
      </c>
      <c r="AG532">
        <f t="shared" si="421"/>
        <v>53.613374453712908</v>
      </c>
      <c r="AH532">
        <f t="shared" si="422"/>
        <v>-662.90037990960354</v>
      </c>
      <c r="AJ532">
        <f t="shared" si="445"/>
        <v>20000</v>
      </c>
      <c r="AK532">
        <f t="shared" si="446"/>
        <v>123479.67078972</v>
      </c>
      <c r="AL532">
        <v>1</v>
      </c>
      <c r="AM532">
        <f t="shared" si="447"/>
        <v>305.88192234948599</v>
      </c>
      <c r="AN532">
        <f t="shared" si="423"/>
        <v>403.89354861225297</v>
      </c>
      <c r="AO532">
        <f t="shared" si="424"/>
        <v>-64.064284351522346</v>
      </c>
      <c r="AQ532">
        <f t="shared" si="448"/>
        <v>9.8888483555982401E-4</v>
      </c>
      <c r="AR532">
        <f t="shared" si="449"/>
        <v>-3.1446537770802405</v>
      </c>
      <c r="AT532">
        <f t="shared" si="418"/>
        <v>-2084.5391660576806</v>
      </c>
      <c r="AU532">
        <f t="shared" si="419"/>
        <v>-169.25103261106503</v>
      </c>
      <c r="AV532">
        <f t="shared" si="459"/>
        <v>-3.0605768698854452</v>
      </c>
      <c r="AW532">
        <f t="shared" si="460"/>
        <v>250.9826211362174</v>
      </c>
      <c r="AX532">
        <f t="shared" si="461"/>
        <v>-2068.3170605793739</v>
      </c>
      <c r="AY532">
        <f t="shared" si="469"/>
        <v>-1.4500404250707135</v>
      </c>
      <c r="BA532">
        <f t="shared" si="450"/>
        <v>1.003796325098703</v>
      </c>
      <c r="BB532">
        <f t="shared" si="462"/>
        <v>3.2912027911472422E-2</v>
      </c>
      <c r="BC532">
        <f t="shared" si="463"/>
        <v>-1.6105364448147317</v>
      </c>
      <c r="BD532">
        <f t="shared" si="451"/>
        <v>-272.27694114533011</v>
      </c>
      <c r="BF532">
        <f t="shared" si="452"/>
        <v>-60.729235055435574</v>
      </c>
      <c r="BG532">
        <f t="shared" si="453"/>
        <v>-190.84406949006342</v>
      </c>
      <c r="BH532">
        <f t="shared" si="464"/>
        <v>-10.844069490063418</v>
      </c>
      <c r="BI532">
        <f t="shared" si="465"/>
        <v>-10.844069490063418</v>
      </c>
      <c r="BJ532">
        <f t="shared" si="454"/>
        <v>0</v>
      </c>
      <c r="BK532">
        <f t="shared" si="466"/>
        <v>0</v>
      </c>
      <c r="BM532">
        <f t="shared" si="467"/>
        <v>-60.762147083347045</v>
      </c>
      <c r="BN532">
        <f t="shared" si="455"/>
        <v>-98.56712834473332</v>
      </c>
      <c r="BQ532" s="66">
        <f t="shared" si="468"/>
        <v>16.93487282819661</v>
      </c>
    </row>
    <row r="533" spans="1:69" x14ac:dyDescent="0.15">
      <c r="A533">
        <f t="shared" si="420"/>
        <v>1595000</v>
      </c>
      <c r="B533">
        <f t="shared" si="456"/>
        <v>1595</v>
      </c>
      <c r="C533">
        <f t="shared" si="425"/>
        <v>6.6894757443542527</v>
      </c>
      <c r="D533">
        <f t="shared" si="426"/>
        <v>1.4207453409355726</v>
      </c>
      <c r="F533">
        <f t="shared" si="427"/>
        <v>9.0994501760671837E-6</v>
      </c>
      <c r="G533">
        <f t="shared" si="428"/>
        <v>9.8805491992831856E-4</v>
      </c>
      <c r="H533">
        <f t="shared" si="429"/>
        <v>-3.1406045950800721</v>
      </c>
      <c r="J533">
        <f t="shared" si="430"/>
        <v>15</v>
      </c>
      <c r="M533">
        <f t="shared" si="431"/>
        <v>5.9750696703304244E-4</v>
      </c>
      <c r="N533">
        <f t="shared" si="432"/>
        <v>-1.5707963250000001</v>
      </c>
      <c r="O533">
        <f t="shared" si="433"/>
        <v>677.96742694323461</v>
      </c>
      <c r="P533">
        <f t="shared" si="434"/>
        <v>1.5693213291432959</v>
      </c>
      <c r="Q533">
        <f t="shared" si="435"/>
        <v>306.84544467622868</v>
      </c>
      <c r="R533">
        <f t="shared" si="436"/>
        <v>1.5675373513481181</v>
      </c>
      <c r="S533">
        <f t="shared" si="437"/>
        <v>0.15939785143178833</v>
      </c>
      <c r="T533">
        <f t="shared" si="438"/>
        <v>-1.4107156510098593</v>
      </c>
      <c r="U533">
        <f t="shared" si="439"/>
        <v>8.1832876436871468E-2</v>
      </c>
      <c r="V533">
        <f t="shared" si="440"/>
        <v>-1.4888718400813867</v>
      </c>
      <c r="X533">
        <f t="shared" si="457"/>
        <v>-56.592394873169297</v>
      </c>
      <c r="Y533">
        <f t="shared" si="441"/>
        <v>-174.94603896338361</v>
      </c>
      <c r="Z533">
        <f t="shared" si="458"/>
        <v>5.0539610366163856</v>
      </c>
      <c r="AC533">
        <v>1</v>
      </c>
      <c r="AD533">
        <f t="shared" si="442"/>
        <v>677.96668944427506</v>
      </c>
      <c r="AE533">
        <f t="shared" si="443"/>
        <v>-1.0191548381286699</v>
      </c>
      <c r="AF533">
        <f t="shared" si="444"/>
        <v>8.3681032621725007E-2</v>
      </c>
      <c r="AG533">
        <f t="shared" si="421"/>
        <v>53.28001473387517</v>
      </c>
      <c r="AH533">
        <f t="shared" si="422"/>
        <v>-660.84969387959893</v>
      </c>
      <c r="AJ533">
        <f t="shared" si="445"/>
        <v>20000</v>
      </c>
      <c r="AK533">
        <f t="shared" si="446"/>
        <v>123867.97164126001</v>
      </c>
      <c r="AL533">
        <v>1</v>
      </c>
      <c r="AM533">
        <f t="shared" si="447"/>
        <v>306.843815187063</v>
      </c>
      <c r="AN533">
        <f t="shared" si="423"/>
        <v>403.89223757322048</v>
      </c>
      <c r="AO533">
        <f t="shared" si="424"/>
        <v>-63.863460146590512</v>
      </c>
      <c r="AQ533">
        <f t="shared" si="448"/>
        <v>9.8269464896230891E-4</v>
      </c>
      <c r="AR533">
        <f t="shared" si="449"/>
        <v>-3.1347959301897652</v>
      </c>
      <c r="AT533">
        <f t="shared" si="418"/>
        <v>-2071.5765728555434</v>
      </c>
      <c r="AU533">
        <f t="shared" si="419"/>
        <v>-167.67138680614647</v>
      </c>
      <c r="AV533">
        <f t="shared" si="459"/>
        <v>-3.0608296849143279</v>
      </c>
      <c r="AW533">
        <f t="shared" si="460"/>
        <v>251.94048961606669</v>
      </c>
      <c r="AX533">
        <f t="shared" si="461"/>
        <v>-2061.8532656467801</v>
      </c>
      <c r="AY533">
        <f t="shared" si="469"/>
        <v>-1.4492077904900864</v>
      </c>
      <c r="BA533">
        <f t="shared" si="450"/>
        <v>1.0005595900341726</v>
      </c>
      <c r="BB533">
        <f t="shared" si="462"/>
        <v>4.8591778324048587E-3</v>
      </c>
      <c r="BC533">
        <f t="shared" si="463"/>
        <v>-1.6116218944242415</v>
      </c>
      <c r="BD533">
        <f t="shared" si="451"/>
        <v>-272.3391328269002</v>
      </c>
      <c r="BF533">
        <f t="shared" si="452"/>
        <v>-60.785170946784802</v>
      </c>
      <c r="BG533">
        <f t="shared" si="453"/>
        <v>-190.87980955849682</v>
      </c>
      <c r="BH533">
        <f t="shared" si="464"/>
        <v>-10.879809558496817</v>
      </c>
      <c r="BI533">
        <f t="shared" si="465"/>
        <v>-10.879809558496817</v>
      </c>
      <c r="BJ533">
        <f t="shared" si="454"/>
        <v>0</v>
      </c>
      <c r="BK533">
        <f t="shared" si="466"/>
        <v>0</v>
      </c>
      <c r="BM533">
        <f t="shared" si="467"/>
        <v>-60.790030124617196</v>
      </c>
      <c r="BN533">
        <f t="shared" si="455"/>
        <v>-98.540676731596591</v>
      </c>
      <c r="BQ533" s="66">
        <f t="shared" si="468"/>
        <v>16.906819978117543</v>
      </c>
    </row>
    <row r="534" spans="1:69" x14ac:dyDescent="0.15">
      <c r="A534">
        <f t="shared" si="420"/>
        <v>1600000</v>
      </c>
      <c r="B534">
        <f t="shared" si="456"/>
        <v>1600</v>
      </c>
      <c r="C534">
        <f t="shared" si="425"/>
        <v>6.7099779875230343</v>
      </c>
      <c r="D534">
        <f t="shared" si="426"/>
        <v>1.421207275696436</v>
      </c>
      <c r="F534">
        <f t="shared" si="427"/>
        <v>9.0426669799823079E-6</v>
      </c>
      <c r="G534">
        <f t="shared" si="428"/>
        <v>9.8496719346182859E-4</v>
      </c>
      <c r="H534">
        <f t="shared" si="429"/>
        <v>-3.1406076828065386</v>
      </c>
      <c r="J534">
        <f t="shared" si="430"/>
        <v>15</v>
      </c>
      <c r="M534">
        <f t="shared" si="431"/>
        <v>5.956397577610642E-4</v>
      </c>
      <c r="N534">
        <f t="shared" si="432"/>
        <v>-1.5707963250000001</v>
      </c>
      <c r="O534">
        <f t="shared" si="433"/>
        <v>680.09271206627773</v>
      </c>
      <c r="P534">
        <f t="shared" si="434"/>
        <v>1.5693259385043028</v>
      </c>
      <c r="Q534">
        <f t="shared" si="435"/>
        <v>307.80733242167895</v>
      </c>
      <c r="R534">
        <f t="shared" si="436"/>
        <v>1.567547535574616</v>
      </c>
      <c r="S534">
        <f t="shared" si="437"/>
        <v>0.15891233140837685</v>
      </c>
      <c r="T534">
        <f t="shared" si="438"/>
        <v>-1.4112074395757681</v>
      </c>
      <c r="U534">
        <f t="shared" si="439"/>
        <v>8.1578853243799085E-2</v>
      </c>
      <c r="V534">
        <f t="shared" si="440"/>
        <v>-1.4891267154544665</v>
      </c>
      <c r="X534">
        <f t="shared" si="457"/>
        <v>-56.646503052006111</v>
      </c>
      <c r="Y534">
        <f t="shared" si="441"/>
        <v>-174.96168204717924</v>
      </c>
      <c r="Z534">
        <f t="shared" si="458"/>
        <v>5.038317952820762</v>
      </c>
      <c r="AC534">
        <v>1</v>
      </c>
      <c r="AD534">
        <f t="shared" si="442"/>
        <v>680.09197687200015</v>
      </c>
      <c r="AE534">
        <f t="shared" si="443"/>
        <v>-1.0255545388152219</v>
      </c>
      <c r="AF534">
        <f t="shared" si="444"/>
        <v>8.3943355608000009E-2</v>
      </c>
      <c r="AG534">
        <f t="shared" si="421"/>
        <v>52.949747643703439</v>
      </c>
      <c r="AH534">
        <f t="shared" si="422"/>
        <v>-658.81157150036734</v>
      </c>
      <c r="AJ534">
        <f t="shared" si="445"/>
        <v>20000</v>
      </c>
      <c r="AK534">
        <f t="shared" si="446"/>
        <v>124256.27249280001</v>
      </c>
      <c r="AL534">
        <v>1</v>
      </c>
      <c r="AM534">
        <f t="shared" si="447"/>
        <v>307.80570802464001</v>
      </c>
      <c r="AN534">
        <f t="shared" si="423"/>
        <v>403.89093880579111</v>
      </c>
      <c r="AO534">
        <f t="shared" si="424"/>
        <v>-63.663891053071481</v>
      </c>
      <c r="AQ534">
        <f t="shared" si="448"/>
        <v>9.7656240463257771E-4</v>
      </c>
      <c r="AR534">
        <f t="shared" si="449"/>
        <v>-3.1249996948242487</v>
      </c>
      <c r="AT534">
        <f t="shared" ref="AT534:AT597" si="470">-AR534*AH534+AG534*AQ534</f>
        <v>-2058.734251152448</v>
      </c>
      <c r="AU534">
        <f t="shared" ref="AU534:AU597" si="471">AQ534*AH534+AG534*AR534</f>
        <v>-166.11131584005838</v>
      </c>
      <c r="AV534">
        <f t="shared" si="459"/>
        <v>-3.061080930550129</v>
      </c>
      <c r="AW534">
        <f t="shared" si="460"/>
        <v>252.88936752660268</v>
      </c>
      <c r="AX534">
        <f t="shared" si="461"/>
        <v>-2055.4296852334537</v>
      </c>
      <c r="AY534">
        <f t="shared" si="469"/>
        <v>-1.4483767702018016</v>
      </c>
      <c r="BA534">
        <f t="shared" si="450"/>
        <v>0.99734248247656043</v>
      </c>
      <c r="BB534">
        <f t="shared" si="462"/>
        <v>-2.3113629979416586E-2</v>
      </c>
      <c r="BC534">
        <f t="shared" si="463"/>
        <v>-1.6127041603483274</v>
      </c>
      <c r="BD534">
        <f t="shared" si="451"/>
        <v>-272.40114209673203</v>
      </c>
      <c r="BF534">
        <f t="shared" si="452"/>
        <v>-60.840935798049259</v>
      </c>
      <c r="BG534">
        <f t="shared" si="453"/>
        <v>-190.91552882978553</v>
      </c>
      <c r="BH534">
        <f t="shared" si="464"/>
        <v>-10.915528829785529</v>
      </c>
      <c r="BI534">
        <f t="shared" si="465"/>
        <v>-10.915528829785529</v>
      </c>
      <c r="BJ534">
        <f t="shared" si="454"/>
        <v>0</v>
      </c>
      <c r="BK534">
        <f t="shared" si="466"/>
        <v>0</v>
      </c>
      <c r="BM534">
        <f t="shared" si="467"/>
        <v>-60.817822168069846</v>
      </c>
      <c r="BN534">
        <f t="shared" si="455"/>
        <v>-98.514386733053513</v>
      </c>
      <c r="BQ534" s="66">
        <f t="shared" si="468"/>
        <v>16.878847170305718</v>
      </c>
    </row>
    <row r="535" spans="1:69" x14ac:dyDescent="0.15">
      <c r="A535">
        <f t="shared" si="420"/>
        <v>1605000</v>
      </c>
      <c r="B535">
        <f t="shared" si="456"/>
        <v>1605</v>
      </c>
      <c r="C535">
        <f t="shared" si="425"/>
        <v>6.7304816537686909</v>
      </c>
      <c r="D535">
        <f t="shared" si="426"/>
        <v>1.4216663960886897</v>
      </c>
      <c r="F535">
        <f t="shared" si="427"/>
        <v>8.9864136470523781E-6</v>
      </c>
      <c r="G535">
        <f t="shared" si="428"/>
        <v>9.8189870567662188E-4</v>
      </c>
      <c r="H535">
        <f t="shared" si="429"/>
        <v>-3.1406107512943238</v>
      </c>
      <c r="J535">
        <f t="shared" si="430"/>
        <v>15</v>
      </c>
      <c r="M535">
        <f t="shared" si="431"/>
        <v>5.9378418219171514E-4</v>
      </c>
      <c r="N535">
        <f t="shared" si="432"/>
        <v>-1.5707963250000001</v>
      </c>
      <c r="O535">
        <f t="shared" si="433"/>
        <v>682.2179972036804</v>
      </c>
      <c r="P535">
        <f t="shared" si="434"/>
        <v>1.5693305191466118</v>
      </c>
      <c r="Q535">
        <f t="shared" si="435"/>
        <v>308.76922019885558</v>
      </c>
      <c r="R535">
        <f t="shared" si="436"/>
        <v>1.5675576563486568</v>
      </c>
      <c r="S535">
        <f t="shared" si="437"/>
        <v>0.15842972218676785</v>
      </c>
      <c r="T535">
        <f t="shared" si="438"/>
        <v>-1.411696241182149</v>
      </c>
      <c r="U535">
        <f t="shared" si="439"/>
        <v>8.1326396998825004E-2</v>
      </c>
      <c r="V535">
        <f t="shared" si="440"/>
        <v>-1.4893800133547246</v>
      </c>
      <c r="X535">
        <f t="shared" si="457"/>
        <v>-56.70044401187581</v>
      </c>
      <c r="Y535">
        <f t="shared" si="441"/>
        <v>-174.97722903843152</v>
      </c>
      <c r="Z535">
        <f t="shared" si="458"/>
        <v>5.022770961568483</v>
      </c>
      <c r="AC535">
        <v>1</v>
      </c>
      <c r="AD535">
        <f t="shared" si="442"/>
        <v>682.21726429972512</v>
      </c>
      <c r="AE535">
        <f t="shared" si="443"/>
        <v>-1.0319742698638601</v>
      </c>
      <c r="AF535">
        <f t="shared" si="444"/>
        <v>8.420567859427501E-2</v>
      </c>
      <c r="AG535">
        <f t="shared" si="421"/>
        <v>52.622535131709952</v>
      </c>
      <c r="AH535">
        <f t="shared" si="422"/>
        <v>-656.78589845948704</v>
      </c>
      <c r="AJ535">
        <f t="shared" si="445"/>
        <v>20000</v>
      </c>
      <c r="AK535">
        <f t="shared" si="446"/>
        <v>124644.57334434001</v>
      </c>
      <c r="AL535">
        <v>1</v>
      </c>
      <c r="AM535">
        <f t="shared" si="447"/>
        <v>308.76760086221702</v>
      </c>
      <c r="AN535">
        <f t="shared" si="423"/>
        <v>403.88965215728888</v>
      </c>
      <c r="AO535">
        <f t="shared" si="424"/>
        <v>-63.465565341446521</v>
      </c>
      <c r="AQ535">
        <f t="shared" si="448"/>
        <v>9.7048738167453911E-4</v>
      </c>
      <c r="AR535">
        <f t="shared" si="449"/>
        <v>-3.1152644951752704</v>
      </c>
      <c r="AT535">
        <f t="shared" si="470"/>
        <v>-2046.0107208962934</v>
      </c>
      <c r="AU535">
        <f t="shared" si="471"/>
        <v>-164.57051776884603</v>
      </c>
      <c r="AV535">
        <f t="shared" si="459"/>
        <v>-3.0613306213282327</v>
      </c>
      <c r="AW535">
        <f t="shared" si="460"/>
        <v>253.82936710276132</v>
      </c>
      <c r="AX535">
        <f t="shared" si="461"/>
        <v>-2049.0459457563284</v>
      </c>
      <c r="AY535">
        <f t="shared" si="469"/>
        <v>-1.4475473507279668</v>
      </c>
      <c r="BA535">
        <f t="shared" si="450"/>
        <v>0.9941448227359726</v>
      </c>
      <c r="BB535">
        <f t="shared" si="462"/>
        <v>-5.1006896889224315E-2</v>
      </c>
      <c r="BC535">
        <f t="shared" si="463"/>
        <v>-1.6137832706002659</v>
      </c>
      <c r="BD535">
        <f t="shared" si="451"/>
        <v>-272.46297055986804</v>
      </c>
      <c r="BF535">
        <f t="shared" si="452"/>
        <v>-60.896530712140155</v>
      </c>
      <c r="BG535">
        <f t="shared" si="453"/>
        <v>-190.95122744352673</v>
      </c>
      <c r="BH535">
        <f t="shared" si="464"/>
        <v>-10.951227443526733</v>
      </c>
      <c r="BI535">
        <f t="shared" si="465"/>
        <v>-10.951227443526733</v>
      </c>
      <c r="BJ535">
        <f t="shared" si="454"/>
        <v>0</v>
      </c>
      <c r="BK535">
        <f t="shared" si="466"/>
        <v>0</v>
      </c>
      <c r="BM535">
        <f t="shared" si="467"/>
        <v>-60.845523815250928</v>
      </c>
      <c r="BN535">
        <f t="shared" si="455"/>
        <v>-98.488256883658721</v>
      </c>
      <c r="BQ535" s="66">
        <f t="shared" si="468"/>
        <v>16.850953903395911</v>
      </c>
    </row>
    <row r="536" spans="1:69" x14ac:dyDescent="0.15">
      <c r="A536">
        <f t="shared" si="420"/>
        <v>1610000</v>
      </c>
      <c r="B536">
        <f t="shared" si="456"/>
        <v>1610</v>
      </c>
      <c r="C536">
        <f t="shared" si="425"/>
        <v>6.7509867301249846</v>
      </c>
      <c r="D536">
        <f t="shared" si="426"/>
        <v>1.422122727562515</v>
      </c>
      <c r="F536">
        <f t="shared" si="427"/>
        <v>8.9306836052633142E-6</v>
      </c>
      <c r="G536">
        <f t="shared" si="428"/>
        <v>9.7884927732401787E-4</v>
      </c>
      <c r="H536">
        <f t="shared" si="429"/>
        <v>-3.1406138007226763</v>
      </c>
      <c r="J536">
        <f t="shared" si="430"/>
        <v>15</v>
      </c>
      <c r="M536">
        <f t="shared" si="431"/>
        <v>5.9194013193646132E-4</v>
      </c>
      <c r="N536">
        <f t="shared" si="432"/>
        <v>-1.5707963250000001</v>
      </c>
      <c r="O536">
        <f t="shared" si="433"/>
        <v>684.3432823553087</v>
      </c>
      <c r="P536">
        <f t="shared" si="434"/>
        <v>1.5693350713377869</v>
      </c>
      <c r="Q536">
        <f t="shared" si="435"/>
        <v>309.73110800746309</v>
      </c>
      <c r="R536">
        <f t="shared" si="436"/>
        <v>1.5675677142614046</v>
      </c>
      <c r="S536">
        <f t="shared" si="437"/>
        <v>0.15794999801608872</v>
      </c>
      <c r="T536">
        <f t="shared" si="438"/>
        <v>-1.4121820827278413</v>
      </c>
      <c r="U536">
        <f t="shared" si="439"/>
        <v>8.1075493296201548E-2</v>
      </c>
      <c r="V536">
        <f t="shared" si="440"/>
        <v>-1.4896317483497021</v>
      </c>
      <c r="X536">
        <f t="shared" si="457"/>
        <v>-56.754218778492543</v>
      </c>
      <c r="Y536">
        <f t="shared" si="441"/>
        <v>-174.99268081586973</v>
      </c>
      <c r="Z536">
        <f t="shared" si="458"/>
        <v>5.0073191841302673</v>
      </c>
      <c r="AC536">
        <v>1</v>
      </c>
      <c r="AD536">
        <f t="shared" si="442"/>
        <v>684.34255172745009</v>
      </c>
      <c r="AE536">
        <f t="shared" si="443"/>
        <v>-1.0384140312745846</v>
      </c>
      <c r="AF536">
        <f t="shared" si="444"/>
        <v>8.4468001580550012E-2</v>
      </c>
      <c r="AG536">
        <f t="shared" si="421"/>
        <v>52.298339728536327</v>
      </c>
      <c r="AH536">
        <f t="shared" si="422"/>
        <v>-654.7725618172135</v>
      </c>
      <c r="AJ536">
        <f t="shared" si="445"/>
        <v>20000</v>
      </c>
      <c r="AK536">
        <f t="shared" si="446"/>
        <v>125032.87419587999</v>
      </c>
      <c r="AL536">
        <v>1</v>
      </c>
      <c r="AM536">
        <f t="shared" si="447"/>
        <v>309.72949369979398</v>
      </c>
      <c r="AN536">
        <f t="shared" si="423"/>
        <v>403.8883774774049</v>
      </c>
      <c r="AO536">
        <f t="shared" si="424"/>
        <v>-63.268471427897573</v>
      </c>
      <c r="AQ536">
        <f t="shared" si="448"/>
        <v>9.6446887036872903E-4</v>
      </c>
      <c r="AR536">
        <f t="shared" si="449"/>
        <v>-3.1055897625873072</v>
      </c>
      <c r="AT536">
        <f t="shared" si="470"/>
        <v>-2033.4045246819628</v>
      </c>
      <c r="AU536">
        <f t="shared" si="471"/>
        <v>-163.04869621429975</v>
      </c>
      <c r="AV536">
        <f t="shared" si="459"/>
        <v>-3.0615787716054812</v>
      </c>
      <c r="AW536">
        <f t="shared" si="460"/>
        <v>254.7605988324826</v>
      </c>
      <c r="AX536">
        <f t="shared" si="461"/>
        <v>-2042.7016782388596</v>
      </c>
      <c r="AY536">
        <f t="shared" si="469"/>
        <v>-1.4467195187636366</v>
      </c>
      <c r="BA536">
        <f t="shared" si="450"/>
        <v>0.99096643330329715</v>
      </c>
      <c r="BB536">
        <f t="shared" si="462"/>
        <v>-7.8821119740429754E-2</v>
      </c>
      <c r="BC536">
        <f t="shared" si="463"/>
        <v>-1.6148592528418446</v>
      </c>
      <c r="BD536">
        <f t="shared" si="451"/>
        <v>-272.524619801212</v>
      </c>
      <c r="BF536">
        <f t="shared" si="452"/>
        <v>-60.951956781431782</v>
      </c>
      <c r="BG536">
        <f t="shared" si="453"/>
        <v>-190.98690553670636</v>
      </c>
      <c r="BH536">
        <f t="shared" si="464"/>
        <v>-10.986905536706359</v>
      </c>
      <c r="BI536">
        <f t="shared" si="465"/>
        <v>-10.986905536706359</v>
      </c>
      <c r="BJ536">
        <f t="shared" si="454"/>
        <v>0</v>
      </c>
      <c r="BK536">
        <f t="shared" si="466"/>
        <v>0</v>
      </c>
      <c r="BM536">
        <f t="shared" si="467"/>
        <v>-60.873135661691357</v>
      </c>
      <c r="BN536">
        <f t="shared" si="455"/>
        <v>-98.46228573549439</v>
      </c>
      <c r="BQ536" s="66">
        <f t="shared" si="468"/>
        <v>16.823139680544706</v>
      </c>
    </row>
    <row r="537" spans="1:69" x14ac:dyDescent="0.15">
      <c r="A537">
        <f t="shared" si="420"/>
        <v>1615000</v>
      </c>
      <c r="B537">
        <f t="shared" si="456"/>
        <v>1615</v>
      </c>
      <c r="C537">
        <f t="shared" si="425"/>
        <v>6.7714932037818514</v>
      </c>
      <c r="D537">
        <f t="shared" si="426"/>
        <v>1.4225762952644831</v>
      </c>
      <c r="F537">
        <f t="shared" si="427"/>
        <v>8.8754703841790214E-6</v>
      </c>
      <c r="G537">
        <f t="shared" si="428"/>
        <v>9.7581873137523169E-4</v>
      </c>
      <c r="H537">
        <f t="shared" si="429"/>
        <v>-3.1406168312686251</v>
      </c>
      <c r="J537">
        <f t="shared" si="430"/>
        <v>15</v>
      </c>
      <c r="M537">
        <f t="shared" si="431"/>
        <v>5.9010749994904189E-4</v>
      </c>
      <c r="N537">
        <f t="shared" si="432"/>
        <v>-1.5707963250000001</v>
      </c>
      <c r="O537">
        <f t="shared" si="433"/>
        <v>686.4685675210302</v>
      </c>
      <c r="P537">
        <f t="shared" si="434"/>
        <v>1.5693395953420801</v>
      </c>
      <c r="Q537">
        <f t="shared" si="435"/>
        <v>310.69299584720943</v>
      </c>
      <c r="R537">
        <f t="shared" si="436"/>
        <v>1.5675777098967021</v>
      </c>
      <c r="S537">
        <f t="shared" si="437"/>
        <v>0.15747313344406855</v>
      </c>
      <c r="T537">
        <f t="shared" si="438"/>
        <v>-1.4126649907924722</v>
      </c>
      <c r="U537">
        <f t="shared" si="439"/>
        <v>8.0826127905633594E-2</v>
      </c>
      <c r="V537">
        <f t="shared" si="440"/>
        <v>-1.4898819348285162</v>
      </c>
      <c r="X537">
        <f t="shared" si="457"/>
        <v>-56.807828368202692</v>
      </c>
      <c r="Y537">
        <f t="shared" si="441"/>
        <v>-175.00803824758842</v>
      </c>
      <c r="Z537">
        <f t="shared" si="458"/>
        <v>4.9919617524115836</v>
      </c>
      <c r="AC537">
        <v>1</v>
      </c>
      <c r="AD537">
        <f t="shared" si="442"/>
        <v>686.46783915517506</v>
      </c>
      <c r="AE537">
        <f t="shared" si="443"/>
        <v>-1.0448738230473953</v>
      </c>
      <c r="AF537">
        <f t="shared" si="444"/>
        <v>8.4730324566825013E-2</v>
      </c>
      <c r="AG537">
        <f t="shared" si="421"/>
        <v>51.977124536323359</v>
      </c>
      <c r="AH537">
        <f t="shared" si="422"/>
        <v>-652.77144998609447</v>
      </c>
      <c r="AJ537">
        <f t="shared" si="445"/>
        <v>20000</v>
      </c>
      <c r="AK537">
        <f t="shared" si="446"/>
        <v>125421.17504741999</v>
      </c>
      <c r="AL537">
        <v>1</v>
      </c>
      <c r="AM537">
        <f t="shared" si="447"/>
        <v>310.69138653737099</v>
      </c>
      <c r="AN537">
        <f t="shared" si="423"/>
        <v>403.88711461815302</v>
      </c>
      <c r="AO537">
        <f t="shared" si="424"/>
        <v>-63.072597872051922</v>
      </c>
      <c r="AQ537">
        <f t="shared" si="448"/>
        <v>9.5850617196501723E-4</v>
      </c>
      <c r="AR537">
        <f t="shared" si="449"/>
        <v>-3.0959749354470056</v>
      </c>
      <c r="AT537">
        <f t="shared" si="470"/>
        <v>-2020.9142273376781</v>
      </c>
      <c r="AU537">
        <f t="shared" si="471"/>
        <v>-161.54556024475892</v>
      </c>
      <c r="AV537">
        <f t="shared" si="459"/>
        <v>-3.0618253955629009</v>
      </c>
      <c r="AW537">
        <f t="shared" si="460"/>
        <v>255.68317148926027</v>
      </c>
      <c r="AX537">
        <f t="shared" si="461"/>
        <v>-2036.3965182403367</v>
      </c>
      <c r="AY537">
        <f t="shared" si="469"/>
        <v>-1.4458932611741009</v>
      </c>
      <c r="BA537">
        <f t="shared" si="450"/>
        <v>0.98780713881740989</v>
      </c>
      <c r="BB537">
        <f t="shared" si="462"/>
        <v>-0.10655679090780834</v>
      </c>
      <c r="BC537">
        <f t="shared" si="463"/>
        <v>-1.6159321343888</v>
      </c>
      <c r="BD537">
        <f t="shared" si="451"/>
        <v>-272.58609138584023</v>
      </c>
      <c r="BF537">
        <f t="shared" si="452"/>
        <v>-61.007215087895233</v>
      </c>
      <c r="BG537">
        <f t="shared" si="453"/>
        <v>-191.02256324375139</v>
      </c>
      <c r="BH537">
        <f t="shared" si="464"/>
        <v>-11.022563243751392</v>
      </c>
      <c r="BI537">
        <f t="shared" si="465"/>
        <v>-11.022563243751392</v>
      </c>
      <c r="BJ537">
        <f t="shared" si="454"/>
        <v>0</v>
      </c>
      <c r="BK537">
        <f t="shared" si="466"/>
        <v>0</v>
      </c>
      <c r="BM537">
        <f t="shared" si="467"/>
        <v>-60.90065829698743</v>
      </c>
      <c r="BN537">
        <f t="shared" si="455"/>
        <v>-98.436471857911158</v>
      </c>
      <c r="BQ537" s="66">
        <f t="shared" si="468"/>
        <v>16.795404009377329</v>
      </c>
    </row>
    <row r="538" spans="1:69" x14ac:dyDescent="0.15">
      <c r="A538">
        <f t="shared" ref="A538:A591" si="472">A537+5000</f>
        <v>1620000</v>
      </c>
      <c r="B538">
        <f t="shared" si="456"/>
        <v>1620</v>
      </c>
      <c r="C538">
        <f t="shared" si="425"/>
        <v>6.7920010620830613</v>
      </c>
      <c r="D538">
        <f t="shared" si="426"/>
        <v>1.4230271240420331</v>
      </c>
      <c r="F538">
        <f t="shared" si="427"/>
        <v>8.8207676130631756E-6</v>
      </c>
      <c r="G538">
        <f t="shared" si="428"/>
        <v>9.7280689298711415E-4</v>
      </c>
      <c r="H538">
        <f t="shared" si="429"/>
        <v>-3.1406198431070131</v>
      </c>
      <c r="J538">
        <f t="shared" si="430"/>
        <v>15</v>
      </c>
      <c r="M538">
        <f t="shared" si="431"/>
        <v>5.8828618050475474E-4</v>
      </c>
      <c r="N538">
        <f t="shared" si="432"/>
        <v>-1.5707963250000001</v>
      </c>
      <c r="O538">
        <f t="shared" si="433"/>
        <v>688.59385270071482</v>
      </c>
      <c r="P538">
        <f t="shared" si="434"/>
        <v>1.5693440914204797</v>
      </c>
      <c r="Q538">
        <f t="shared" si="435"/>
        <v>311.6548837178064</v>
      </c>
      <c r="R538">
        <f t="shared" si="436"/>
        <v>1.5675876438311842</v>
      </c>
      <c r="S538">
        <f t="shared" si="437"/>
        <v>0.15699910331278757</v>
      </c>
      <c r="T538">
        <f t="shared" si="438"/>
        <v>-1.4131449916411363</v>
      </c>
      <c r="U538">
        <f t="shared" si="439"/>
        <v>8.0578286769624891E-2</v>
      </c>
      <c r="V538">
        <f t="shared" si="440"/>
        <v>-1.4901305870045753</v>
      </c>
      <c r="X538">
        <f t="shared" si="457"/>
        <v>-56.861273788097989</v>
      </c>
      <c r="Y538">
        <f t="shared" si="441"/>
        <v>-175.02330219120702</v>
      </c>
      <c r="Z538">
        <f t="shared" si="458"/>
        <v>4.9766978087929772</v>
      </c>
      <c r="AC538">
        <v>1</v>
      </c>
      <c r="AD538">
        <f t="shared" si="442"/>
        <v>688.59312658290003</v>
      </c>
      <c r="AE538">
        <f t="shared" si="443"/>
        <v>-1.0513536451822922</v>
      </c>
      <c r="AF538">
        <f t="shared" si="444"/>
        <v>8.4992647553100015E-2</v>
      </c>
      <c r="AG538">
        <f t="shared" si="421"/>
        <v>51.658853218305886</v>
      </c>
      <c r="AH538">
        <f t="shared" si="422"/>
        <v>-650.78245271093976</v>
      </c>
      <c r="AJ538">
        <f t="shared" si="445"/>
        <v>20000</v>
      </c>
      <c r="AK538">
        <f t="shared" si="446"/>
        <v>125809.47589896001</v>
      </c>
      <c r="AL538">
        <v>1</v>
      </c>
      <c r="AM538">
        <f t="shared" si="447"/>
        <v>311.653279374948</v>
      </c>
      <c r="AN538">
        <f t="shared" si="423"/>
        <v>403.88586343382764</v>
      </c>
      <c r="AO538">
        <f t="shared" si="424"/>
        <v>-62.877933374768752</v>
      </c>
      <c r="AQ538">
        <f t="shared" si="448"/>
        <v>9.5259859847978605E-4</v>
      </c>
      <c r="AR538">
        <f t="shared" si="449"/>
        <v>-3.0864194590745067</v>
      </c>
      <c r="AT538">
        <f t="shared" si="470"/>
        <v>-2008.5384155201048</v>
      </c>
      <c r="AU538">
        <f t="shared" si="471"/>
        <v>-160.06082425882067</v>
      </c>
      <c r="AV538">
        <f t="shared" si="459"/>
        <v>-3.0620705072083805</v>
      </c>
      <c r="AW538">
        <f t="shared" si="460"/>
        <v>256.59719216398531</v>
      </c>
      <c r="AX538">
        <f t="shared" si="461"/>
        <v>-2030.1301057864912</v>
      </c>
      <c r="AY538">
        <f t="shared" si="469"/>
        <v>-1.4450685649922217</v>
      </c>
      <c r="BA538">
        <f t="shared" si="450"/>
        <v>0.98466676603296321</v>
      </c>
      <c r="BB538">
        <f t="shared" si="462"/>
        <v>-0.13421439834994772</v>
      </c>
      <c r="BC538">
        <f t="shared" si="463"/>
        <v>-1.6170019422161588</v>
      </c>
      <c r="BD538">
        <f t="shared" si="451"/>
        <v>-272.64738685930797</v>
      </c>
      <c r="BF538">
        <f t="shared" si="452"/>
        <v>-61.06230670323005</v>
      </c>
      <c r="BG538">
        <f t="shared" si="453"/>
        <v>-191.05820069658137</v>
      </c>
      <c r="BH538">
        <f t="shared" si="464"/>
        <v>-11.058200696581366</v>
      </c>
      <c r="BI538">
        <f t="shared" si="465"/>
        <v>-11.058200696581366</v>
      </c>
      <c r="BJ538">
        <f t="shared" si="454"/>
        <v>0</v>
      </c>
      <c r="BK538">
        <f t="shared" si="466"/>
        <v>0</v>
      </c>
      <c r="BM538">
        <f t="shared" si="467"/>
        <v>-60.928092304880096</v>
      </c>
      <c r="BN538">
        <f t="shared" si="455"/>
        <v>-98.410813837273395</v>
      </c>
      <c r="BQ538" s="66">
        <f t="shared" si="468"/>
        <v>16.767746401935188</v>
      </c>
    </row>
    <row r="539" spans="1:69" x14ac:dyDescent="0.15">
      <c r="A539">
        <f t="shared" si="472"/>
        <v>1625000</v>
      </c>
      <c r="B539">
        <f t="shared" si="456"/>
        <v>1625</v>
      </c>
      <c r="C539">
        <f t="shared" si="425"/>
        <v>6.8125102925239318</v>
      </c>
      <c r="D539">
        <f t="shared" si="426"/>
        <v>1.4234752384478719</v>
      </c>
      <c r="F539">
        <f t="shared" si="427"/>
        <v>8.7665690190414229E-6</v>
      </c>
      <c r="G539">
        <f t="shared" si="428"/>
        <v>9.6981358946852459E-4</v>
      </c>
      <c r="H539">
        <f t="shared" si="429"/>
        <v>-3.1406228364105315</v>
      </c>
      <c r="J539">
        <f t="shared" si="430"/>
        <v>15</v>
      </c>
      <c r="M539">
        <f t="shared" si="431"/>
        <v>5.8647606918012479E-4</v>
      </c>
      <c r="N539">
        <f t="shared" si="432"/>
        <v>-1.5707963250000001</v>
      </c>
      <c r="O539">
        <f t="shared" si="433"/>
        <v>690.71913789423354</v>
      </c>
      <c r="P539">
        <f t="shared" si="434"/>
        <v>1.5693485598307628</v>
      </c>
      <c r="Q539">
        <f t="shared" si="435"/>
        <v>312.61677161896915</v>
      </c>
      <c r="R539">
        <f t="shared" si="436"/>
        <v>1.5675975166343892</v>
      </c>
      <c r="S539">
        <f t="shared" si="437"/>
        <v>0.15652788275449817</v>
      </c>
      <c r="T539">
        <f t="shared" si="438"/>
        <v>-1.413622111228992</v>
      </c>
      <c r="U539">
        <f t="shared" si="439"/>
        <v>8.0331956000871743E-2</v>
      </c>
      <c r="V539">
        <f t="shared" si="440"/>
        <v>-1.4903777189182497</v>
      </c>
      <c r="X539">
        <f t="shared" si="457"/>
        <v>-56.914556036127223</v>
      </c>
      <c r="Y539">
        <f t="shared" si="441"/>
        <v>-175.03847349402693</v>
      </c>
      <c r="Z539">
        <f t="shared" si="458"/>
        <v>4.9615265059730689</v>
      </c>
      <c r="AC539">
        <v>1</v>
      </c>
      <c r="AD539">
        <f t="shared" si="442"/>
        <v>690.71841401062511</v>
      </c>
      <c r="AE539">
        <f t="shared" si="443"/>
        <v>-1.0578534976792755</v>
      </c>
      <c r="AF539">
        <f t="shared" si="444"/>
        <v>8.5254970539375016E-2</v>
      </c>
      <c r="AG539">
        <f t="shared" si="421"/>
        <v>51.343489988627738</v>
      </c>
      <c r="AH539">
        <f t="shared" si="422"/>
        <v>-648.80546104914777</v>
      </c>
      <c r="AJ539">
        <f t="shared" si="445"/>
        <v>20000</v>
      </c>
      <c r="AK539">
        <f t="shared" si="446"/>
        <v>126197.77675050001</v>
      </c>
      <c r="AL539">
        <v>1</v>
      </c>
      <c r="AM539">
        <f t="shared" si="447"/>
        <v>312.61517221252501</v>
      </c>
      <c r="AN539">
        <f t="shared" si="423"/>
        <v>403.88462378096091</v>
      </c>
      <c r="AO539">
        <f t="shared" si="424"/>
        <v>-62.684466775966399</v>
      </c>
      <c r="AQ539">
        <f t="shared" si="448"/>
        <v>9.4674547249747011E-4</v>
      </c>
      <c r="AR539">
        <f t="shared" si="449"/>
        <v>-3.0769227856167776</v>
      </c>
      <c r="AT539">
        <f t="shared" si="470"/>
        <v>-1996.2756973180326</v>
      </c>
      <c r="AU539">
        <f t="shared" si="471"/>
        <v>-158.59420787187548</v>
      </c>
      <c r="AV539">
        <f t="shared" si="459"/>
        <v>-3.0623141203792978</v>
      </c>
      <c r="AW539">
        <f t="shared" si="460"/>
        <v>257.5027662961009</v>
      </c>
      <c r="AX539">
        <f t="shared" si="461"/>
        <v>-2023.9020853013744</v>
      </c>
      <c r="AY539">
        <f t="shared" si="469"/>
        <v>-1.444245417415823</v>
      </c>
      <c r="BA539">
        <f t="shared" si="450"/>
        <v>0.98154514378875424</v>
      </c>
      <c r="BB539">
        <f t="shared" si="462"/>
        <v>-0.16179442566089597</v>
      </c>
      <c r="BC539">
        <f t="shared" si="463"/>
        <v>-1.6180687029634748</v>
      </c>
      <c r="BD539">
        <f t="shared" si="451"/>
        <v>-272.70850774794928</v>
      </c>
      <c r="BF539">
        <f t="shared" si="452"/>
        <v>-61.117232688993724</v>
      </c>
      <c r="BG539">
        <f t="shared" si="453"/>
        <v>-191.09381802465833</v>
      </c>
      <c r="BH539">
        <f t="shared" si="464"/>
        <v>-11.093818024658333</v>
      </c>
      <c r="BI539">
        <f t="shared" si="465"/>
        <v>-11.093818024658333</v>
      </c>
      <c r="BJ539">
        <f t="shared" si="454"/>
        <v>0</v>
      </c>
      <c r="BK539">
        <f t="shared" si="466"/>
        <v>0</v>
      </c>
      <c r="BM539">
        <f t="shared" si="467"/>
        <v>-60.95543826333283</v>
      </c>
      <c r="BN539">
        <f t="shared" si="455"/>
        <v>-98.385310276709077</v>
      </c>
      <c r="BQ539" s="66">
        <f t="shared" si="468"/>
        <v>16.740166374624241</v>
      </c>
    </row>
    <row r="540" spans="1:69" x14ac:dyDescent="0.15">
      <c r="A540">
        <f t="shared" si="472"/>
        <v>1630000</v>
      </c>
      <c r="B540">
        <f t="shared" si="456"/>
        <v>1630</v>
      </c>
      <c r="C540">
        <f t="shared" si="425"/>
        <v>6.8330208827490821</v>
      </c>
      <c r="D540">
        <f t="shared" si="426"/>
        <v>1.4239206627442997</v>
      </c>
      <c r="F540">
        <f t="shared" si="427"/>
        <v>8.7128684253029678E-6</v>
      </c>
      <c r="G540">
        <f t="shared" si="428"/>
        <v>9.6683865024732303E-4</v>
      </c>
      <c r="H540">
        <f t="shared" si="429"/>
        <v>-3.1406258113497527</v>
      </c>
      <c r="J540">
        <f t="shared" si="430"/>
        <v>15</v>
      </c>
      <c r="M540">
        <f t="shared" si="431"/>
        <v>5.8467706283294655E-4</v>
      </c>
      <c r="N540">
        <f t="shared" si="432"/>
        <v>-1.5707963250000001</v>
      </c>
      <c r="O540">
        <f t="shared" si="433"/>
        <v>692.84442310145903</v>
      </c>
      <c r="P540">
        <f t="shared" si="434"/>
        <v>1.5693530008275431</v>
      </c>
      <c r="Q540">
        <f t="shared" si="435"/>
        <v>313.57865955041638</v>
      </c>
      <c r="R540">
        <f t="shared" si="436"/>
        <v>1.5676073288688674</v>
      </c>
      <c r="S540">
        <f t="shared" si="437"/>
        <v>0.15605944718751555</v>
      </c>
      <c r="T540">
        <f t="shared" si="438"/>
        <v>-1.4140963752057809</v>
      </c>
      <c r="U540">
        <f t="shared" si="439"/>
        <v>8.0087121879704015E-2</v>
      </c>
      <c r="V540">
        <f t="shared" si="440"/>
        <v>-1.4906233444394887</v>
      </c>
      <c r="X540">
        <f t="shared" si="457"/>
        <v>-56.96767610120601</v>
      </c>
      <c r="Y540">
        <f t="shared" si="441"/>
        <v>-175.05355299318521</v>
      </c>
      <c r="Z540">
        <f t="shared" si="458"/>
        <v>4.9464470068147932</v>
      </c>
      <c r="AC540">
        <v>1</v>
      </c>
      <c r="AD540">
        <f t="shared" si="442"/>
        <v>692.84370143835008</v>
      </c>
      <c r="AE540">
        <f t="shared" si="443"/>
        <v>-1.0643733805383448</v>
      </c>
      <c r="AF540">
        <f t="shared" si="444"/>
        <v>8.5517293525650018E-2</v>
      </c>
      <c r="AG540">
        <f t="shared" si="421"/>
        <v>51.030999602371175</v>
      </c>
      <c r="AH540">
        <f t="shared" si="422"/>
        <v>-646.84036735137397</v>
      </c>
      <c r="AJ540">
        <f t="shared" si="445"/>
        <v>20000</v>
      </c>
      <c r="AK540">
        <f t="shared" si="446"/>
        <v>126586.07760204001</v>
      </c>
      <c r="AL540">
        <v>1</v>
      </c>
      <c r="AM540">
        <f t="shared" si="447"/>
        <v>313.57706505010202</v>
      </c>
      <c r="AN540">
        <f t="shared" si="423"/>
        <v>403.88339551828227</v>
      </c>
      <c r="AO540">
        <f t="shared" si="424"/>
        <v>-62.49218705248974</v>
      </c>
      <c r="AQ540">
        <f t="shared" si="448"/>
        <v>9.4094612697635143E-4</v>
      </c>
      <c r="AR540">
        <f t="shared" si="449"/>
        <v>-3.0674843739429059</v>
      </c>
      <c r="AT540">
        <f t="shared" si="470"/>
        <v>-1984.1247018643971</v>
      </c>
      <c r="AU540">
        <f t="shared" si="471"/>
        <v>-157.14543580539146</v>
      </c>
      <c r="AV540">
        <f t="shared" si="459"/>
        <v>-3.0625562487451021</v>
      </c>
      <c r="AW540">
        <f t="shared" si="460"/>
        <v>258.39999770408656</v>
      </c>
      <c r="AX540">
        <f t="shared" si="461"/>
        <v>-2017.7121055404782</v>
      </c>
      <c r="AY540">
        <f t="shared" si="469"/>
        <v>-1.4434238058051259</v>
      </c>
      <c r="BA540">
        <f t="shared" si="450"/>
        <v>0.97844210297665113</v>
      </c>
      <c r="BB540">
        <f t="shared" si="462"/>
        <v>-0.18929735212110596</v>
      </c>
      <c r="BC540">
        <f t="shared" si="463"/>
        <v>-1.6191324429399763</v>
      </c>
      <c r="BD540">
        <f t="shared" si="451"/>
        <v>-272.76945555917177</v>
      </c>
      <c r="BF540">
        <f t="shared" si="452"/>
        <v>-61.171994096729215</v>
      </c>
      <c r="BG540">
        <f t="shared" si="453"/>
        <v>-191.12941535503566</v>
      </c>
      <c r="BH540">
        <f t="shared" si="464"/>
        <v>-11.129415355035661</v>
      </c>
      <c r="BI540">
        <f t="shared" si="465"/>
        <v>-11.129415355035661</v>
      </c>
      <c r="BJ540">
        <f t="shared" si="454"/>
        <v>0</v>
      </c>
      <c r="BK540">
        <f t="shared" si="466"/>
        <v>0</v>
      </c>
      <c r="BM540">
        <f t="shared" si="467"/>
        <v>-60.982696744608106</v>
      </c>
      <c r="BN540">
        <f t="shared" si="455"/>
        <v>-98.359959795863887</v>
      </c>
      <c r="BQ540" s="66">
        <f t="shared" si="468"/>
        <v>16.712663448164029</v>
      </c>
    </row>
    <row r="541" spans="1:69" x14ac:dyDescent="0.15">
      <c r="A541">
        <f t="shared" si="472"/>
        <v>1635000</v>
      </c>
      <c r="B541">
        <f t="shared" si="456"/>
        <v>1635</v>
      </c>
      <c r="C541">
        <f t="shared" si="425"/>
        <v>6.8535328205502202</v>
      </c>
      <c r="D541">
        <f t="shared" si="426"/>
        <v>1.4243634209074556</v>
      </c>
      <c r="F541">
        <f t="shared" si="427"/>
        <v>8.6596597493406062E-6</v>
      </c>
      <c r="G541">
        <f t="shared" si="428"/>
        <v>9.6388190683796852E-4</v>
      </c>
      <c r="H541">
        <f t="shared" si="429"/>
        <v>-3.1406287680931624</v>
      </c>
      <c r="J541">
        <f t="shared" si="430"/>
        <v>15</v>
      </c>
      <c r="M541">
        <f t="shared" si="431"/>
        <v>5.828890595826929E-4</v>
      </c>
      <c r="N541">
        <f t="shared" si="432"/>
        <v>-1.5707963250000001</v>
      </c>
      <c r="O541">
        <f t="shared" si="433"/>
        <v>694.96970832226543</v>
      </c>
      <c r="P541">
        <f t="shared" si="434"/>
        <v>1.5693574146623201</v>
      </c>
      <c r="Q541">
        <f t="shared" si="435"/>
        <v>314.54054751187027</v>
      </c>
      <c r="R541">
        <f t="shared" si="436"/>
        <v>1.5676170810902874</v>
      </c>
      <c r="S541">
        <f t="shared" si="437"/>
        <v>0.155593772312177</v>
      </c>
      <c r="T541">
        <f t="shared" si="438"/>
        <v>-1.4145678089202658</v>
      </c>
      <c r="U541">
        <f t="shared" si="439"/>
        <v>7.9843770851571794E-2</v>
      </c>
      <c r="V541">
        <f t="shared" si="440"/>
        <v>-1.4908674772703949</v>
      </c>
      <c r="X541">
        <f t="shared" si="457"/>
        <v>-57.020634963325129</v>
      </c>
      <c r="Y541">
        <f t="shared" si="441"/>
        <v>-175.0685415158062</v>
      </c>
      <c r="Z541">
        <f t="shared" si="458"/>
        <v>4.9314584841937972</v>
      </c>
      <c r="AC541">
        <v>1</v>
      </c>
      <c r="AD541">
        <f t="shared" si="442"/>
        <v>694.96898886607516</v>
      </c>
      <c r="AE541">
        <f t="shared" si="443"/>
        <v>-1.0709132937595005</v>
      </c>
      <c r="AF541">
        <f t="shared" si="444"/>
        <v>8.5779616511925019E-2</v>
      </c>
      <c r="AG541">
        <f t="shared" si="421"/>
        <v>50.72134734579565</v>
      </c>
      <c r="AH541">
        <f t="shared" si="422"/>
        <v>-644.88706524253837</v>
      </c>
      <c r="AJ541">
        <f t="shared" si="445"/>
        <v>20000</v>
      </c>
      <c r="AK541">
        <f t="shared" si="446"/>
        <v>126974.37845357999</v>
      </c>
      <c r="AL541">
        <v>1</v>
      </c>
      <c r="AM541">
        <f t="shared" si="447"/>
        <v>314.53895788767898</v>
      </c>
      <c r="AN541">
        <f t="shared" si="423"/>
        <v>403.88217850667792</v>
      </c>
      <c r="AO541">
        <f t="shared" si="424"/>
        <v>-62.301083316016594</v>
      </c>
      <c r="AQ541">
        <f t="shared" si="448"/>
        <v>9.3519990505850563E-4</v>
      </c>
      <c r="AR541">
        <f t="shared" si="449"/>
        <v>-3.0581036895413134</v>
      </c>
      <c r="AT541">
        <f t="shared" si="470"/>
        <v>-1972.0840789564541</v>
      </c>
      <c r="AU541">
        <f t="shared" si="471"/>
        <v>-155.71423777887247</v>
      </c>
      <c r="AV541">
        <f t="shared" si="459"/>
        <v>-3.0627969058098476</v>
      </c>
      <c r="AW541">
        <f t="shared" si="460"/>
        <v>259.28898861528739</v>
      </c>
      <c r="AX541">
        <f t="shared" si="461"/>
        <v>-2011.5598195250664</v>
      </c>
      <c r="AY541">
        <f t="shared" si="469"/>
        <v>-1.4426037176802322</v>
      </c>
      <c r="BA541">
        <f t="shared" si="450"/>
        <v>0.97535747651107174</v>
      </c>
      <c r="BB541">
        <f t="shared" si="462"/>
        <v>-0.21672365274763744</v>
      </c>
      <c r="BC541">
        <f t="shared" si="463"/>
        <v>-1.6201931881296154</v>
      </c>
      <c r="BD541">
        <f t="shared" si="451"/>
        <v>-272.83023178174636</v>
      </c>
      <c r="BF541">
        <f t="shared" si="452"/>
        <v>-61.22659196809046</v>
      </c>
      <c r="BG541">
        <f t="shared" si="453"/>
        <v>-191.16499281240613</v>
      </c>
      <c r="BH541">
        <f t="shared" si="464"/>
        <v>-11.164992812406126</v>
      </c>
      <c r="BI541">
        <f t="shared" si="465"/>
        <v>-11.164992812406126</v>
      </c>
      <c r="BJ541">
        <f t="shared" si="454"/>
        <v>0</v>
      </c>
      <c r="BK541">
        <f t="shared" si="466"/>
        <v>0</v>
      </c>
      <c r="BM541">
        <f t="shared" si="467"/>
        <v>-61.009868315342821</v>
      </c>
      <c r="BN541">
        <f t="shared" si="455"/>
        <v>-98.334761030659791</v>
      </c>
      <c r="BQ541" s="66">
        <f t="shared" si="468"/>
        <v>16.685237147537499</v>
      </c>
    </row>
    <row r="542" spans="1:69" x14ac:dyDescent="0.15">
      <c r="A542">
        <f t="shared" si="472"/>
        <v>1640000</v>
      </c>
      <c r="B542">
        <f t="shared" si="456"/>
        <v>1640</v>
      </c>
      <c r="C542">
        <f t="shared" si="425"/>
        <v>6.8740460938639707</v>
      </c>
      <c r="D542">
        <f t="shared" si="426"/>
        <v>1.4248035366314942</v>
      </c>
      <c r="F542">
        <f t="shared" si="427"/>
        <v>8.6069370012282622E-6</v>
      </c>
      <c r="G542">
        <f t="shared" si="428"/>
        <v>9.6094319280970832E-4</v>
      </c>
      <c r="H542">
        <f t="shared" si="429"/>
        <v>-3.1406317068071905</v>
      </c>
      <c r="J542">
        <f t="shared" si="430"/>
        <v>15</v>
      </c>
      <c r="M542">
        <f t="shared" si="431"/>
        <v>5.8111195879128219E-4</v>
      </c>
      <c r="N542">
        <f t="shared" si="432"/>
        <v>-1.5707963250000001</v>
      </c>
      <c r="O542">
        <f t="shared" si="433"/>
        <v>697.09499355652872</v>
      </c>
      <c r="P542">
        <f t="shared" si="434"/>
        <v>1.5693618015835258</v>
      </c>
      <c r="Q542">
        <f t="shared" si="435"/>
        <v>315.50243550305646</v>
      </c>
      <c r="R542">
        <f t="shared" si="436"/>
        <v>1.567626773847542</v>
      </c>
      <c r="S542">
        <f t="shared" si="437"/>
        <v>0.15513083410686809</v>
      </c>
      <c r="T542">
        <f t="shared" si="438"/>
        <v>-1.4150364374245956</v>
      </c>
      <c r="U542">
        <f t="shared" si="439"/>
        <v>7.9601889524576905E-2</v>
      </c>
      <c r="V542">
        <f t="shared" si="440"/>
        <v>-1.4911101309477488</v>
      </c>
      <c r="X542">
        <f t="shared" si="457"/>
        <v>-57.073433593657114</v>
      </c>
      <c r="Y542">
        <f t="shared" si="441"/>
        <v>-175.08343987915018</v>
      </c>
      <c r="Z542">
        <f t="shared" si="458"/>
        <v>4.9165601208498231</v>
      </c>
      <c r="AC542">
        <v>1</v>
      </c>
      <c r="AD542">
        <f t="shared" si="442"/>
        <v>697.09427629380014</v>
      </c>
      <c r="AE542">
        <f t="shared" si="443"/>
        <v>-1.0774732373427425</v>
      </c>
      <c r="AF542">
        <f t="shared" si="444"/>
        <v>8.6041939498200021E-2</v>
      </c>
      <c r="AG542">
        <f t="shared" si="421"/>
        <v>50.414499026781137</v>
      </c>
      <c r="AH542">
        <f t="shared" si="422"/>
        <v>-642.94544960316352</v>
      </c>
      <c r="AJ542">
        <f t="shared" si="445"/>
        <v>20000</v>
      </c>
      <c r="AK542">
        <f t="shared" si="446"/>
        <v>127362.67930511999</v>
      </c>
      <c r="AL542">
        <v>1</v>
      </c>
      <c r="AM542">
        <f t="shared" si="447"/>
        <v>315.50085072525599</v>
      </c>
      <c r="AN542">
        <f t="shared" si="423"/>
        <v>403.88097260915112</v>
      </c>
      <c r="AO542">
        <f t="shared" si="424"/>
        <v>-62.111144811002468</v>
      </c>
      <c r="AQ542">
        <f t="shared" si="448"/>
        <v>9.2950615988379682E-4</v>
      </c>
      <c r="AR542">
        <f t="shared" si="449"/>
        <v>-3.0487802044188537</v>
      </c>
      <c r="AT542">
        <f t="shared" si="470"/>
        <v>-1960.152498683912</v>
      </c>
      <c r="AU542">
        <f t="shared" si="471"/>
        <v>-154.30034840441928</v>
      </c>
      <c r="AV542">
        <f t="shared" si="459"/>
        <v>-3.0630361049146817</v>
      </c>
      <c r="AW542">
        <f t="shared" si="460"/>
        <v>260.16983969510403</v>
      </c>
      <c r="AX542">
        <f t="shared" si="461"/>
        <v>-2005.4448844776985</v>
      </c>
      <c r="AY542">
        <f t="shared" si="469"/>
        <v>-1.4417851407186564</v>
      </c>
      <c r="BA542">
        <f t="shared" si="450"/>
        <v>0.97229109929900415</v>
      </c>
      <c r="BB542">
        <f t="shared" si="462"/>
        <v>-0.24407379834362192</v>
      </c>
      <c r="BC542">
        <f t="shared" si="463"/>
        <v>-1.6212509641960253</v>
      </c>
      <c r="BD542">
        <f t="shared" si="451"/>
        <v>-272.89083788609082</v>
      </c>
      <c r="BF542">
        <f t="shared" si="452"/>
        <v>-61.281027334965863</v>
      </c>
      <c r="BG542">
        <f t="shared" si="453"/>
        <v>-191.20055051914827</v>
      </c>
      <c r="BH542">
        <f t="shared" si="464"/>
        <v>-11.200550519148265</v>
      </c>
      <c r="BI542">
        <f t="shared" si="465"/>
        <v>-11.200550519148265</v>
      </c>
      <c r="BJ542">
        <f t="shared" si="454"/>
        <v>0</v>
      </c>
      <c r="BK542">
        <f t="shared" si="466"/>
        <v>0</v>
      </c>
      <c r="BM542">
        <f t="shared" si="467"/>
        <v>-61.036953536622242</v>
      </c>
      <c r="BN542">
        <f t="shared" si="455"/>
        <v>-98.309712633057416</v>
      </c>
      <c r="BQ542" s="66">
        <f t="shared" si="468"/>
        <v>16.657887001941518</v>
      </c>
    </row>
    <row r="543" spans="1:69" x14ac:dyDescent="0.15">
      <c r="A543">
        <f t="shared" si="472"/>
        <v>1645000</v>
      </c>
      <c r="B543">
        <f t="shared" si="456"/>
        <v>1645</v>
      </c>
      <c r="C543">
        <f t="shared" si="425"/>
        <v>6.8945606907697474</v>
      </c>
      <c r="D543">
        <f t="shared" si="426"/>
        <v>1.4252410333326868</v>
      </c>
      <c r="F543">
        <f t="shared" si="427"/>
        <v>8.5546942819351162E-6</v>
      </c>
      <c r="G543">
        <f t="shared" si="428"/>
        <v>9.5802234375534992E-4</v>
      </c>
      <c r="H543">
        <f t="shared" si="429"/>
        <v>-3.1406346276562447</v>
      </c>
      <c r="J543">
        <f t="shared" si="430"/>
        <v>15</v>
      </c>
      <c r="M543">
        <f t="shared" si="431"/>
        <v>5.7934566104419626E-4</v>
      </c>
      <c r="N543">
        <f t="shared" si="432"/>
        <v>-1.5707963250000001</v>
      </c>
      <c r="O543">
        <f t="shared" si="433"/>
        <v>699.22027880412622</v>
      </c>
      <c r="P543">
        <f t="shared" si="434"/>
        <v>1.5693661618365724</v>
      </c>
      <c r="Q543">
        <f t="shared" si="435"/>
        <v>316.46432352370374</v>
      </c>
      <c r="R543">
        <f t="shared" si="436"/>
        <v>1.5676364076828502</v>
      </c>
      <c r="S543">
        <f t="shared" si="437"/>
        <v>0.15467060882411521</v>
      </c>
      <c r="T543">
        <f t="shared" si="438"/>
        <v>-1.4155022854785924</v>
      </c>
      <c r="U543">
        <f t="shared" si="439"/>
        <v>7.9361464667048603E-2</v>
      </c>
      <c r="V543">
        <f t="shared" si="440"/>
        <v>-1.4913513188454892</v>
      </c>
      <c r="X543">
        <f t="shared" si="457"/>
        <v>-57.126072954661318</v>
      </c>
      <c r="Y543">
        <f t="shared" si="441"/>
        <v>-175.09824889075895</v>
      </c>
      <c r="Z543">
        <f t="shared" si="458"/>
        <v>4.9017511092410473</v>
      </c>
      <c r="AC543">
        <v>1</v>
      </c>
      <c r="AD543">
        <f t="shared" si="442"/>
        <v>699.21956372152511</v>
      </c>
      <c r="AE543">
        <f t="shared" si="443"/>
        <v>-1.0840532112880708</v>
      </c>
      <c r="AF543">
        <f t="shared" si="444"/>
        <v>8.6304262484475008E-2</v>
      </c>
      <c r="AG543">
        <f t="shared" si="421"/>
        <v>50.110420965471</v>
      </c>
      <c r="AH543">
        <f t="shared" si="422"/>
        <v>-641.01541655103836</v>
      </c>
      <c r="AJ543">
        <f t="shared" si="445"/>
        <v>20000</v>
      </c>
      <c r="AK543">
        <f t="shared" si="446"/>
        <v>127750.98015666001</v>
      </c>
      <c r="AL543">
        <v>1</v>
      </c>
      <c r="AM543">
        <f t="shared" si="447"/>
        <v>316.462743562833</v>
      </c>
      <c r="AN543">
        <f t="shared" si="423"/>
        <v>403.87977769078429</v>
      </c>
      <c r="AO543">
        <f t="shared" si="424"/>
        <v>-61.922360912662846</v>
      </c>
      <c r="AQ543">
        <f t="shared" si="448"/>
        <v>9.2386425440782569E-4</v>
      </c>
      <c r="AR543">
        <f t="shared" si="449"/>
        <v>-3.0395133970017465</v>
      </c>
      <c r="AT543">
        <f t="shared" si="470"/>
        <v>-1948.3286510648329</v>
      </c>
      <c r="AU543">
        <f t="shared" si="471"/>
        <v>-152.90350708382215</v>
      </c>
      <c r="AV543">
        <f t="shared" si="459"/>
        <v>-3.0632738592402893</v>
      </c>
      <c r="AW543">
        <f t="shared" si="460"/>
        <v>261.04265007555978</v>
      </c>
      <c r="AX543">
        <f t="shared" si="461"/>
        <v>-1999.3669617589189</v>
      </c>
      <c r="AY543">
        <f t="shared" si="469"/>
        <v>-1.4409680627529005</v>
      </c>
      <c r="BA543">
        <f t="shared" si="450"/>
        <v>0.96924280821055209</v>
      </c>
      <c r="BB543">
        <f t="shared" si="462"/>
        <v>-0.27134825554705411</v>
      </c>
      <c r="BC543">
        <f t="shared" si="463"/>
        <v>-1.6223057964873888</v>
      </c>
      <c r="BD543">
        <f t="shared" si="451"/>
        <v>-272.95127532454916</v>
      </c>
      <c r="BF543">
        <f t="shared" si="452"/>
        <v>-61.335301219599955</v>
      </c>
      <c r="BG543">
        <f t="shared" si="453"/>
        <v>-191.23608859537228</v>
      </c>
      <c r="BH543">
        <f t="shared" si="464"/>
        <v>-11.23608859537228</v>
      </c>
      <c r="BI543">
        <f t="shared" si="465"/>
        <v>-11.23608859537228</v>
      </c>
      <c r="BJ543">
        <f t="shared" si="454"/>
        <v>0</v>
      </c>
      <c r="BK543">
        <f t="shared" si="466"/>
        <v>0</v>
      </c>
      <c r="BM543">
        <f t="shared" si="467"/>
        <v>-61.063952964052895</v>
      </c>
      <c r="BN543">
        <f t="shared" si="455"/>
        <v>-98.284813270823122</v>
      </c>
      <c r="BQ543" s="66">
        <f t="shared" si="468"/>
        <v>16.630612544738081</v>
      </c>
    </row>
    <row r="544" spans="1:69" x14ac:dyDescent="0.15">
      <c r="A544">
        <f t="shared" si="472"/>
        <v>1650000</v>
      </c>
      <c r="B544">
        <f t="shared" si="456"/>
        <v>1650</v>
      </c>
      <c r="C544">
        <f t="shared" si="425"/>
        <v>6.9150765994876577</v>
      </c>
      <c r="D544">
        <f t="shared" si="426"/>
        <v>1.4256759341534526</v>
      </c>
      <c r="F544">
        <f t="shared" si="427"/>
        <v>8.5029257816754408E-6</v>
      </c>
      <c r="G544">
        <f t="shared" si="428"/>
        <v>9.5511919726059809E-4</v>
      </c>
      <c r="H544">
        <f t="shared" si="429"/>
        <v>-3.1406375308027394</v>
      </c>
      <c r="J544">
        <f t="shared" si="430"/>
        <v>15</v>
      </c>
      <c r="M544">
        <f t="shared" si="431"/>
        <v>5.7759006813194107E-4</v>
      </c>
      <c r="N544">
        <f t="shared" si="432"/>
        <v>-1.5707963250000001</v>
      </c>
      <c r="O544">
        <f t="shared" si="433"/>
        <v>701.34556406493641</v>
      </c>
      <c r="P544">
        <f t="shared" si="434"/>
        <v>1.5693704956638967</v>
      </c>
      <c r="Q544">
        <f t="shared" si="435"/>
        <v>317.42621157354432</v>
      </c>
      <c r="R544">
        <f t="shared" si="436"/>
        <v>1.567645983131859</v>
      </c>
      <c r="S544">
        <f t="shared" si="437"/>
        <v>0.15421307298674217</v>
      </c>
      <c r="T544">
        <f t="shared" si="438"/>
        <v>-1.4159653775539667</v>
      </c>
      <c r="U544">
        <f t="shared" si="439"/>
        <v>7.9122483205162339E-2</v>
      </c>
      <c r="V544">
        <f t="shared" si="440"/>
        <v>-1.4915910541771504</v>
      </c>
      <c r="X544">
        <f t="shared" si="457"/>
        <v>-57.178554000187432</v>
      </c>
      <c r="Y544">
        <f t="shared" si="441"/>
        <v>-175.11296934859985</v>
      </c>
      <c r="Z544">
        <f t="shared" si="458"/>
        <v>4.8870306514001527</v>
      </c>
      <c r="AC544">
        <v>1</v>
      </c>
      <c r="AD544">
        <f t="shared" si="442"/>
        <v>701.34485114925008</v>
      </c>
      <c r="AE544">
        <f t="shared" si="443"/>
        <v>-1.0906532155954851</v>
      </c>
      <c r="AF544">
        <f t="shared" si="444"/>
        <v>8.656658547075001E-2</v>
      </c>
      <c r="AG544">
        <f t="shared" si="421"/>
        <v>49.809079985109626</v>
      </c>
      <c r="AH544">
        <f t="shared" si="422"/>
        <v>-639.0968634231981</v>
      </c>
      <c r="AJ544">
        <f t="shared" si="445"/>
        <v>20000</v>
      </c>
      <c r="AK544">
        <f t="shared" si="446"/>
        <v>128139.28100820001</v>
      </c>
      <c r="AL544">
        <v>1</v>
      </c>
      <c r="AM544">
        <f t="shared" si="447"/>
        <v>317.42463640040995</v>
      </c>
      <c r="AN544">
        <f t="shared" si="423"/>
        <v>403.87859361870068</v>
      </c>
      <c r="AO544">
        <f t="shared" si="424"/>
        <v>-61.734721124992021</v>
      </c>
      <c r="AQ544">
        <f t="shared" si="448"/>
        <v>9.1827356122373171E-4</v>
      </c>
      <c r="AR544">
        <f t="shared" si="449"/>
        <v>-3.0303027520383146</v>
      </c>
      <c r="AT544">
        <f t="shared" si="470"/>
        <v>-1936.6112456891128</v>
      </c>
      <c r="AU544">
        <f t="shared" si="471"/>
        <v>-151.52345790811677</v>
      </c>
      <c r="AV544">
        <f t="shared" si="459"/>
        <v>-3.063510181809292</v>
      </c>
      <c r="AW544">
        <f t="shared" si="460"/>
        <v>261.90751738325997</v>
      </c>
      <c r="AX544">
        <f t="shared" si="461"/>
        <v>-1993.3257168050841</v>
      </c>
      <c r="AY544">
        <f t="shared" si="469"/>
        <v>-1.4401524717680747</v>
      </c>
      <c r="BA544">
        <f t="shared" si="450"/>
        <v>0.96621244205000156</v>
      </c>
      <c r="BB544">
        <f t="shared" si="462"/>
        <v>-0.29854748687886101</v>
      </c>
      <c r="BC544">
        <f t="shared" si="463"/>
        <v>-1.6233577100412173</v>
      </c>
      <c r="BD544">
        <f t="shared" si="451"/>
        <v>-273.01154553166498</v>
      </c>
      <c r="BF544">
        <f t="shared" si="452"/>
        <v>-61.389414634713077</v>
      </c>
      <c r="BG544">
        <f t="shared" si="453"/>
        <v>-191.27160715896466</v>
      </c>
      <c r="BH544">
        <f t="shared" si="464"/>
        <v>-11.271607158964656</v>
      </c>
      <c r="BI544">
        <f t="shared" si="465"/>
        <v>-11.271607158964656</v>
      </c>
      <c r="BJ544">
        <f t="shared" si="454"/>
        <v>0</v>
      </c>
      <c r="BK544">
        <f t="shared" si="466"/>
        <v>0</v>
      </c>
      <c r="BM544">
        <f t="shared" si="467"/>
        <v>-61.090867147834217</v>
      </c>
      <c r="BN544">
        <f t="shared" si="455"/>
        <v>-98.260061627299649</v>
      </c>
      <c r="BQ544" s="66">
        <f t="shared" si="468"/>
        <v>16.603413313406278</v>
      </c>
    </row>
    <row r="545" spans="1:69" x14ac:dyDescent="0.15">
      <c r="A545">
        <f t="shared" si="472"/>
        <v>1655000</v>
      </c>
      <c r="B545">
        <f t="shared" si="456"/>
        <v>1655</v>
      </c>
      <c r="C545">
        <f t="shared" si="425"/>
        <v>6.9355938083764412</v>
      </c>
      <c r="D545">
        <f t="shared" si="426"/>
        <v>1.4261082619663212</v>
      </c>
      <c r="F545">
        <f t="shared" si="427"/>
        <v>8.4516257782932816E-6</v>
      </c>
      <c r="G545">
        <f t="shared" si="428"/>
        <v>9.5223359287395103E-4</v>
      </c>
      <c r="H545">
        <f t="shared" si="429"/>
        <v>-3.1406404164071264</v>
      </c>
      <c r="J545">
        <f t="shared" si="430"/>
        <v>15</v>
      </c>
      <c r="M545">
        <f t="shared" si="431"/>
        <v>5.758450830318446E-4</v>
      </c>
      <c r="N545">
        <f t="shared" si="432"/>
        <v>-1.5707963250000001</v>
      </c>
      <c r="O545">
        <f t="shared" si="433"/>
        <v>703.47084933883968</v>
      </c>
      <c r="P545">
        <f t="shared" si="434"/>
        <v>1.5693748033050063</v>
      </c>
      <c r="Q545">
        <f t="shared" si="435"/>
        <v>318.38809965231366</v>
      </c>
      <c r="R545">
        <f t="shared" si="436"/>
        <v>1.5676555007237423</v>
      </c>
      <c r="S545">
        <f t="shared" si="437"/>
        <v>0.15375820338409102</v>
      </c>
      <c r="T545">
        <f t="shared" si="438"/>
        <v>-1.4164257378384597</v>
      </c>
      <c r="U545">
        <f t="shared" si="439"/>
        <v>7.8884932220600557E-2</v>
      </c>
      <c r="V545">
        <f t="shared" si="440"/>
        <v>-1.491829349998254</v>
      </c>
      <c r="X545">
        <f t="shared" si="457"/>
        <v>-57.230877675577439</v>
      </c>
      <c r="Y545">
        <f t="shared" si="441"/>
        <v>-175.12760204120627</v>
      </c>
      <c r="Z545">
        <f t="shared" si="458"/>
        <v>4.8723979587937265</v>
      </c>
      <c r="AC545">
        <v>1</v>
      </c>
      <c r="AD545">
        <f t="shared" si="442"/>
        <v>703.47013857697505</v>
      </c>
      <c r="AE545">
        <f t="shared" si="443"/>
        <v>-1.0972732502649856</v>
      </c>
      <c r="AF545">
        <f t="shared" si="444"/>
        <v>8.6828908457025011E-2</v>
      </c>
      <c r="AG545">
        <f t="shared" si="421"/>
        <v>49.510443403070219</v>
      </c>
      <c r="AH545">
        <f t="shared" si="422"/>
        <v>-637.1896887582169</v>
      </c>
      <c r="AJ545">
        <f t="shared" si="445"/>
        <v>20000</v>
      </c>
      <c r="AK545">
        <f t="shared" si="446"/>
        <v>128527.58185974001</v>
      </c>
      <c r="AL545">
        <v>1</v>
      </c>
      <c r="AM545">
        <f t="shared" si="447"/>
        <v>318.38652923798696</v>
      </c>
      <c r="AN545">
        <f t="shared" si="423"/>
        <v>403.87742026202773</v>
      </c>
      <c r="AO545">
        <f t="shared" si="424"/>
        <v>-61.548215078817918</v>
      </c>
      <c r="AQ545">
        <f t="shared" si="448"/>
        <v>9.1273346238776002E-4</v>
      </c>
      <c r="AR545">
        <f t="shared" si="449"/>
        <v>-3.0211477605034855</v>
      </c>
      <c r="AT545">
        <f t="shared" si="470"/>
        <v>-1924.9990113693682</v>
      </c>
      <c r="AU545">
        <f t="shared" si="471"/>
        <v>-150.15994955953823</v>
      </c>
      <c r="AV545">
        <f t="shared" si="459"/>
        <v>-3.0637450854886072</v>
      </c>
      <c r="AW545">
        <f t="shared" si="460"/>
        <v>262.76453776675726</v>
      </c>
      <c r="AX545">
        <f t="shared" si="461"/>
        <v>-1987.3208190673063</v>
      </c>
      <c r="AY545">
        <f t="shared" si="469"/>
        <v>-1.4393383558995614</v>
      </c>
      <c r="BA545">
        <f t="shared" si="450"/>
        <v>0.96319984152739302</v>
      </c>
      <c r="BB545">
        <f t="shared" si="462"/>
        <v>-0.32567195079030414</v>
      </c>
      <c r="BC545">
        <f t="shared" si="463"/>
        <v>-1.6244067295890459</v>
      </c>
      <c r="BD545">
        <f t="shared" si="451"/>
        <v>-273.07164992445098</v>
      </c>
      <c r="BF545">
        <f t="shared" si="452"/>
        <v>-61.443368583619282</v>
      </c>
      <c r="BG545">
        <f t="shared" si="453"/>
        <v>-191.30710632563171</v>
      </c>
      <c r="BH545">
        <f t="shared" si="464"/>
        <v>-11.307106325631707</v>
      </c>
      <c r="BI545">
        <f t="shared" si="465"/>
        <v>-11.307106325631707</v>
      </c>
      <c r="BJ545">
        <f t="shared" si="454"/>
        <v>0</v>
      </c>
      <c r="BK545">
        <f t="shared" si="466"/>
        <v>0</v>
      </c>
      <c r="BM545">
        <f t="shared" si="467"/>
        <v>-61.117696632828981</v>
      </c>
      <c r="BN545">
        <f t="shared" si="455"/>
        <v>-98.23545640118077</v>
      </c>
      <c r="BQ545" s="66">
        <f t="shared" si="468"/>
        <v>16.576288849494833</v>
      </c>
    </row>
    <row r="546" spans="1:69" x14ac:dyDescent="0.15">
      <c r="A546">
        <f t="shared" si="472"/>
        <v>1660000</v>
      </c>
      <c r="B546">
        <f t="shared" si="456"/>
        <v>1660</v>
      </c>
      <c r="C546">
        <f t="shared" si="425"/>
        <v>6.9561123059314474</v>
      </c>
      <c r="D546">
        <f t="shared" si="426"/>
        <v>1.426538039377826</v>
      </c>
      <c r="F546">
        <f t="shared" si="427"/>
        <v>8.4007886356811505E-6</v>
      </c>
      <c r="G546">
        <f t="shared" si="428"/>
        <v>9.4936537207713655E-4</v>
      </c>
      <c r="H546">
        <f t="shared" si="429"/>
        <v>-3.1406432846279229</v>
      </c>
      <c r="J546">
        <f t="shared" si="430"/>
        <v>15</v>
      </c>
      <c r="M546">
        <f t="shared" si="431"/>
        <v>5.7411060989018237E-4</v>
      </c>
      <c r="N546">
        <f t="shared" si="432"/>
        <v>-1.5707963250000001</v>
      </c>
      <c r="O546">
        <f t="shared" si="433"/>
        <v>705.59613462571781</v>
      </c>
      <c r="P546">
        <f t="shared" si="434"/>
        <v>1.569379084996523</v>
      </c>
      <c r="Q546">
        <f t="shared" si="435"/>
        <v>319.34998775975021</v>
      </c>
      <c r="R546">
        <f t="shared" si="436"/>
        <v>1.5676649609812985</v>
      </c>
      <c r="S546">
        <f t="shared" si="437"/>
        <v>0.15330597706830426</v>
      </c>
      <c r="T546">
        <f t="shared" si="438"/>
        <v>-1.4168833902399167</v>
      </c>
      <c r="U546">
        <f t="shared" si="439"/>
        <v>7.8648798948255008E-2</v>
      </c>
      <c r="V546">
        <f t="shared" si="440"/>
        <v>-1.4920662192086587</v>
      </c>
      <c r="X546">
        <f t="shared" si="457"/>
        <v>-57.283044917766127</v>
      </c>
      <c r="Y546">
        <f t="shared" si="441"/>
        <v>-175.1421477478161</v>
      </c>
      <c r="Z546">
        <f t="shared" si="458"/>
        <v>4.8578522521839034</v>
      </c>
      <c r="AC546">
        <v>1</v>
      </c>
      <c r="AD546">
        <f t="shared" si="442"/>
        <v>705.59542600470013</v>
      </c>
      <c r="AE546">
        <f t="shared" si="443"/>
        <v>-1.1039133152965726</v>
      </c>
      <c r="AF546">
        <f t="shared" si="444"/>
        <v>8.7091231443300013E-2</v>
      </c>
      <c r="AG546">
        <f t="shared" si="421"/>
        <v>49.214479022068417</v>
      </c>
      <c r="AH546">
        <f t="shared" si="422"/>
        <v>-635.29379227880497</v>
      </c>
      <c r="AJ546">
        <f t="shared" si="445"/>
        <v>20000</v>
      </c>
      <c r="AK546">
        <f t="shared" si="446"/>
        <v>128915.88271128001</v>
      </c>
      <c r="AL546">
        <v>1</v>
      </c>
      <c r="AM546">
        <f t="shared" si="447"/>
        <v>319.34842207556403</v>
      </c>
      <c r="AN546">
        <f t="shared" si="423"/>
        <v>403.87625749186066</v>
      </c>
      <c r="AO546">
        <f t="shared" si="424"/>
        <v>-61.362832529892124</v>
      </c>
      <c r="AQ546">
        <f t="shared" si="448"/>
        <v>9.0724334924849857E-4</v>
      </c>
      <c r="AR546">
        <f t="shared" si="449"/>
        <v>-3.0120479195050152</v>
      </c>
      <c r="AT546">
        <f t="shared" si="470"/>
        <v>-1913.4906957990463</v>
      </c>
      <c r="AU546">
        <f t="shared" si="471"/>
        <v>-148.8127352158082</v>
      </c>
      <c r="AV546">
        <f t="shared" si="459"/>
        <v>-3.0639785829917607</v>
      </c>
      <c r="AW546">
        <f t="shared" si="460"/>
        <v>263.61380592333876</v>
      </c>
      <c r="AX546">
        <f t="shared" si="461"/>
        <v>-1981.3519419514903</v>
      </c>
      <c r="AY546">
        <f t="shared" si="469"/>
        <v>-1.4385257034307217</v>
      </c>
      <c r="BA546">
        <f t="shared" si="450"/>
        <v>0.96020484923059035</v>
      </c>
      <c r="BB546">
        <f t="shared" si="462"/>
        <v>-0.35272210170971258</v>
      </c>
      <c r="BC546">
        <f t="shared" si="463"/>
        <v>-1.625452879561039</v>
      </c>
      <c r="BD546">
        <f t="shared" si="451"/>
        <v>-273.13158990265242</v>
      </c>
      <c r="BF546">
        <f t="shared" si="452"/>
        <v>-61.497164060342364</v>
      </c>
      <c r="BG546">
        <f t="shared" si="453"/>
        <v>-191.34258620894227</v>
      </c>
      <c r="BH546">
        <f t="shared" si="464"/>
        <v>-11.342586208942265</v>
      </c>
      <c r="BI546">
        <f t="shared" si="465"/>
        <v>-11.342586208942265</v>
      </c>
      <c r="BJ546">
        <f t="shared" si="454"/>
        <v>0</v>
      </c>
      <c r="BK546">
        <f t="shared" si="466"/>
        <v>0</v>
      </c>
      <c r="BM546">
        <f t="shared" si="467"/>
        <v>-61.144441958632648</v>
      </c>
      <c r="BN546">
        <f t="shared" si="455"/>
        <v>-98.210996306289886</v>
      </c>
      <c r="BQ546" s="66">
        <f t="shared" si="468"/>
        <v>16.549238698575422</v>
      </c>
    </row>
    <row r="547" spans="1:69" x14ac:dyDescent="0.15">
      <c r="A547">
        <f t="shared" si="472"/>
        <v>1665000</v>
      </c>
      <c r="B547">
        <f t="shared" si="456"/>
        <v>1665</v>
      </c>
      <c r="C547">
        <f t="shared" si="425"/>
        <v>6.9766320807826512</v>
      </c>
      <c r="D547">
        <f t="shared" si="426"/>
        <v>1.4269652887323314</v>
      </c>
      <c r="F547">
        <f t="shared" si="427"/>
        <v>8.350408802231905E-6</v>
      </c>
      <c r="G547">
        <f t="shared" si="428"/>
        <v>9.4651437825608506E-4</v>
      </c>
      <c r="H547">
        <f t="shared" si="429"/>
        <v>-3.1406461356217443</v>
      </c>
      <c r="J547">
        <f t="shared" si="430"/>
        <v>15</v>
      </c>
      <c r="M547">
        <f t="shared" si="431"/>
        <v>5.7238655400462628E-4</v>
      </c>
      <c r="N547">
        <f t="shared" si="432"/>
        <v>-1.5707963250000001</v>
      </c>
      <c r="O547">
        <f t="shared" si="433"/>
        <v>707.72141992545403</v>
      </c>
      <c r="P547">
        <f t="shared" si="434"/>
        <v>1.5693833409722262</v>
      </c>
      <c r="Q547">
        <f t="shared" si="435"/>
        <v>320.31187589559585</v>
      </c>
      <c r="R547">
        <f t="shared" si="436"/>
        <v>1.5676743644210467</v>
      </c>
      <c r="S547">
        <f t="shared" si="437"/>
        <v>0.15285637135066879</v>
      </c>
      <c r="T547">
        <f t="shared" si="438"/>
        <v>-1.4173383583902879</v>
      </c>
      <c r="U547">
        <f t="shared" si="439"/>
        <v>7.8414070773969419E-2</v>
      </c>
      <c r="V547">
        <f t="shared" si="440"/>
        <v>-1.492301674554869</v>
      </c>
      <c r="X547">
        <f t="shared" si="457"/>
        <v>-57.335056655380029</v>
      </c>
      <c r="Y547">
        <f t="shared" si="441"/>
        <v>-175.15660723850795</v>
      </c>
      <c r="Z547">
        <f t="shared" si="458"/>
        <v>4.8433927614920549</v>
      </c>
      <c r="AC547">
        <v>1</v>
      </c>
      <c r="AD547">
        <f t="shared" si="442"/>
        <v>707.7207134324251</v>
      </c>
      <c r="AE547">
        <f t="shared" si="443"/>
        <v>-1.1105734106902456</v>
      </c>
      <c r="AF547">
        <f t="shared" si="444"/>
        <v>8.7353554429575E-2</v>
      </c>
      <c r="AG547">
        <f t="shared" si="421"/>
        <v>48.921155121557291</v>
      </c>
      <c r="AH547">
        <f t="shared" si="422"/>
        <v>-633.4090748747069</v>
      </c>
      <c r="AJ547">
        <f t="shared" si="445"/>
        <v>20000</v>
      </c>
      <c r="AK547">
        <f t="shared" si="446"/>
        <v>129304.18356281999</v>
      </c>
      <c r="AL547">
        <v>1</v>
      </c>
      <c r="AM547">
        <f t="shared" si="447"/>
        <v>320.31031491314099</v>
      </c>
      <c r="AN547">
        <f t="shared" si="423"/>
        <v>403.87510518122775</v>
      </c>
      <c r="AO547">
        <f t="shared" si="424"/>
        <v>-61.178563357014212</v>
      </c>
      <c r="AQ547">
        <f t="shared" si="448"/>
        <v>9.0180262227970113E-4</v>
      </c>
      <c r="AR547">
        <f t="shared" si="449"/>
        <v>-3.0030027321914048</v>
      </c>
      <c r="AT547">
        <f t="shared" si="470"/>
        <v>-1902.0850652176014</v>
      </c>
      <c r="AU547">
        <f t="shared" si="471"/>
        <v>-147.48157245669384</v>
      </c>
      <c r="AV547">
        <f t="shared" si="459"/>
        <v>-3.0642106868811627</v>
      </c>
      <c r="AW547">
        <f t="shared" si="460"/>
        <v>264.45541512524858</v>
      </c>
      <c r="AX547">
        <f t="shared" si="461"/>
        <v>-1975.4187627594424</v>
      </c>
      <c r="AY547">
        <f t="shared" si="469"/>
        <v>-1.4377145027906433</v>
      </c>
      <c r="BA547">
        <f t="shared" si="450"/>
        <v>0.95722730959783875</v>
      </c>
      <c r="BB547">
        <f t="shared" si="462"/>
        <v>-0.37969839008853989</v>
      </c>
      <c r="BC547">
        <f t="shared" si="463"/>
        <v>-1.6264961840905194</v>
      </c>
      <c r="BD547">
        <f t="shared" si="451"/>
        <v>-273.19136684900684</v>
      </c>
      <c r="BF547">
        <f t="shared" si="452"/>
        <v>-61.550802049730095</v>
      </c>
      <c r="BG547">
        <f t="shared" si="453"/>
        <v>-191.37804692036943</v>
      </c>
      <c r="BH547">
        <f t="shared" si="464"/>
        <v>-11.378046920369428</v>
      </c>
      <c r="BI547">
        <f t="shared" si="465"/>
        <v>-11.378046920369428</v>
      </c>
      <c r="BJ547">
        <f t="shared" si="454"/>
        <v>0</v>
      </c>
      <c r="BK547">
        <f t="shared" si="466"/>
        <v>0</v>
      </c>
      <c r="BM547">
        <f t="shared" si="467"/>
        <v>-61.171103659641552</v>
      </c>
      <c r="BN547">
        <f t="shared" si="455"/>
        <v>-98.18668007136263</v>
      </c>
      <c r="BQ547" s="66">
        <f t="shared" si="468"/>
        <v>16.522262410196596</v>
      </c>
    </row>
    <row r="548" spans="1:69" x14ac:dyDescent="0.15">
      <c r="A548">
        <f t="shared" si="472"/>
        <v>1670000</v>
      </c>
      <c r="B548">
        <f t="shared" si="456"/>
        <v>1670</v>
      </c>
      <c r="C548">
        <f t="shared" si="425"/>
        <v>6.9971531216926977</v>
      </c>
      <c r="D548">
        <f t="shared" si="426"/>
        <v>1.4273900321157948</v>
      </c>
      <c r="F548">
        <f t="shared" si="427"/>
        <v>8.3004808093230217E-6</v>
      </c>
      <c r="G548">
        <f t="shared" si="428"/>
        <v>9.4368045667242082E-4</v>
      </c>
      <c r="H548">
        <f t="shared" si="429"/>
        <v>-3.140648969543328</v>
      </c>
      <c r="J548">
        <f t="shared" si="430"/>
        <v>15</v>
      </c>
      <c r="M548">
        <f t="shared" si="431"/>
        <v>5.7067282180700769E-4</v>
      </c>
      <c r="N548">
        <f t="shared" si="432"/>
        <v>-1.5707963250000001</v>
      </c>
      <c r="O548">
        <f t="shared" si="433"/>
        <v>709.8467052379325</v>
      </c>
      <c r="P548">
        <f t="shared" si="434"/>
        <v>1.5693875714630956</v>
      </c>
      <c r="Q548">
        <f t="shared" si="435"/>
        <v>321.27376405959535</v>
      </c>
      <c r="R548">
        <f t="shared" si="436"/>
        <v>1.5676837115533195</v>
      </c>
      <c r="S548">
        <f t="shared" si="437"/>
        <v>0.15240936379801945</v>
      </c>
      <c r="T548">
        <f t="shared" si="438"/>
        <v>-1.4177906656495647</v>
      </c>
      <c r="U548">
        <f t="shared" si="439"/>
        <v>7.8180735232321955E-2</v>
      </c>
      <c r="V548">
        <f t="shared" si="440"/>
        <v>-1.4925357286323024</v>
      </c>
      <c r="X548">
        <f t="shared" si="457"/>
        <v>-57.386913808835061</v>
      </c>
      <c r="Y548">
        <f t="shared" si="441"/>
        <v>-175.17098127433462</v>
      </c>
      <c r="Z548">
        <f t="shared" si="458"/>
        <v>4.829018725665378</v>
      </c>
      <c r="AC548">
        <v>1</v>
      </c>
      <c r="AD548">
        <f t="shared" si="442"/>
        <v>709.84600086015007</v>
      </c>
      <c r="AE548">
        <f t="shared" si="443"/>
        <v>-1.117253536446005</v>
      </c>
      <c r="AF548">
        <f t="shared" si="444"/>
        <v>8.7615877415850002E-2</v>
      </c>
      <c r="AG548">
        <f t="shared" si="421"/>
        <v>48.6304404492993</v>
      </c>
      <c r="AH548">
        <f t="shared" si="422"/>
        <v>-631.53543858589092</v>
      </c>
      <c r="AJ548">
        <f t="shared" si="445"/>
        <v>20000</v>
      </c>
      <c r="AK548">
        <f t="shared" si="446"/>
        <v>129692.48441436002</v>
      </c>
      <c r="AL548">
        <v>1</v>
      </c>
      <c r="AM548">
        <f t="shared" si="447"/>
        <v>321.272207750718</v>
      </c>
      <c r="AN548">
        <f t="shared" si="423"/>
        <v>403.87396320505485</v>
      </c>
      <c r="AO548">
        <f t="shared" si="424"/>
        <v>-60.995397560189836</v>
      </c>
      <c r="AQ548">
        <f t="shared" si="448"/>
        <v>8.9641069091660772E-4</v>
      </c>
      <c r="AR548">
        <f t="shared" si="449"/>
        <v>-2.9940117076614698</v>
      </c>
      <c r="AT548">
        <f t="shared" si="470"/>
        <v>-1890.7809040825559</v>
      </c>
      <c r="AU548">
        <f t="shared" si="471"/>
        <v>-146.16622317277714</v>
      </c>
      <c r="AV548">
        <f t="shared" si="459"/>
        <v>-3.0644414095703416</v>
      </c>
      <c r="AW548">
        <f t="shared" si="460"/>
        <v>265.28945724535703</v>
      </c>
      <c r="AX548">
        <f t="shared" si="461"/>
        <v>-1969.5209626310225</v>
      </c>
      <c r="AY548">
        <f t="shared" si="469"/>
        <v>-1.4369047425519303</v>
      </c>
      <c r="BA548">
        <f t="shared" si="450"/>
        <v>0.95426706889079871</v>
      </c>
      <c r="BB548">
        <f t="shared" si="462"/>
        <v>-0.40660126244678219</v>
      </c>
      <c r="BC548">
        <f t="shared" si="463"/>
        <v>-1.6275366670184113</v>
      </c>
      <c r="BD548">
        <f t="shared" si="451"/>
        <v>-273.25098212949854</v>
      </c>
      <c r="BF548">
        <f t="shared" si="452"/>
        <v>-61.604283527566757</v>
      </c>
      <c r="BG548">
        <f t="shared" si="453"/>
        <v>-191.41348856933121</v>
      </c>
      <c r="BH548">
        <f t="shared" si="464"/>
        <v>-11.413488569331207</v>
      </c>
      <c r="BI548">
        <f t="shared" si="465"/>
        <v>-11.413488569331207</v>
      </c>
      <c r="BJ548">
        <f t="shared" si="454"/>
        <v>0</v>
      </c>
      <c r="BK548">
        <f t="shared" si="466"/>
        <v>0</v>
      </c>
      <c r="BM548">
        <f t="shared" si="467"/>
        <v>-61.19768226511998</v>
      </c>
      <c r="BN548">
        <f t="shared" si="455"/>
        <v>-98.162506439832654</v>
      </c>
      <c r="BQ548" s="66">
        <f t="shared" si="468"/>
        <v>16.495359537838354</v>
      </c>
    </row>
    <row r="549" spans="1:69" x14ac:dyDescent="0.15">
      <c r="A549">
        <f t="shared" si="472"/>
        <v>1675000</v>
      </c>
      <c r="B549">
        <f t="shared" si="456"/>
        <v>1675</v>
      </c>
      <c r="C549">
        <f t="shared" si="425"/>
        <v>7.017675417554984</v>
      </c>
      <c r="D549">
        <f t="shared" si="426"/>
        <v>1.427812291359464</v>
      </c>
      <c r="F549">
        <f t="shared" si="427"/>
        <v>8.2509992698325064E-6</v>
      </c>
      <c r="G549">
        <f t="shared" si="428"/>
        <v>9.4086345443546626E-4</v>
      </c>
      <c r="H549">
        <f t="shared" si="429"/>
        <v>-3.1406517865455648</v>
      </c>
      <c r="J549">
        <f t="shared" si="430"/>
        <v>15</v>
      </c>
      <c r="M549">
        <f t="shared" si="431"/>
        <v>5.6896932084638972E-4</v>
      </c>
      <c r="N549">
        <f t="shared" si="432"/>
        <v>-1.5707963250000001</v>
      </c>
      <c r="O549">
        <f t="shared" si="433"/>
        <v>711.9719905630393</v>
      </c>
      <c r="P549">
        <f t="shared" si="434"/>
        <v>1.5693917766973531</v>
      </c>
      <c r="Q549">
        <f t="shared" si="435"/>
        <v>322.23565225149662</v>
      </c>
      <c r="R549">
        <f t="shared" si="436"/>
        <v>1.5676930028823566</v>
      </c>
      <c r="S549">
        <f t="shared" si="437"/>
        <v>0.15196493222920143</v>
      </c>
      <c r="T549">
        <f t="shared" si="438"/>
        <v>-1.418240335109648</v>
      </c>
      <c r="U549">
        <f t="shared" si="439"/>
        <v>7.7948780004446425E-2</v>
      </c>
      <c r="V549">
        <f t="shared" si="440"/>
        <v>-1.4927683938875169</v>
      </c>
      <c r="X549">
        <f t="shared" si="457"/>
        <v>-57.438617290432603</v>
      </c>
      <c r="Y549">
        <f t="shared" si="441"/>
        <v>-175.18527060745447</v>
      </c>
      <c r="Z549">
        <f t="shared" si="458"/>
        <v>4.8147293925455301</v>
      </c>
      <c r="AC549">
        <v>1</v>
      </c>
      <c r="AD549">
        <f t="shared" si="442"/>
        <v>711.97128828787515</v>
      </c>
      <c r="AE549">
        <f t="shared" si="443"/>
        <v>-1.1239536925638505</v>
      </c>
      <c r="AF549">
        <f t="shared" si="444"/>
        <v>8.7878200402125003E-2</v>
      </c>
      <c r="AG549">
        <f t="shared" si="421"/>
        <v>48.342304213111277</v>
      </c>
      <c r="AH549">
        <f t="shared" si="422"/>
        <v>-629.67278658602731</v>
      </c>
      <c r="AJ549">
        <f t="shared" si="445"/>
        <v>20000</v>
      </c>
      <c r="AK549">
        <f t="shared" si="446"/>
        <v>130080.78526590001</v>
      </c>
      <c r="AL549">
        <v>1</v>
      </c>
      <c r="AM549">
        <f t="shared" si="447"/>
        <v>322.23410058829501</v>
      </c>
      <c r="AN549">
        <f t="shared" si="423"/>
        <v>403.87283144013145</v>
      </c>
      <c r="AO549">
        <f t="shared" si="424"/>
        <v>-60.813325258821756</v>
      </c>
      <c r="AQ549">
        <f t="shared" si="448"/>
        <v>8.9106697339568072E-4</v>
      </c>
      <c r="AR549">
        <f t="shared" si="449"/>
        <v>-2.9850743608755304</v>
      </c>
      <c r="AT549">
        <f t="shared" si="470"/>
        <v>-1879.5770147482976</v>
      </c>
      <c r="AU549">
        <f t="shared" si="471"/>
        <v>-144.86645347637642</v>
      </c>
      <c r="AV549">
        <f t="shared" si="459"/>
        <v>-3.064670763326137</v>
      </c>
      <c r="AW549">
        <f t="shared" si="460"/>
        <v>266.11602278229395</v>
      </c>
      <c r="AX549">
        <f t="shared" si="461"/>
        <v>-1963.6582264873277</v>
      </c>
      <c r="AY549">
        <f t="shared" si="469"/>
        <v>-1.4360964114285319</v>
      </c>
      <c r="BA549">
        <f t="shared" si="450"/>
        <v>0.9513239751680469</v>
      </c>
      <c r="BB549">
        <f t="shared" si="462"/>
        <v>-0.43343116141776328</v>
      </c>
      <c r="BC549">
        <f t="shared" si="463"/>
        <v>-1.628574351897605</v>
      </c>
      <c r="BD549">
        <f t="shared" si="451"/>
        <v>-273.31043709360881</v>
      </c>
      <c r="BF549">
        <f t="shared" si="452"/>
        <v>-61.657609460683943</v>
      </c>
      <c r="BG549">
        <f t="shared" si="453"/>
        <v>-191.44891126323043</v>
      </c>
      <c r="BH549">
        <f t="shared" si="464"/>
        <v>-11.448911263230428</v>
      </c>
      <c r="BI549">
        <f t="shared" si="465"/>
        <v>-11.448911263230428</v>
      </c>
      <c r="BJ549">
        <f t="shared" si="454"/>
        <v>0</v>
      </c>
      <c r="BK549">
        <f t="shared" si="466"/>
        <v>0</v>
      </c>
      <c r="BM549">
        <f t="shared" si="467"/>
        <v>-61.224178299266178</v>
      </c>
      <c r="BN549">
        <f t="shared" si="455"/>
        <v>-98.138474169621603</v>
      </c>
      <c r="BQ549" s="66">
        <f t="shared" si="468"/>
        <v>16.468529638867373</v>
      </c>
    </row>
    <row r="550" spans="1:69" x14ac:dyDescent="0.15">
      <c r="A550">
        <f t="shared" si="472"/>
        <v>1680000</v>
      </c>
      <c r="B550">
        <f t="shared" si="456"/>
        <v>1680</v>
      </c>
      <c r="C550">
        <f t="shared" si="425"/>
        <v>7.0381989573917734</v>
      </c>
      <c r="D550">
        <f t="shared" si="426"/>
        <v>1.4282320880435118</v>
      </c>
      <c r="F550">
        <f t="shared" si="427"/>
        <v>8.2019588766856654E-6</v>
      </c>
      <c r="G550">
        <f t="shared" si="428"/>
        <v>9.3806322047474387E-4</v>
      </c>
      <c r="H550">
        <f t="shared" si="429"/>
        <v>-3.1406545867795255</v>
      </c>
      <c r="J550">
        <f t="shared" si="430"/>
        <v>15</v>
      </c>
      <c r="M550">
        <f t="shared" si="431"/>
        <v>5.6727595977244208E-4</v>
      </c>
      <c r="N550">
        <f t="shared" si="432"/>
        <v>-1.5707963250000001</v>
      </c>
      <c r="O550">
        <f t="shared" si="433"/>
        <v>714.09727590066166</v>
      </c>
      <c r="P550">
        <f t="shared" si="434"/>
        <v>1.5693959569005036</v>
      </c>
      <c r="Q550">
        <f t="shared" si="435"/>
        <v>323.19754047105056</v>
      </c>
      <c r="R550">
        <f t="shared" si="436"/>
        <v>1.5677022389063946</v>
      </c>
      <c r="S550">
        <f t="shared" si="437"/>
        <v>0.15152305471159055</v>
      </c>
      <c r="T550">
        <f t="shared" si="438"/>
        <v>-1.4186873895981504</v>
      </c>
      <c r="U550">
        <f t="shared" si="439"/>
        <v>7.7718192915891549E-2</v>
      </c>
      <c r="V550">
        <f t="shared" si="440"/>
        <v>-1.4929996826203991</v>
      </c>
      <c r="X550">
        <f t="shared" si="457"/>
        <v>-57.490168004454233</v>
      </c>
      <c r="Y550">
        <f t="shared" si="441"/>
        <v>-175.19947598126055</v>
      </c>
      <c r="Z550">
        <f t="shared" si="458"/>
        <v>4.800524018739452</v>
      </c>
      <c r="AC550">
        <v>1</v>
      </c>
      <c r="AD550">
        <f t="shared" si="442"/>
        <v>714.09657571560001</v>
      </c>
      <c r="AE550">
        <f t="shared" si="443"/>
        <v>-1.1306738790437822</v>
      </c>
      <c r="AF550">
        <f t="shared" si="444"/>
        <v>8.8140523388400005E-2</v>
      </c>
      <c r="AG550">
        <f t="shared" si="421"/>
        <v>48.056716072778265</v>
      </c>
      <c r="AH550">
        <f t="shared" si="422"/>
        <v>-627.82102316624776</v>
      </c>
      <c r="AJ550">
        <f t="shared" si="445"/>
        <v>20000</v>
      </c>
      <c r="AK550">
        <f t="shared" si="446"/>
        <v>130469.08611744001</v>
      </c>
      <c r="AL550">
        <v>1</v>
      </c>
      <c r="AM550">
        <f t="shared" si="447"/>
        <v>323.19599342587196</v>
      </c>
      <c r="AN550">
        <f t="shared" si="423"/>
        <v>403.87170976507838</v>
      </c>
      <c r="AO550">
        <f t="shared" si="424"/>
        <v>-60.63233668993324</v>
      </c>
      <c r="AQ550">
        <f t="shared" si="448"/>
        <v>8.8577089659767428E-4</v>
      </c>
      <c r="AR550">
        <f t="shared" si="449"/>
        <v>-2.9761902125681856</v>
      </c>
      <c r="AT550">
        <f t="shared" si="470"/>
        <v>-1868.4722171514475</v>
      </c>
      <c r="AU550">
        <f t="shared" si="471"/>
        <v>-143.58203361456373</v>
      </c>
      <c r="AV550">
        <f t="shared" si="459"/>
        <v>-3.0648987602708568</v>
      </c>
      <c r="AW550">
        <f t="shared" si="460"/>
        <v>266.93520088505551</v>
      </c>
      <c r="AX550">
        <f t="shared" si="461"/>
        <v>-1957.8302429748785</v>
      </c>
      <c r="AY550">
        <f t="shared" si="469"/>
        <v>-1.4352894982736106</v>
      </c>
      <c r="BA550">
        <f t="shared" si="450"/>
        <v>0.94839787825903621</v>
      </c>
      <c r="BB550">
        <f t="shared" si="462"/>
        <v>-0.4601885257922852</v>
      </c>
      <c r="BC550">
        <f t="shared" si="463"/>
        <v>-1.6296092619972462</v>
      </c>
      <c r="BD550">
        <f t="shared" si="451"/>
        <v>-273.36973307456151</v>
      </c>
      <c r="BF550">
        <f t="shared" si="452"/>
        <v>-61.710780807069582</v>
      </c>
      <c r="BG550">
        <f t="shared" si="453"/>
        <v>-191.48431510749387</v>
      </c>
      <c r="BH550">
        <f t="shared" si="464"/>
        <v>-11.48431510749387</v>
      </c>
      <c r="BI550">
        <f t="shared" si="465"/>
        <v>-11.48431510749387</v>
      </c>
      <c r="BJ550">
        <f t="shared" si="454"/>
        <v>0</v>
      </c>
      <c r="BK550">
        <f t="shared" si="466"/>
        <v>0</v>
      </c>
      <c r="BM550">
        <f t="shared" si="467"/>
        <v>-61.250592281277292</v>
      </c>
      <c r="BN550">
        <f t="shared" si="455"/>
        <v>-98.11458203293239</v>
      </c>
      <c r="BQ550" s="66">
        <f t="shared" si="468"/>
        <v>16.441772274492852</v>
      </c>
    </row>
    <row r="551" spans="1:69" x14ac:dyDescent="0.15">
      <c r="A551">
        <f t="shared" si="472"/>
        <v>1685000</v>
      </c>
      <c r="B551">
        <f t="shared" si="456"/>
        <v>1685</v>
      </c>
      <c r="C551">
        <f t="shared" si="425"/>
        <v>7.0587237303523382</v>
      </c>
      <c r="D551">
        <f t="shared" si="426"/>
        <v>1.4286494435006096</v>
      </c>
      <c r="F551">
        <f t="shared" si="427"/>
        <v>8.1533544014320307E-6</v>
      </c>
      <c r="G551">
        <f t="shared" si="428"/>
        <v>9.3527960551297029E-4</v>
      </c>
      <c r="H551">
        <f t="shared" si="429"/>
        <v>-3.1406573703944871</v>
      </c>
      <c r="J551">
        <f t="shared" si="430"/>
        <v>15</v>
      </c>
      <c r="M551">
        <f t="shared" si="431"/>
        <v>5.6559264831911146E-4</v>
      </c>
      <c r="N551">
        <f t="shared" si="432"/>
        <v>-1.5707963250000001</v>
      </c>
      <c r="O551">
        <f t="shared" si="433"/>
        <v>716.22256125068827</v>
      </c>
      <c r="P551">
        <f t="shared" si="434"/>
        <v>1.5694001122953751</v>
      </c>
      <c r="Q551">
        <f t="shared" si="435"/>
        <v>324.15942871801082</v>
      </c>
      <c r="R551">
        <f t="shared" si="436"/>
        <v>1.5677114201177569</v>
      </c>
      <c r="S551">
        <f t="shared" si="437"/>
        <v>0.15108370955766975</v>
      </c>
      <c r="T551">
        <f t="shared" si="438"/>
        <v>-1.4191318516821361</v>
      </c>
      <c r="U551">
        <f t="shared" si="439"/>
        <v>7.7488961934517653E-2</v>
      </c>
      <c r="V551">
        <f t="shared" si="440"/>
        <v>-1.4932296069863129</v>
      </c>
      <c r="X551">
        <f t="shared" si="457"/>
        <v>-57.541566847255112</v>
      </c>
      <c r="Y551">
        <f t="shared" si="441"/>
        <v>-175.21359813050714</v>
      </c>
      <c r="Z551">
        <f t="shared" si="458"/>
        <v>4.7864018694928632</v>
      </c>
      <c r="AC551">
        <v>1</v>
      </c>
      <c r="AD551">
        <f t="shared" si="442"/>
        <v>716.22186314332509</v>
      </c>
      <c r="AE551">
        <f t="shared" si="443"/>
        <v>-1.1374140958858003</v>
      </c>
      <c r="AF551">
        <f t="shared" si="444"/>
        <v>8.8402846374675007E-2</v>
      </c>
      <c r="AG551">
        <f t="shared" si="421"/>
        <v>47.773646132132505</v>
      </c>
      <c r="AH551">
        <f t="shared" si="422"/>
        <v>-625.98005371918202</v>
      </c>
      <c r="AJ551">
        <f t="shared" si="445"/>
        <v>20000</v>
      </c>
      <c r="AK551">
        <f t="shared" si="446"/>
        <v>130857.38696898</v>
      </c>
      <c r="AL551">
        <v>1</v>
      </c>
      <c r="AM551">
        <f t="shared" si="447"/>
        <v>324.15788626344897</v>
      </c>
      <c r="AN551">
        <f t="shared" si="423"/>
        <v>403.87059806031408</v>
      </c>
      <c r="AO551">
        <f t="shared" si="424"/>
        <v>-60.452422206423066</v>
      </c>
      <c r="AQ551">
        <f t="shared" si="448"/>
        <v>8.8052189589395906E-4</v>
      </c>
      <c r="AR551">
        <f t="shared" si="449"/>
        <v>-2.9673587891626423</v>
      </c>
      <c r="AT551">
        <f t="shared" si="470"/>
        <v>-1857.4653485026518</v>
      </c>
      <c r="AU551">
        <f t="shared" si="471"/>
        <v>-142.31273788422189</v>
      </c>
      <c r="AV551">
        <f t="shared" si="459"/>
        <v>-3.0651254123843956</v>
      </c>
      <c r="AW551">
        <f t="shared" si="460"/>
        <v>267.7470793770982</v>
      </c>
      <c r="AX551">
        <f t="shared" si="461"/>
        <v>-1952.0367044107882</v>
      </c>
      <c r="AY551">
        <f t="shared" si="469"/>
        <v>-1.434483992077449</v>
      </c>
      <c r="BA551">
        <f t="shared" si="450"/>
        <v>0.94548862973850556</v>
      </c>
      <c r="BB551">
        <f t="shared" si="462"/>
        <v>-0.48687379056215441</v>
      </c>
      <c r="BC551">
        <f t="shared" si="463"/>
        <v>-1.6306414203069466</v>
      </c>
      <c r="BD551">
        <f t="shared" si="451"/>
        <v>-273.42887138956428</v>
      </c>
      <c r="BF551">
        <f t="shared" si="452"/>
        <v>-61.763798515975459</v>
      </c>
      <c r="BG551">
        <f t="shared" si="453"/>
        <v>-191.51970020561015</v>
      </c>
      <c r="BH551">
        <f t="shared" si="464"/>
        <v>-11.51970020561015</v>
      </c>
      <c r="BI551">
        <f t="shared" si="465"/>
        <v>-11.51970020561015</v>
      </c>
      <c r="BJ551">
        <f t="shared" si="454"/>
        <v>0</v>
      </c>
      <c r="BK551">
        <f t="shared" si="466"/>
        <v>0</v>
      </c>
      <c r="BM551">
        <f t="shared" si="467"/>
        <v>-61.276924725413302</v>
      </c>
      <c r="BN551">
        <f t="shared" si="455"/>
        <v>-98.090828816045871</v>
      </c>
      <c r="BQ551" s="66">
        <f t="shared" si="468"/>
        <v>16.415087009722981</v>
      </c>
    </row>
    <row r="552" spans="1:69" x14ac:dyDescent="0.15">
      <c r="A552">
        <f t="shared" si="472"/>
        <v>1690000</v>
      </c>
      <c r="B552">
        <f t="shared" si="456"/>
        <v>1690</v>
      </c>
      <c r="C552">
        <f t="shared" si="425"/>
        <v>7.0792497257111409</v>
      </c>
      <c r="D552">
        <f t="shared" si="426"/>
        <v>1.4290643788194408</v>
      </c>
      <c r="F552">
        <f t="shared" si="427"/>
        <v>8.1051806928516956E-6</v>
      </c>
      <c r="G552">
        <f t="shared" si="428"/>
        <v>9.3251246203952733E-4</v>
      </c>
      <c r="H552">
        <f t="shared" si="429"/>
        <v>-3.1406601375379606</v>
      </c>
      <c r="J552">
        <f t="shared" si="430"/>
        <v>15</v>
      </c>
      <c r="M552">
        <f t="shared" si="431"/>
        <v>5.6391929728858152E-4</v>
      </c>
      <c r="N552">
        <f t="shared" si="432"/>
        <v>-1.5707963250000001</v>
      </c>
      <c r="O552">
        <f t="shared" si="433"/>
        <v>718.34784661300887</v>
      </c>
      <c r="P552">
        <f t="shared" si="434"/>
        <v>1.5694042431021593</v>
      </c>
      <c r="Q552">
        <f t="shared" si="435"/>
        <v>325.12131699213444</v>
      </c>
      <c r="R552">
        <f t="shared" si="436"/>
        <v>1.5677205470029403</v>
      </c>
      <c r="S552">
        <f t="shared" si="437"/>
        <v>0.15064687532166168</v>
      </c>
      <c r="T552">
        <f t="shared" si="438"/>
        <v>-1.4195737436717968</v>
      </c>
      <c r="U552">
        <f t="shared" si="439"/>
        <v>7.7261075168429699E-2</v>
      </c>
      <c r="V552">
        <f t="shared" si="440"/>
        <v>-1.493458178998214</v>
      </c>
      <c r="X552">
        <f t="shared" si="457"/>
        <v>-57.592814707355984</v>
      </c>
      <c r="Y552">
        <f t="shared" si="441"/>
        <v>-175.22763778143468</v>
      </c>
      <c r="Z552">
        <f t="shared" si="458"/>
        <v>4.7723622185653198</v>
      </c>
      <c r="AC552">
        <v>1</v>
      </c>
      <c r="AD552">
        <f t="shared" si="442"/>
        <v>718.34715057105007</v>
      </c>
      <c r="AE552">
        <f t="shared" si="443"/>
        <v>-1.1441743430899045</v>
      </c>
      <c r="AF552">
        <f t="shared" si="444"/>
        <v>8.8665169360950008E-2</v>
      </c>
      <c r="AG552">
        <f t="shared" ref="AG552:AG615" si="473">AC552*AE552/(AE552^2+AF552^2)+AD552*AF552/(AE552^2+AF552^2)</f>
        <v>47.493064931293333</v>
      </c>
      <c r="AH552">
        <f t="shared" ref="AH552:AH615" si="474">AD552*AE552/(AE552^2+AF552^2)-AC552*AF552/(AE552^2+AF552^2)</f>
        <v>-624.14978472326447</v>
      </c>
      <c r="AJ552">
        <f t="shared" si="445"/>
        <v>20000</v>
      </c>
      <c r="AK552">
        <f t="shared" si="446"/>
        <v>131245.68782051999</v>
      </c>
      <c r="AL552">
        <v>1</v>
      </c>
      <c r="AM552">
        <f t="shared" si="447"/>
        <v>325.11977910102598</v>
      </c>
      <c r="AN552">
        <f t="shared" ref="AN552:AN615" si="475">AJ552*AL552/(AL552^2+AM552^2)+AK552*AM552/(AL552^2+AM552^2)</f>
        <v>403.8694962080238</v>
      </c>
      <c r="AO552">
        <f t="shared" ref="AO552:AO615" si="476">AK552*AL552/(AL552^2+AM552^2)-AJ552*AM552/(AL552^2+AM552^2)</f>
        <v>-60.273572275351405</v>
      </c>
      <c r="AQ552">
        <f t="shared" si="448"/>
        <v>8.7531941499602469E-4</v>
      </c>
      <c r="AR552">
        <f t="shared" si="449"/>
        <v>-2.9585796226865635</v>
      </c>
      <c r="AT552">
        <f t="shared" si="470"/>
        <v>-1846.5552629846436</v>
      </c>
      <c r="AU552">
        <f t="shared" si="471"/>
        <v>-141.05834454908816</v>
      </c>
      <c r="AV552">
        <f t="shared" si="459"/>
        <v>-3.0653507315063142</v>
      </c>
      <c r="AW552">
        <f t="shared" si="460"/>
        <v>268.55174477993324</v>
      </c>
      <c r="AX552">
        <f t="shared" si="461"/>
        <v>-1946.2773067289015</v>
      </c>
      <c r="AY552">
        <f t="shared" si="469"/>
        <v>-1.4336798819653929</v>
      </c>
      <c r="BA552">
        <f t="shared" si="450"/>
        <v>0.94259608290132724</v>
      </c>
      <c r="BB552">
        <f t="shared" si="462"/>
        <v>-0.51348738696312413</v>
      </c>
      <c r="BC552">
        <f t="shared" si="463"/>
        <v>-1.6316708495409213</v>
      </c>
      <c r="BD552">
        <f t="shared" si="451"/>
        <v>-273.48785334004577</v>
      </c>
      <c r="BF552">
        <f t="shared" si="452"/>
        <v>-61.816663528022971</v>
      </c>
      <c r="BG552">
        <f t="shared" si="453"/>
        <v>-191.55506665916707</v>
      </c>
      <c r="BH552">
        <f t="shared" si="464"/>
        <v>-11.555066659167068</v>
      </c>
      <c r="BI552">
        <f t="shared" si="465"/>
        <v>-11.555066659167068</v>
      </c>
      <c r="BJ552">
        <f t="shared" si="454"/>
        <v>0</v>
      </c>
      <c r="BK552">
        <f t="shared" si="466"/>
        <v>0</v>
      </c>
      <c r="BM552">
        <f t="shared" si="467"/>
        <v>-61.303176141059851</v>
      </c>
      <c r="BN552">
        <f t="shared" si="455"/>
        <v>-98.067213319121294</v>
      </c>
      <c r="BQ552" s="66">
        <f t="shared" si="468"/>
        <v>16.388473413322011</v>
      </c>
    </row>
    <row r="553" spans="1:69" x14ac:dyDescent="0.15">
      <c r="A553">
        <f t="shared" si="472"/>
        <v>1695000</v>
      </c>
      <c r="B553">
        <f t="shared" si="456"/>
        <v>1695</v>
      </c>
      <c r="C553">
        <f t="shared" si="425"/>
        <v>7.0997769328660425</v>
      </c>
      <c r="D553">
        <f t="shared" si="426"/>
        <v>1.4294769148481525</v>
      </c>
      <c r="F553">
        <f t="shared" si="427"/>
        <v>8.0574326755904101E-6</v>
      </c>
      <c r="G553">
        <f t="shared" si="428"/>
        <v>9.2976164428440434E-4</v>
      </c>
      <c r="H553">
        <f t="shared" si="429"/>
        <v>-3.1406628883557159</v>
      </c>
      <c r="J553">
        <f t="shared" si="430"/>
        <v>15</v>
      </c>
      <c r="M553">
        <f t="shared" si="431"/>
        <v>5.622558185355178E-4</v>
      </c>
      <c r="N553">
        <f t="shared" si="432"/>
        <v>-1.5707963250000001</v>
      </c>
      <c r="O553">
        <f t="shared" si="433"/>
        <v>720.47313198751465</v>
      </c>
      <c r="P553">
        <f t="shared" si="434"/>
        <v>1.569408349538449</v>
      </c>
      <c r="Q553">
        <f t="shared" si="435"/>
        <v>326.08320529318087</v>
      </c>
      <c r="R553">
        <f t="shared" si="436"/>
        <v>1.5677296200427013</v>
      </c>
      <c r="S553">
        <f t="shared" si="437"/>
        <v>0.15021253079621541</v>
      </c>
      <c r="T553">
        <f t="shared" si="438"/>
        <v>-1.4200130876240666</v>
      </c>
      <c r="U553">
        <f t="shared" si="439"/>
        <v>7.7034520863946285E-2</v>
      </c>
      <c r="V553">
        <f t="shared" si="440"/>
        <v>-1.4936854105287227</v>
      </c>
      <c r="X553">
        <f t="shared" si="457"/>
        <v>-57.643912465533901</v>
      </c>
      <c r="Y553">
        <f t="shared" si="441"/>
        <v>-175.24159565189217</v>
      </c>
      <c r="Z553">
        <f t="shared" si="458"/>
        <v>4.7584043481078311</v>
      </c>
      <c r="AC553">
        <v>1</v>
      </c>
      <c r="AD553">
        <f t="shared" si="442"/>
        <v>720.47243799877515</v>
      </c>
      <c r="AE553">
        <f t="shared" si="443"/>
        <v>-1.150954620656095</v>
      </c>
      <c r="AF553">
        <f t="shared" si="444"/>
        <v>8.892749234722501E-2</v>
      </c>
      <c r="AG553">
        <f t="shared" si="473"/>
        <v>47.214943439064676</v>
      </c>
      <c r="AH553">
        <f t="shared" si="474"/>
        <v>-622.33012372730684</v>
      </c>
      <c r="AJ553">
        <f t="shared" si="445"/>
        <v>20000</v>
      </c>
      <c r="AK553">
        <f t="shared" si="446"/>
        <v>131633.98867206002</v>
      </c>
      <c r="AL553">
        <v>1</v>
      </c>
      <c r="AM553">
        <f t="shared" si="447"/>
        <v>326.08167193860299</v>
      </c>
      <c r="AN553">
        <f t="shared" si="475"/>
        <v>403.86840409212749</v>
      </c>
      <c r="AO553">
        <f t="shared" si="476"/>
        <v>-60.095777476256238</v>
      </c>
      <c r="AQ553">
        <f t="shared" si="448"/>
        <v>8.7016290580808507E-4</v>
      </c>
      <c r="AR553">
        <f t="shared" si="449"/>
        <v>-2.9498522506894083</v>
      </c>
      <c r="AT553">
        <f t="shared" si="470"/>
        <v>-1835.7408314564334</v>
      </c>
      <c r="AU553">
        <f t="shared" si="471"/>
        <v>-139.81863575873251</v>
      </c>
      <c r="AV553">
        <f t="shared" si="459"/>
        <v>-3.0655747293378854</v>
      </c>
      <c r="AW553">
        <f t="shared" si="460"/>
        <v>269.34928233623049</v>
      </c>
      <c r="AX553">
        <f t="shared" si="461"/>
        <v>-1940.5517494268715</v>
      </c>
      <c r="AY553">
        <f t="shared" si="469"/>
        <v>-1.4328771571958332</v>
      </c>
      <c r="BA553">
        <f t="shared" si="450"/>
        <v>0.93972009273778911</v>
      </c>
      <c r="BB553">
        <f t="shared" si="462"/>
        <v>-0.54002974251720826</v>
      </c>
      <c r="BC553">
        <f t="shared" si="463"/>
        <v>-1.6326975721420522</v>
      </c>
      <c r="BD553">
        <f t="shared" si="451"/>
        <v>-273.54668021188849</v>
      </c>
      <c r="BF553">
        <f t="shared" si="452"/>
        <v>-61.869376775307359</v>
      </c>
      <c r="BG553">
        <f t="shared" si="453"/>
        <v>-191.59041456788827</v>
      </c>
      <c r="BH553">
        <f t="shared" si="464"/>
        <v>-11.590414567888274</v>
      </c>
      <c r="BI553">
        <f t="shared" si="465"/>
        <v>-11.590414567888274</v>
      </c>
      <c r="BJ553">
        <f t="shared" si="454"/>
        <v>0</v>
      </c>
      <c r="BK553">
        <f t="shared" si="466"/>
        <v>0</v>
      </c>
      <c r="BM553">
        <f t="shared" si="467"/>
        <v>-61.329347032790153</v>
      </c>
      <c r="BN553">
        <f t="shared" si="455"/>
        <v>-98.043734355999788</v>
      </c>
      <c r="BQ553" s="66">
        <f t="shared" si="468"/>
        <v>16.361931057767929</v>
      </c>
    </row>
    <row r="554" spans="1:69" x14ac:dyDescent="0.15">
      <c r="A554">
        <f t="shared" si="472"/>
        <v>1700000</v>
      </c>
      <c r="B554">
        <f t="shared" si="456"/>
        <v>1700</v>
      </c>
      <c r="C554">
        <f t="shared" si="425"/>
        <v>7.120305341336544</v>
      </c>
      <c r="D554">
        <f t="shared" si="426"/>
        <v>1.4298870721977537</v>
      </c>
      <c r="F554">
        <f t="shared" si="427"/>
        <v>8.0101053488227097E-6</v>
      </c>
      <c r="G554">
        <f t="shared" si="428"/>
        <v>9.2702700819260022E-4</v>
      </c>
      <c r="H554">
        <f t="shared" si="429"/>
        <v>-3.1406656229918077</v>
      </c>
      <c r="J554">
        <f t="shared" si="430"/>
        <v>15</v>
      </c>
      <c r="M554">
        <f t="shared" si="431"/>
        <v>5.6060212495158987E-4</v>
      </c>
      <c r="N554">
        <f t="shared" si="432"/>
        <v>-1.5707963250000001</v>
      </c>
      <c r="O554">
        <f t="shared" si="433"/>
        <v>722.59841737409829</v>
      </c>
      <c r="P554">
        <f t="shared" si="434"/>
        <v>1.5694124318192775</v>
      </c>
      <c r="Q554">
        <f t="shared" si="435"/>
        <v>327.04509362091261</v>
      </c>
      <c r="R554">
        <f t="shared" si="436"/>
        <v>1.5677386397121404</v>
      </c>
      <c r="S554">
        <f t="shared" si="437"/>
        <v>0.14978065500914689</v>
      </c>
      <c r="T554">
        <f t="shared" si="438"/>
        <v>-1.4204499053461768</v>
      </c>
      <c r="U554">
        <f t="shared" si="439"/>
        <v>7.6809287403603668E-2</v>
      </c>
      <c r="V554">
        <f t="shared" si="440"/>
        <v>-1.4939113133121644</v>
      </c>
      <c r="X554">
        <f t="shared" si="457"/>
        <v>-57.694860994911508</v>
      </c>
      <c r="Y554">
        <f t="shared" si="441"/>
        <v>-175.25547245145734</v>
      </c>
      <c r="Z554">
        <f t="shared" si="458"/>
        <v>4.7445275485426635</v>
      </c>
      <c r="AC554">
        <v>1</v>
      </c>
      <c r="AD554">
        <f t="shared" si="442"/>
        <v>722.59772542650012</v>
      </c>
      <c r="AE554">
        <f t="shared" si="443"/>
        <v>-1.1577549285843716</v>
      </c>
      <c r="AF554">
        <f t="shared" si="444"/>
        <v>8.9189815333500011E-2</v>
      </c>
      <c r="AG554">
        <f t="shared" si="473"/>
        <v>46.939253045486332</v>
      </c>
      <c r="AH554">
        <f t="shared" si="474"/>
        <v>-620.52097933533128</v>
      </c>
      <c r="AJ554">
        <f t="shared" si="445"/>
        <v>20000</v>
      </c>
      <c r="AK554">
        <f t="shared" si="446"/>
        <v>132022.28952360002</v>
      </c>
      <c r="AL554">
        <v>1</v>
      </c>
      <c r="AM554">
        <f t="shared" si="447"/>
        <v>327.04356477618001</v>
      </c>
      <c r="AN554">
        <f t="shared" si="475"/>
        <v>403.86732159824976</v>
      </c>
      <c r="AO554">
        <f t="shared" si="476"/>
        <v>-59.91902849949922</v>
      </c>
      <c r="AQ554">
        <f t="shared" si="448"/>
        <v>8.6505182828271383E-4</v>
      </c>
      <c r="AR554">
        <f t="shared" si="449"/>
        <v>-2.9411762161612272</v>
      </c>
      <c r="AT554">
        <f t="shared" si="470"/>
        <v>-1825.0209411634835</v>
      </c>
      <c r="AU554">
        <f t="shared" si="471"/>
        <v>-138.59339746941964</v>
      </c>
      <c r="AV554">
        <f t="shared" si="459"/>
        <v>-3.0657974174441023</v>
      </c>
      <c r="AW554">
        <f t="shared" si="460"/>
        <v>270.13977603244723</v>
      </c>
      <c r="AX554">
        <f t="shared" si="461"/>
        <v>-1934.859735514166</v>
      </c>
      <c r="AY554">
        <f t="shared" si="469"/>
        <v>-1.4320758071582218</v>
      </c>
      <c r="BA554">
        <f t="shared" si="450"/>
        <v>0.93686051590929675</v>
      </c>
      <c r="BB554">
        <f t="shared" si="462"/>
        <v>-0.56650128107443387</v>
      </c>
      <c r="BC554">
        <f t="shared" si="463"/>
        <v>-1.6337216102858805</v>
      </c>
      <c r="BD554">
        <f t="shared" si="451"/>
        <v>-273.60535327565731</v>
      </c>
      <c r="BF554">
        <f t="shared" si="452"/>
        <v>-61.921939181500292</v>
      </c>
      <c r="BG554">
        <f t="shared" si="453"/>
        <v>-191.62574402966854</v>
      </c>
      <c r="BH554">
        <f t="shared" si="464"/>
        <v>-11.625744029668539</v>
      </c>
      <c r="BI554">
        <f t="shared" si="465"/>
        <v>-11.625744029668539</v>
      </c>
      <c r="BJ554">
        <f t="shared" si="454"/>
        <v>0</v>
      </c>
      <c r="BK554">
        <f t="shared" si="466"/>
        <v>0</v>
      </c>
      <c r="BM554">
        <f t="shared" si="467"/>
        <v>-61.355437900425862</v>
      </c>
      <c r="BN554">
        <f t="shared" si="455"/>
        <v>-98.02039075401126</v>
      </c>
      <c r="BQ554" s="66">
        <f t="shared" si="468"/>
        <v>16.335459519210701</v>
      </c>
    </row>
    <row r="555" spans="1:69" x14ac:dyDescent="0.15">
      <c r="A555">
        <f t="shared" si="472"/>
        <v>1705000</v>
      </c>
      <c r="B555">
        <f t="shared" si="456"/>
        <v>1705</v>
      </c>
      <c r="C555">
        <f t="shared" si="425"/>
        <v>7.1408349407620477</v>
      </c>
      <c r="D555">
        <f t="shared" si="426"/>
        <v>1.4302948712454508</v>
      </c>
      <c r="F555">
        <f t="shared" si="427"/>
        <v>7.9631937849424789E-6</v>
      </c>
      <c r="G555">
        <f t="shared" si="428"/>
        <v>9.2430841139897412E-4</v>
      </c>
      <c r="H555">
        <f t="shared" si="429"/>
        <v>-3.1406683415886012</v>
      </c>
      <c r="J555">
        <f t="shared" si="430"/>
        <v>15</v>
      </c>
      <c r="M555">
        <f t="shared" si="431"/>
        <v>5.5895813045026563E-4</v>
      </c>
      <c r="N555">
        <f t="shared" si="432"/>
        <v>-1.5707963250000001</v>
      </c>
      <c r="O555">
        <f t="shared" si="433"/>
        <v>724.72370277265338</v>
      </c>
      <c r="P555">
        <f t="shared" si="434"/>
        <v>1.5694164901571557</v>
      </c>
      <c r="Q555">
        <f t="shared" si="435"/>
        <v>328.00698197509485</v>
      </c>
      <c r="R555">
        <f t="shared" si="436"/>
        <v>1.567747606480786</v>
      </c>
      <c r="S555">
        <f t="shared" si="437"/>
        <v>0.14935122722023195</v>
      </c>
      <c r="T555">
        <f t="shared" si="438"/>
        <v>-1.4208842183991501</v>
      </c>
      <c r="U555">
        <f t="shared" si="439"/>
        <v>7.6585363304194132E-2</v>
      </c>
      <c r="V555">
        <f t="shared" si="440"/>
        <v>-1.4941358989465734</v>
      </c>
      <c r="X555">
        <f t="shared" si="457"/>
        <v>-57.745661161045277</v>
      </c>
      <c r="Y555">
        <f t="shared" si="441"/>
        <v>-175.26926888155529</v>
      </c>
      <c r="Z555">
        <f t="shared" si="458"/>
        <v>4.7307311184447087</v>
      </c>
      <c r="AC555">
        <v>1</v>
      </c>
      <c r="AD555">
        <f t="shared" si="442"/>
        <v>724.72301285422509</v>
      </c>
      <c r="AE555">
        <f t="shared" si="443"/>
        <v>-1.1645752668747344</v>
      </c>
      <c r="AF555">
        <f t="shared" si="444"/>
        <v>8.9452138319775013E-2</v>
      </c>
      <c r="AG555">
        <f t="shared" si="473"/>
        <v>46.665965554535376</v>
      </c>
      <c r="AH555">
        <f t="shared" si="474"/>
        <v>-618.7222611916585</v>
      </c>
      <c r="AJ555">
        <f t="shared" si="445"/>
        <v>20000</v>
      </c>
      <c r="AK555">
        <f t="shared" si="446"/>
        <v>132410.59037514002</v>
      </c>
      <c r="AL555">
        <v>1</v>
      </c>
      <c r="AM555">
        <f t="shared" si="447"/>
        <v>328.00545761375696</v>
      </c>
      <c r="AN555">
        <f t="shared" si="475"/>
        <v>403.86624861368983</v>
      </c>
      <c r="AO555">
        <f t="shared" si="476"/>
        <v>-59.743316144640957</v>
      </c>
      <c r="AQ555">
        <f t="shared" si="448"/>
        <v>8.5998565027943941E-4</v>
      </c>
      <c r="AR555">
        <f t="shared" si="449"/>
        <v>-2.9325510674528883</v>
      </c>
      <c r="AT555">
        <f t="shared" si="470"/>
        <v>-1814.3944954537294</v>
      </c>
      <c r="AU555">
        <f t="shared" si="471"/>
        <v>-137.38241936680572</v>
      </c>
      <c r="AV555">
        <f t="shared" si="459"/>
        <v>-3.0660188072556522</v>
      </c>
      <c r="AW555">
        <f t="shared" si="460"/>
        <v>270.92330862098868</v>
      </c>
      <c r="AX555">
        <f t="shared" si="461"/>
        <v>-1929.2009714609794</v>
      </c>
      <c r="AY555">
        <f t="shared" si="469"/>
        <v>-1.4312758213711241</v>
      </c>
      <c r="BA555">
        <f t="shared" si="450"/>
        <v>0.93401721072449062</v>
      </c>
      <c r="BB555">
        <f t="shared" si="462"/>
        <v>-0.59290242285400996</v>
      </c>
      <c r="BC555">
        <f t="shared" si="463"/>
        <v>-1.6347429858845282</v>
      </c>
      <c r="BD555">
        <f t="shared" si="451"/>
        <v>-273.66387378682435</v>
      </c>
      <c r="BF555">
        <f t="shared" si="452"/>
        <v>-61.974351661951054</v>
      </c>
      <c r="BG555">
        <f t="shared" si="453"/>
        <v>-191.66105514060905</v>
      </c>
      <c r="BH555">
        <f t="shared" si="464"/>
        <v>-11.661055140609051</v>
      </c>
      <c r="BI555">
        <f t="shared" si="465"/>
        <v>-11.661055140609051</v>
      </c>
      <c r="BJ555">
        <f t="shared" si="454"/>
        <v>0</v>
      </c>
      <c r="BK555">
        <f t="shared" si="466"/>
        <v>0</v>
      </c>
      <c r="BM555">
        <f t="shared" si="467"/>
        <v>-61.381449239097037</v>
      </c>
      <c r="BN555">
        <f t="shared" si="455"/>
        <v>-97.997181353784697</v>
      </c>
      <c r="BQ555" s="66">
        <f t="shared" si="468"/>
        <v>16.309058377431128</v>
      </c>
    </row>
    <row r="556" spans="1:69" x14ac:dyDescent="0.15">
      <c r="A556">
        <f t="shared" si="472"/>
        <v>1710000</v>
      </c>
      <c r="B556">
        <f t="shared" si="456"/>
        <v>1710</v>
      </c>
      <c r="C556">
        <f t="shared" si="425"/>
        <v>7.161365720900168</v>
      </c>
      <c r="D556">
        <f t="shared" si="426"/>
        <v>1.4307003321379335</v>
      </c>
      <c r="F556">
        <f t="shared" si="427"/>
        <v>7.9166931282802421E-6</v>
      </c>
      <c r="G556">
        <f t="shared" si="428"/>
        <v>9.2160571320354042E-4</v>
      </c>
      <c r="H556">
        <f t="shared" si="429"/>
        <v>-3.1406710442867967</v>
      </c>
      <c r="J556">
        <f t="shared" si="430"/>
        <v>15</v>
      </c>
      <c r="M556">
        <f t="shared" si="431"/>
        <v>5.5732374995187304E-4</v>
      </c>
      <c r="N556">
        <f t="shared" si="432"/>
        <v>-1.5707963250000001</v>
      </c>
      <c r="O556">
        <f t="shared" si="433"/>
        <v>726.84898818307488</v>
      </c>
      <c r="P556">
        <f t="shared" si="434"/>
        <v>1.5694205247621089</v>
      </c>
      <c r="Q556">
        <f t="shared" si="435"/>
        <v>328.96887035549554</v>
      </c>
      <c r="R556">
        <f t="shared" si="436"/>
        <v>1.5677565208126738</v>
      </c>
      <c r="S556">
        <f t="shared" si="437"/>
        <v>0.14892422691805063</v>
      </c>
      <c r="T556">
        <f t="shared" si="438"/>
        <v>-1.4213160481012392</v>
      </c>
      <c r="U556">
        <f t="shared" si="439"/>
        <v>7.6362737214838106E-2</v>
      </c>
      <c r="V556">
        <f t="shared" si="440"/>
        <v>-1.4943591788956607</v>
      </c>
      <c r="X556">
        <f t="shared" si="457"/>
        <v>-57.796313822012237</v>
      </c>
      <c r="Y556">
        <f t="shared" si="441"/>
        <v>-175.28298563557451</v>
      </c>
      <c r="Z556">
        <f t="shared" si="458"/>
        <v>4.7170143644254949</v>
      </c>
      <c r="AC556">
        <v>1</v>
      </c>
      <c r="AD556">
        <f t="shared" si="442"/>
        <v>726.84830028195017</v>
      </c>
      <c r="AE556">
        <f t="shared" si="443"/>
        <v>-1.1714156355271836</v>
      </c>
      <c r="AF556">
        <f t="shared" si="444"/>
        <v>8.9714461306050014E-2</v>
      </c>
      <c r="AG556">
        <f t="shared" si="473"/>
        <v>46.395053176974585</v>
      </c>
      <c r="AH556">
        <f t="shared" si="474"/>
        <v>-616.93387996624688</v>
      </c>
      <c r="AJ556">
        <f t="shared" si="445"/>
        <v>20000</v>
      </c>
      <c r="AK556">
        <f t="shared" si="446"/>
        <v>132798.89122667999</v>
      </c>
      <c r="AL556">
        <v>1</v>
      </c>
      <c r="AM556">
        <f t="shared" si="447"/>
        <v>328.96735045133397</v>
      </c>
      <c r="AN556">
        <f t="shared" si="475"/>
        <v>403.86518502739176</v>
      </c>
      <c r="AO556">
        <f t="shared" si="476"/>
        <v>-59.568631318844439</v>
      </c>
      <c r="AQ556">
        <f t="shared" si="448"/>
        <v>8.549638474262297E-4</v>
      </c>
      <c r="AR556">
        <f t="shared" si="449"/>
        <v>-2.9239763581977054</v>
      </c>
      <c r="AT556">
        <f t="shared" si="470"/>
        <v>-1803.8604134993211</v>
      </c>
      <c r="AU556">
        <f t="shared" si="471"/>
        <v>-136.18549479042255</v>
      </c>
      <c r="AV556">
        <f t="shared" si="459"/>
        <v>-3.0662389100708589</v>
      </c>
      <c r="AW556">
        <f t="shared" si="460"/>
        <v>271.69996164191582</v>
      </c>
      <c r="AX556">
        <f t="shared" si="461"/>
        <v>-1923.5751671480325</v>
      </c>
      <c r="AY556">
        <f t="shared" si="469"/>
        <v>-1.4304771894803043</v>
      </c>
      <c r="BA556">
        <f t="shared" si="450"/>
        <v>0.93119003711577331</v>
      </c>
      <c r="BB556">
        <f t="shared" si="462"/>
        <v>-0.61923358448489352</v>
      </c>
      <c r="BC556">
        <f t="shared" si="463"/>
        <v>-1.6357617205905546</v>
      </c>
      <c r="BD556">
        <f t="shared" si="451"/>
        <v>-273.72224298598985</v>
      </c>
      <c r="BF556">
        <f t="shared" si="452"/>
        <v>-62.026615123786002</v>
      </c>
      <c r="BG556">
        <f t="shared" si="453"/>
        <v>-191.69634799505121</v>
      </c>
      <c r="BH556">
        <f t="shared" si="464"/>
        <v>-11.696347995051212</v>
      </c>
      <c r="BI556">
        <f t="shared" si="465"/>
        <v>-11.696347995051212</v>
      </c>
      <c r="BJ556">
        <f t="shared" si="454"/>
        <v>0</v>
      </c>
      <c r="BK556">
        <f t="shared" si="466"/>
        <v>0</v>
      </c>
      <c r="BM556">
        <f t="shared" si="467"/>
        <v>-61.407381539301113</v>
      </c>
      <c r="BN556">
        <f t="shared" si="455"/>
        <v>-97.974105009061361</v>
      </c>
      <c r="BQ556" s="66">
        <f t="shared" si="468"/>
        <v>16.282727215800243</v>
      </c>
    </row>
    <row r="557" spans="1:69" x14ac:dyDescent="0.15">
      <c r="A557">
        <f t="shared" si="472"/>
        <v>1715000</v>
      </c>
      <c r="B557">
        <f t="shared" si="456"/>
        <v>1715</v>
      </c>
      <c r="C557">
        <f t="shared" si="425"/>
        <v>7.18189767162505</v>
      </c>
      <c r="D557">
        <f t="shared" si="426"/>
        <v>1.4311034747946003</v>
      </c>
      <c r="F557">
        <f t="shared" si="427"/>
        <v>7.8705985938466255E-6</v>
      </c>
      <c r="G557">
        <f t="shared" si="428"/>
        <v>9.1891877454719256E-4</v>
      </c>
      <c r="H557">
        <f t="shared" si="429"/>
        <v>-3.1406737312254531</v>
      </c>
      <c r="J557">
        <f t="shared" si="430"/>
        <v>15</v>
      </c>
      <c r="M557">
        <f t="shared" si="431"/>
        <v>5.5569889936892295E-4</v>
      </c>
      <c r="N557">
        <f t="shared" si="432"/>
        <v>-1.5707963250000001</v>
      </c>
      <c r="O557">
        <f t="shared" si="433"/>
        <v>728.97427360525921</v>
      </c>
      <c r="P557">
        <f t="shared" si="434"/>
        <v>1.5694245358417132</v>
      </c>
      <c r="Q557">
        <f t="shared" si="435"/>
        <v>329.93075876188544</v>
      </c>
      <c r="R557">
        <f t="shared" si="436"/>
        <v>1.5677653831664289</v>
      </c>
      <c r="S557">
        <f t="shared" si="437"/>
        <v>0.14849963381688258</v>
      </c>
      <c r="T557">
        <f t="shared" si="438"/>
        <v>-1.4217454155313056</v>
      </c>
      <c r="U557">
        <f t="shared" si="439"/>
        <v>7.6141397915089309E-2</v>
      </c>
      <c r="V557">
        <f t="shared" si="440"/>
        <v>-1.494581164490751</v>
      </c>
      <c r="X557">
        <f t="shared" si="457"/>
        <v>-57.84681982849564</v>
      </c>
      <c r="Y557">
        <f t="shared" si="441"/>
        <v>-175.29662339898141</v>
      </c>
      <c r="Z557">
        <f t="shared" si="458"/>
        <v>4.70337660101859</v>
      </c>
      <c r="AC557">
        <v>1</v>
      </c>
      <c r="AD557">
        <f t="shared" si="442"/>
        <v>728.97358770967503</v>
      </c>
      <c r="AE557">
        <f t="shared" si="443"/>
        <v>-1.1782760345417189</v>
      </c>
      <c r="AF557">
        <f t="shared" si="444"/>
        <v>8.9976784292325016E-2</v>
      </c>
      <c r="AG557">
        <f t="shared" si="473"/>
        <v>46.126488523344094</v>
      </c>
      <c r="AH557">
        <f t="shared" si="474"/>
        <v>-615.15574734027575</v>
      </c>
      <c r="AJ557">
        <f t="shared" si="445"/>
        <v>20000</v>
      </c>
      <c r="AK557">
        <f t="shared" si="446"/>
        <v>133187.19207821999</v>
      </c>
      <c r="AL557">
        <v>1</v>
      </c>
      <c r="AM557">
        <f t="shared" si="447"/>
        <v>329.92924328891098</v>
      </c>
      <c r="AN557">
        <f t="shared" si="475"/>
        <v>403.86413072991684</v>
      </c>
      <c r="AO557">
        <f t="shared" si="476"/>
        <v>-59.394965035306754</v>
      </c>
      <c r="AQ557">
        <f t="shared" si="448"/>
        <v>8.49985902983799E-4</v>
      </c>
      <c r="AR557">
        <f t="shared" si="449"/>
        <v>-2.9154516472344305</v>
      </c>
      <c r="AT557">
        <f t="shared" si="470"/>
        <v>-1793.4176300239351</v>
      </c>
      <c r="AU557">
        <f t="shared" si="471"/>
        <v>-135.00242065990227</v>
      </c>
      <c r="AV557">
        <f t="shared" si="459"/>
        <v>-3.0664577370575867</v>
      </c>
      <c r="AW557">
        <f t="shared" si="460"/>
        <v>272.46981544420771</v>
      </c>
      <c r="AX557">
        <f t="shared" si="461"/>
        <v>-1917.9820358172447</v>
      </c>
      <c r="AY557">
        <f t="shared" si="469"/>
        <v>-1.4296799012568471</v>
      </c>
      <c r="BA557">
        <f t="shared" si="450"/>
        <v>0.92837885661622543</v>
      </c>
      <c r="BB557">
        <f t="shared" si="462"/>
        <v>-0.64549517904588516</v>
      </c>
      <c r="BC557">
        <f t="shared" si="463"/>
        <v>-1.6367778358007397</v>
      </c>
      <c r="BD557">
        <f t="shared" si="451"/>
        <v>-273.78046209909905</v>
      </c>
      <c r="BF557">
        <f t="shared" si="452"/>
        <v>-62.07873046600681</v>
      </c>
      <c r="BG557">
        <f t="shared" si="453"/>
        <v>-191.73162268561029</v>
      </c>
      <c r="BH557">
        <f t="shared" si="464"/>
        <v>-11.73162268561029</v>
      </c>
      <c r="BI557">
        <f t="shared" si="465"/>
        <v>-11.73162268561029</v>
      </c>
      <c r="BJ557">
        <f t="shared" si="454"/>
        <v>0</v>
      </c>
      <c r="BK557">
        <f t="shared" si="466"/>
        <v>0</v>
      </c>
      <c r="BM557">
        <f t="shared" si="467"/>
        <v>-61.433235286960922</v>
      </c>
      <c r="BN557">
        <f t="shared" si="455"/>
        <v>-97.951160586511278</v>
      </c>
      <c r="BQ557" s="66">
        <f t="shared" si="468"/>
        <v>16.256465621239251</v>
      </c>
    </row>
    <row r="558" spans="1:69" x14ac:dyDescent="0.15">
      <c r="A558">
        <f t="shared" si="472"/>
        <v>1720000</v>
      </c>
      <c r="B558">
        <f t="shared" si="456"/>
        <v>1720</v>
      </c>
      <c r="C558">
        <f t="shared" si="425"/>
        <v>7.2024307829257266</v>
      </c>
      <c r="D558">
        <f t="shared" si="426"/>
        <v>1.4315043189107342</v>
      </c>
      <c r="F558">
        <f t="shared" si="427"/>
        <v>7.8249054661013318E-6</v>
      </c>
      <c r="G558">
        <f t="shared" si="428"/>
        <v>9.1624745798785361E-4</v>
      </c>
      <c r="H558">
        <f t="shared" si="429"/>
        <v>-3.1406764025420122</v>
      </c>
      <c r="J558">
        <f t="shared" si="430"/>
        <v>15</v>
      </c>
      <c r="M558">
        <f t="shared" si="431"/>
        <v>5.5408349559168772E-4</v>
      </c>
      <c r="N558">
        <f t="shared" si="432"/>
        <v>-1.5707963250000001</v>
      </c>
      <c r="O558">
        <f t="shared" si="433"/>
        <v>731.0995590391035</v>
      </c>
      <c r="P558">
        <f t="shared" si="434"/>
        <v>1.5694285236011309</v>
      </c>
      <c r="Q558">
        <f t="shared" si="435"/>
        <v>330.89264719403792</v>
      </c>
      <c r="R558">
        <f t="shared" si="436"/>
        <v>1.5677741939953436</v>
      </c>
      <c r="S558">
        <f t="shared" si="437"/>
        <v>0.14807742785365174</v>
      </c>
      <c r="T558">
        <f t="shared" si="438"/>
        <v>-1.422172341532145</v>
      </c>
      <c r="U558">
        <f t="shared" si="439"/>
        <v>7.5921334313072228E-2</v>
      </c>
      <c r="V558">
        <f t="shared" si="440"/>
        <v>-1.4948018669326832</v>
      </c>
      <c r="X558">
        <f t="shared" si="457"/>
        <v>-57.897180023869311</v>
      </c>
      <c r="Y558">
        <f t="shared" si="441"/>
        <v>-175.31018284943266</v>
      </c>
      <c r="Z558">
        <f t="shared" si="458"/>
        <v>4.6898171505673361</v>
      </c>
      <c r="AC558">
        <v>1</v>
      </c>
      <c r="AD558">
        <f t="shared" si="442"/>
        <v>731.09887513740011</v>
      </c>
      <c r="AE558">
        <f t="shared" si="443"/>
        <v>-1.1851564639183405</v>
      </c>
      <c r="AF558">
        <f t="shared" si="444"/>
        <v>9.0239107278600003E-2</v>
      </c>
      <c r="AG558">
        <f t="shared" si="473"/>
        <v>45.860244597093399</v>
      </c>
      <c r="AH558">
        <f t="shared" si="474"/>
        <v>-613.38777599197158</v>
      </c>
      <c r="AJ558">
        <f t="shared" si="445"/>
        <v>20000</v>
      </c>
      <c r="AK558">
        <f t="shared" si="446"/>
        <v>133575.49292976002</v>
      </c>
      <c r="AL558">
        <v>1</v>
      </c>
      <c r="AM558">
        <f t="shared" si="447"/>
        <v>330.89113612648799</v>
      </c>
      <c r="AN558">
        <f t="shared" si="475"/>
        <v>403.86308561341423</v>
      </c>
      <c r="AO558">
        <f t="shared" si="476"/>
        <v>-59.22230841171784</v>
      </c>
      <c r="AQ558">
        <f t="shared" si="448"/>
        <v>8.4505130771267347E-4</v>
      </c>
      <c r="AR558">
        <f t="shared" si="449"/>
        <v>-2.9069764985315967</v>
      </c>
      <c r="AT558">
        <f t="shared" si="470"/>
        <v>-1783.0650950355562</v>
      </c>
      <c r="AU558">
        <f t="shared" si="471"/>
        <v>-133.83299740289814</v>
      </c>
      <c r="AV558">
        <f t="shared" si="459"/>
        <v>-3.0666752992551154</v>
      </c>
      <c r="AW558">
        <f t="shared" si="460"/>
        <v>273.23294920658913</v>
      </c>
      <c r="AX558">
        <f t="shared" si="461"/>
        <v>-1912.4212940232542</v>
      </c>
      <c r="AY558">
        <f t="shared" si="469"/>
        <v>-1.4288839465953094</v>
      </c>
      <c r="BA558">
        <f t="shared" si="450"/>
        <v>0.92558353233692503</v>
      </c>
      <c r="BB558">
        <f t="shared" si="462"/>
        <v>-0.67168761610505334</v>
      </c>
      <c r="BC558">
        <f t="shared" si="463"/>
        <v>-1.637791352659806</v>
      </c>
      <c r="BD558">
        <f t="shared" si="451"/>
        <v>-273.83853233765524</v>
      </c>
      <c r="BF558">
        <f t="shared" si="452"/>
        <v>-62.130698579586941</v>
      </c>
      <c r="BG558">
        <f t="shared" si="453"/>
        <v>-191.76687930320787</v>
      </c>
      <c r="BH558">
        <f t="shared" si="464"/>
        <v>-11.766879303207872</v>
      </c>
      <c r="BI558">
        <f t="shared" si="465"/>
        <v>-11.766879303207872</v>
      </c>
      <c r="BJ558">
        <f t="shared" si="454"/>
        <v>0</v>
      </c>
      <c r="BK558">
        <f t="shared" si="466"/>
        <v>0</v>
      </c>
      <c r="BM558">
        <f t="shared" si="467"/>
        <v>-61.459010963481887</v>
      </c>
      <c r="BN558">
        <f t="shared" si="455"/>
        <v>-97.928346965552649</v>
      </c>
      <c r="BQ558" s="66">
        <f t="shared" si="468"/>
        <v>16.230273184180085</v>
      </c>
    </row>
    <row r="559" spans="1:69" x14ac:dyDescent="0.15">
      <c r="A559">
        <f t="shared" si="472"/>
        <v>1725000</v>
      </c>
      <c r="B559">
        <f t="shared" si="456"/>
        <v>1725</v>
      </c>
      <c r="C559">
        <f t="shared" si="425"/>
        <v>7.2229650449045044</v>
      </c>
      <c r="D559">
        <f t="shared" si="426"/>
        <v>1.4319028839606236</v>
      </c>
      <c r="F559">
        <f t="shared" si="427"/>
        <v>7.7796090977470622E-6</v>
      </c>
      <c r="G559">
        <f t="shared" si="428"/>
        <v>9.1359162767703822E-4</v>
      </c>
      <c r="H559">
        <f t="shared" si="429"/>
        <v>-3.140679058372323</v>
      </c>
      <c r="J559">
        <f t="shared" si="430"/>
        <v>15</v>
      </c>
      <c r="M559">
        <f t="shared" si="431"/>
        <v>5.5247745647403056E-4</v>
      </c>
      <c r="N559">
        <f t="shared" si="432"/>
        <v>-1.5707963250000001</v>
      </c>
      <c r="O559">
        <f t="shared" si="433"/>
        <v>733.22484448450666</v>
      </c>
      <c r="P559">
        <f t="shared" si="434"/>
        <v>1.5694324882431461</v>
      </c>
      <c r="Q559">
        <f t="shared" si="435"/>
        <v>331.8545356517289</v>
      </c>
      <c r="R559">
        <f t="shared" si="436"/>
        <v>1.5677829537474541</v>
      </c>
      <c r="S559">
        <f t="shared" si="437"/>
        <v>0.14765758918491992</v>
      </c>
      <c r="T559">
        <f t="shared" si="438"/>
        <v>-1.4225968467137562</v>
      </c>
      <c r="U559">
        <f t="shared" si="439"/>
        <v>7.570253544365127E-2</v>
      </c>
      <c r="V559">
        <f t="shared" si="440"/>
        <v>-1.4950212972936801</v>
      </c>
      <c r="X559">
        <f t="shared" si="457"/>
        <v>-57.947395244280891</v>
      </c>
      <c r="Y559">
        <f t="shared" si="441"/>
        <v>-175.32366465688554</v>
      </c>
      <c r="Z559">
        <f t="shared" si="458"/>
        <v>4.6763353431144594</v>
      </c>
      <c r="AC559">
        <v>1</v>
      </c>
      <c r="AD559">
        <f t="shared" si="442"/>
        <v>733.22416256512508</v>
      </c>
      <c r="AE559">
        <f t="shared" si="443"/>
        <v>-1.1920569236570484</v>
      </c>
      <c r="AF559">
        <f t="shared" si="444"/>
        <v>9.0501430264875005E-2</v>
      </c>
      <c r="AG559">
        <f t="shared" si="473"/>
        <v>45.596294787850255</v>
      </c>
      <c r="AH559">
        <f t="shared" si="474"/>
        <v>-611.62987958266774</v>
      </c>
      <c r="AJ559">
        <f t="shared" si="445"/>
        <v>20000</v>
      </c>
      <c r="AK559">
        <f t="shared" si="446"/>
        <v>133963.79378130002</v>
      </c>
      <c r="AL559">
        <v>1</v>
      </c>
      <c r="AM559">
        <f t="shared" si="447"/>
        <v>331.853028964065</v>
      </c>
      <c r="AN559">
        <f t="shared" si="475"/>
        <v>403.86204957159379</v>
      </c>
      <c r="AO559">
        <f t="shared" si="476"/>
        <v>-59.050652668746302</v>
      </c>
      <c r="AQ559">
        <f t="shared" si="448"/>
        <v>8.4015955974294811E-4</v>
      </c>
      <c r="AR559">
        <f t="shared" si="449"/>
        <v>-2.8985504811131713</v>
      </c>
      <c r="AT559">
        <f t="shared" si="470"/>
        <v>-1772.8017735645778</v>
      </c>
      <c r="AU559">
        <f t="shared" si="471"/>
        <v>-132.67702888465715</v>
      </c>
      <c r="AV559">
        <f t="shared" si="459"/>
        <v>-3.0668916075759811</v>
      </c>
      <c r="AW559">
        <f t="shared" si="460"/>
        <v>273.98944095793513</v>
      </c>
      <c r="AX559">
        <f t="shared" si="461"/>
        <v>-1906.8926615857777</v>
      </c>
      <c r="AY559">
        <f t="shared" si="469"/>
        <v>-1.4280893155119072</v>
      </c>
      <c r="BA559">
        <f t="shared" si="450"/>
        <v>0.92280392894463859</v>
      </c>
      <c r="BB559">
        <f t="shared" si="462"/>
        <v>-0.69781130175872197</v>
      </c>
      <c r="BC559">
        <f t="shared" si="463"/>
        <v>-1.6388022920640739</v>
      </c>
      <c r="BD559">
        <f t="shared" si="451"/>
        <v>-273.89645489892945</v>
      </c>
      <c r="BF559">
        <f t="shared" si="452"/>
        <v>-62.182520347566978</v>
      </c>
      <c r="BG559">
        <f t="shared" si="453"/>
        <v>-191.80211793710399</v>
      </c>
      <c r="BH559">
        <f t="shared" si="464"/>
        <v>-11.802117937103986</v>
      </c>
      <c r="BI559">
        <f t="shared" si="465"/>
        <v>-11.802117937103986</v>
      </c>
      <c r="BJ559">
        <f t="shared" si="454"/>
        <v>0</v>
      </c>
      <c r="BK559">
        <f t="shared" si="466"/>
        <v>0</v>
      </c>
      <c r="BM559">
        <f t="shared" si="467"/>
        <v>-61.484709045808259</v>
      </c>
      <c r="BN559">
        <f t="shared" si="455"/>
        <v>-97.905663038174566</v>
      </c>
      <c r="BQ559" s="66">
        <f t="shared" si="468"/>
        <v>16.204149498526416</v>
      </c>
    </row>
    <row r="560" spans="1:69" x14ac:dyDescent="0.15">
      <c r="A560">
        <f t="shared" si="472"/>
        <v>1730000</v>
      </c>
      <c r="B560">
        <f t="shared" si="456"/>
        <v>1730</v>
      </c>
      <c r="C560">
        <f t="shared" si="425"/>
        <v>7.2435004477753733</v>
      </c>
      <c r="D560">
        <f t="shared" si="426"/>
        <v>1.4322991892006327</v>
      </c>
      <c r="F560">
        <f t="shared" si="427"/>
        <v>7.7347049085478104E-6</v>
      </c>
      <c r="G560">
        <f t="shared" si="428"/>
        <v>9.1095114933682406E-4</v>
      </c>
      <c r="H560">
        <f t="shared" si="429"/>
        <v>-3.1406816988506634</v>
      </c>
      <c r="J560">
        <f t="shared" si="430"/>
        <v>15</v>
      </c>
      <c r="M560">
        <f t="shared" si="431"/>
        <v>5.5088070081948134E-4</v>
      </c>
      <c r="N560">
        <f t="shared" si="432"/>
        <v>-1.5707963250000001</v>
      </c>
      <c r="O560">
        <f t="shared" si="433"/>
        <v>735.35012994136821</v>
      </c>
      <c r="P560">
        <f t="shared" si="434"/>
        <v>1.5694364299681975</v>
      </c>
      <c r="Q560">
        <f t="shared" si="435"/>
        <v>332.81642413473696</v>
      </c>
      <c r="R560">
        <f t="shared" si="436"/>
        <v>1.5677916628656179</v>
      </c>
      <c r="S560">
        <f t="shared" si="437"/>
        <v>0.14724009818392841</v>
      </c>
      <c r="T560">
        <f t="shared" si="438"/>
        <v>-1.4230189514565574</v>
      </c>
      <c r="U560">
        <f t="shared" si="439"/>
        <v>7.5484990466631208E-2</v>
      </c>
      <c r="V560">
        <f t="shared" si="440"/>
        <v>-1.4952394665191855</v>
      </c>
      <c r="X560">
        <f t="shared" si="457"/>
        <v>-57.9974663187338</v>
      </c>
      <c r="Y560">
        <f t="shared" si="441"/>
        <v>-175.33706948370676</v>
      </c>
      <c r="Z560">
        <f t="shared" si="458"/>
        <v>4.662930516293244</v>
      </c>
      <c r="AC560">
        <v>1</v>
      </c>
      <c r="AD560">
        <f t="shared" si="442"/>
        <v>735.34944999285005</v>
      </c>
      <c r="AE560">
        <f t="shared" si="443"/>
        <v>-1.1989774137578426</v>
      </c>
      <c r="AF560">
        <f t="shared" si="444"/>
        <v>9.0763753251150006E-2</v>
      </c>
      <c r="AG560">
        <f t="shared" si="473"/>
        <v>45.334612864823534</v>
      </c>
      <c r="AH560">
        <f t="shared" si="474"/>
        <v>-609.88197274309812</v>
      </c>
      <c r="AJ560">
        <f t="shared" si="445"/>
        <v>20000</v>
      </c>
      <c r="AK560">
        <f t="shared" si="446"/>
        <v>134352.09463284002</v>
      </c>
      <c r="AL560">
        <v>1</v>
      </c>
      <c r="AM560">
        <f t="shared" si="447"/>
        <v>332.81492180164201</v>
      </c>
      <c r="AN560">
        <f t="shared" si="475"/>
        <v>403.86102249969917</v>
      </c>
      <c r="AO560">
        <f t="shared" si="476"/>
        <v>-58.879989128551202</v>
      </c>
      <c r="AQ560">
        <f t="shared" si="448"/>
        <v>8.3531016444667679E-4</v>
      </c>
      <c r="AR560">
        <f t="shared" si="449"/>
        <v>-2.8901731689855015</v>
      </c>
      <c r="AT560">
        <f t="shared" si="470"/>
        <v>-1762.6266454071219</v>
      </c>
      <c r="AU560">
        <f t="shared" si="471"/>
        <v>-131.53432233920302</v>
      </c>
      <c r="AV560">
        <f t="shared" si="459"/>
        <v>-3.0671066728077876</v>
      </c>
      <c r="AW560">
        <f t="shared" si="460"/>
        <v>274.73936759726206</v>
      </c>
      <c r="AX560">
        <f t="shared" si="461"/>
        <v>-1901.3958615427887</v>
      </c>
      <c r="AY560">
        <f t="shared" si="469"/>
        <v>-1.4272959981427318</v>
      </c>
      <c r="BA560">
        <f t="shared" si="450"/>
        <v>0.92003991263989315</v>
      </c>
      <c r="BB560">
        <f t="shared" si="462"/>
        <v>-0.72386663866987178</v>
      </c>
      <c r="BC560">
        <f t="shared" si="463"/>
        <v>-1.6398106746650558</v>
      </c>
      <c r="BD560">
        <f t="shared" si="451"/>
        <v>-273.95423096616616</v>
      </c>
      <c r="BF560">
        <f t="shared" si="452"/>
        <v>-62.23419664514833</v>
      </c>
      <c r="BG560">
        <f t="shared" si="453"/>
        <v>-191.8373386749283</v>
      </c>
      <c r="BH560">
        <f t="shared" si="464"/>
        <v>-11.837338674928304</v>
      </c>
      <c r="BI560">
        <f t="shared" si="465"/>
        <v>-11.837338674928304</v>
      </c>
      <c r="BJ560">
        <f t="shared" si="454"/>
        <v>0</v>
      </c>
      <c r="BK560">
        <f t="shared" si="466"/>
        <v>0</v>
      </c>
      <c r="BM560">
        <f t="shared" si="467"/>
        <v>-61.510330006478462</v>
      </c>
      <c r="BN560">
        <f t="shared" si="455"/>
        <v>-97.88310770876214</v>
      </c>
      <c r="BQ560" s="66">
        <f t="shared" si="468"/>
        <v>16.178094161615263</v>
      </c>
    </row>
    <row r="561" spans="1:69" x14ac:dyDescent="0.15">
      <c r="A561">
        <f t="shared" si="472"/>
        <v>1735000</v>
      </c>
      <c r="B561">
        <f t="shared" si="456"/>
        <v>1735</v>
      </c>
      <c r="C561">
        <f t="shared" si="425"/>
        <v>7.2640369818624402</v>
      </c>
      <c r="D561">
        <f t="shared" si="426"/>
        <v>1.4326932536722208</v>
      </c>
      <c r="F561">
        <f t="shared" si="427"/>
        <v>7.6901883841709498E-6</v>
      </c>
      <c r="G561">
        <f t="shared" si="428"/>
        <v>9.0832589023721964E-4</v>
      </c>
      <c r="H561">
        <f t="shared" si="429"/>
        <v>-3.1406843241097628</v>
      </c>
      <c r="J561">
        <f t="shared" si="430"/>
        <v>15</v>
      </c>
      <c r="M561">
        <f t="shared" si="431"/>
        <v>5.4929314836755204E-4</v>
      </c>
      <c r="N561">
        <f t="shared" si="432"/>
        <v>-1.5707963250000001</v>
      </c>
      <c r="O561">
        <f t="shared" si="433"/>
        <v>737.47541540958912</v>
      </c>
      <c r="P561">
        <f t="shared" si="434"/>
        <v>1.5694403489744149</v>
      </c>
      <c r="Q561">
        <f t="shared" si="435"/>
        <v>333.77831264284322</v>
      </c>
      <c r="R561">
        <f t="shared" si="436"/>
        <v>1.5678003217875873</v>
      </c>
      <c r="S561">
        <f t="shared" si="437"/>
        <v>0.14682493543768646</v>
      </c>
      <c r="T561">
        <f t="shared" si="438"/>
        <v>-1.4234386759145496</v>
      </c>
      <c r="U561">
        <f t="shared" si="439"/>
        <v>7.5268688664987843E-2</v>
      </c>
      <c r="V561">
        <f t="shared" si="440"/>
        <v>-1.4954563854296701</v>
      </c>
      <c r="X561">
        <f t="shared" si="457"/>
        <v>-58.047394069168128</v>
      </c>
      <c r="Y561">
        <f t="shared" si="441"/>
        <v>-175.35039798477905</v>
      </c>
      <c r="Z561">
        <f t="shared" si="458"/>
        <v>4.6496020152209496</v>
      </c>
      <c r="AC561">
        <v>1</v>
      </c>
      <c r="AD561">
        <f t="shared" si="442"/>
        <v>737.47473742057514</v>
      </c>
      <c r="AE561">
        <f t="shared" si="443"/>
        <v>-1.2059179342207229</v>
      </c>
      <c r="AF561">
        <f t="shared" si="444"/>
        <v>9.1026076237425008E-2</v>
      </c>
      <c r="AG561">
        <f t="shared" si="473"/>
        <v>45.075172970336858</v>
      </c>
      <c r="AH561">
        <f t="shared" si="474"/>
        <v>-608.14397105991691</v>
      </c>
      <c r="AJ561">
        <f t="shared" si="445"/>
        <v>20000</v>
      </c>
      <c r="AK561">
        <f t="shared" si="446"/>
        <v>134740.39548437999</v>
      </c>
      <c r="AL561">
        <v>1</v>
      </c>
      <c r="AM561">
        <f t="shared" si="447"/>
        <v>333.77681463921897</v>
      </c>
      <c r="AN561">
        <f t="shared" si="475"/>
        <v>403.86000429448148</v>
      </c>
      <c r="AO561">
        <f t="shared" si="476"/>
        <v>-58.710309213319938</v>
      </c>
      <c r="AQ561">
        <f t="shared" si="448"/>
        <v>8.3050263431283088E-4</v>
      </c>
      <c r="AR561">
        <f t="shared" si="449"/>
        <v>-2.8818441410655233</v>
      </c>
      <c r="AT561">
        <f t="shared" si="470"/>
        <v>-1752.5387048734488</v>
      </c>
      <c r="AU561">
        <f t="shared" si="471"/>
        <v>-130.40468830208704</v>
      </c>
      <c r="AV561">
        <f t="shared" si="459"/>
        <v>-3.0673205056149859</v>
      </c>
      <c r="AW561">
        <f t="shared" si="460"/>
        <v>275.4828049133128</v>
      </c>
      <c r="AX561">
        <f t="shared" si="461"/>
        <v>-1895.9306201044974</v>
      </c>
      <c r="AY561">
        <f t="shared" si="469"/>
        <v>-1.4265039847419994</v>
      </c>
      <c r="BA561">
        <f t="shared" si="450"/>
        <v>0.91729135113541604</v>
      </c>
      <c r="BB561">
        <f t="shared" si="462"/>
        <v>-0.74985402610602148</v>
      </c>
      <c r="BC561">
        <f t="shared" si="463"/>
        <v>-1.6408165208729866</v>
      </c>
      <c r="BD561">
        <f t="shared" si="451"/>
        <v>-274.01186170878566</v>
      </c>
      <c r="BF561">
        <f t="shared" si="452"/>
        <v>-62.28572833978567</v>
      </c>
      <c r="BG561">
        <f t="shared" si="453"/>
        <v>-191.87254160271067</v>
      </c>
      <c r="BH561">
        <f t="shared" si="464"/>
        <v>-11.872541602710669</v>
      </c>
      <c r="BI561">
        <f t="shared" si="465"/>
        <v>-11.872541602710669</v>
      </c>
      <c r="BJ561">
        <f t="shared" si="454"/>
        <v>0</v>
      </c>
      <c r="BK561">
        <f t="shared" si="466"/>
        <v>0</v>
      </c>
      <c r="BM561">
        <f t="shared" si="467"/>
        <v>-61.535874313679642</v>
      </c>
      <c r="BN561">
        <f t="shared" si="455"/>
        <v>-97.860679893924996</v>
      </c>
      <c r="BQ561" s="66">
        <f t="shared" si="468"/>
        <v>16.152106774179117</v>
      </c>
    </row>
    <row r="562" spans="1:69" x14ac:dyDescent="0.15">
      <c r="A562">
        <f t="shared" si="472"/>
        <v>1740000</v>
      </c>
      <c r="B562">
        <f t="shared" si="456"/>
        <v>1740</v>
      </c>
      <c r="C562">
        <f t="shared" si="425"/>
        <v>7.2845746375983964</v>
      </c>
      <c r="D562">
        <f t="shared" si="426"/>
        <v>1.4330850962049113</v>
      </c>
      <c r="F562">
        <f t="shared" si="427"/>
        <v>7.6460550750525856E-6</v>
      </c>
      <c r="G562">
        <f t="shared" si="428"/>
        <v>9.0571571917392383E-4</v>
      </c>
      <c r="H562">
        <f t="shared" si="429"/>
        <v>-3.1406869342808261</v>
      </c>
      <c r="J562">
        <f t="shared" si="430"/>
        <v>15</v>
      </c>
      <c r="M562">
        <f t="shared" si="431"/>
        <v>5.477147197802889E-4</v>
      </c>
      <c r="N562">
        <f t="shared" si="432"/>
        <v>-1.5707963250000001</v>
      </c>
      <c r="O562">
        <f t="shared" si="433"/>
        <v>739.60070088907173</v>
      </c>
      <c r="P562">
        <f t="shared" si="434"/>
        <v>1.5694442454576489</v>
      </c>
      <c r="Q562">
        <f t="shared" si="435"/>
        <v>334.74020117583132</v>
      </c>
      <c r="R562">
        <f t="shared" si="436"/>
        <v>1.5678089309460825</v>
      </c>
      <c r="S562">
        <f t="shared" si="437"/>
        <v>0.14641208174410603</v>
      </c>
      <c r="T562">
        <f t="shared" si="438"/>
        <v>-1.4238560400184266</v>
      </c>
      <c r="U562">
        <f t="shared" si="439"/>
        <v>7.50536194431288E-2</v>
      </c>
      <c r="V562">
        <f t="shared" si="440"/>
        <v>-1.4956720647224067</v>
      </c>
      <c r="X562">
        <f t="shared" si="457"/>
        <v>-58.097179310540319</v>
      </c>
      <c r="Y562">
        <f t="shared" si="441"/>
        <v>-175.3636508076064</v>
      </c>
      <c r="Z562">
        <f t="shared" si="458"/>
        <v>4.6363491923935953</v>
      </c>
      <c r="AC562">
        <v>1</v>
      </c>
      <c r="AD562">
        <f t="shared" si="442"/>
        <v>739.60002484830011</v>
      </c>
      <c r="AE562">
        <f t="shared" si="443"/>
        <v>-1.2128784850456897</v>
      </c>
      <c r="AF562">
        <f t="shared" si="444"/>
        <v>9.1288399223700009E-2</v>
      </c>
      <c r="AG562">
        <f t="shared" si="473"/>
        <v>44.817949613490079</v>
      </c>
      <c r="AH562">
        <f t="shared" si="474"/>
        <v>-606.41579106244035</v>
      </c>
      <c r="AJ562">
        <f t="shared" si="445"/>
        <v>20000</v>
      </c>
      <c r="AK562">
        <f t="shared" si="446"/>
        <v>135128.69633591999</v>
      </c>
      <c r="AL562">
        <v>1</v>
      </c>
      <c r="AM562">
        <f t="shared" si="447"/>
        <v>334.73870747679598</v>
      </c>
      <c r="AN562">
        <f t="shared" si="475"/>
        <v>403.85899485417286</v>
      </c>
      <c r="AO562">
        <f t="shared" si="476"/>
        <v>-58.541604443830948</v>
      </c>
      <c r="AQ562">
        <f t="shared" si="448"/>
        <v>8.2573648882477133E-4</v>
      </c>
      <c r="AR562">
        <f t="shared" si="449"/>
        <v>-2.8735629811102044</v>
      </c>
      <c r="AT562">
        <f t="shared" si="470"/>
        <v>-1742.5369605413389</v>
      </c>
      <c r="AU562">
        <f t="shared" si="471"/>
        <v>-129.28794054466729</v>
      </c>
      <c r="AV562">
        <f t="shared" si="459"/>
        <v>-3.0675331165406212</v>
      </c>
      <c r="AW562">
        <f t="shared" si="460"/>
        <v>276.21982760374783</v>
      </c>
      <c r="AX562">
        <f t="shared" si="461"/>
        <v>-1890.4966666081159</v>
      </c>
      <c r="AY562">
        <f t="shared" si="469"/>
        <v>-1.4257132656803293</v>
      </c>
      <c r="BA562">
        <f t="shared" si="450"/>
        <v>0.91455811363493278</v>
      </c>
      <c r="BB562">
        <f t="shared" si="462"/>
        <v>-0.7757738599766193</v>
      </c>
      <c r="BC562">
        <f t="shared" si="463"/>
        <v>-1.6418198508602919</v>
      </c>
      <c r="BD562">
        <f t="shared" si="451"/>
        <v>-274.06934828258289</v>
      </c>
      <c r="BF562">
        <f t="shared" si="452"/>
        <v>-62.337116291277965</v>
      </c>
      <c r="BG562">
        <f t="shared" si="453"/>
        <v>-191.90772680491125</v>
      </c>
      <c r="BH562">
        <f t="shared" si="464"/>
        <v>-11.907726804911249</v>
      </c>
      <c r="BI562">
        <f t="shared" si="465"/>
        <v>-11.907726804911249</v>
      </c>
      <c r="BJ562">
        <f t="shared" si="454"/>
        <v>0</v>
      </c>
      <c r="BK562">
        <f t="shared" si="466"/>
        <v>0</v>
      </c>
      <c r="BM562">
        <f t="shared" si="467"/>
        <v>-61.561342431301341</v>
      </c>
      <c r="BN562">
        <f t="shared" si="455"/>
        <v>-97.838378522328355</v>
      </c>
      <c r="BQ562" s="66">
        <f t="shared" si="468"/>
        <v>16.126186940308518</v>
      </c>
    </row>
    <row r="563" spans="1:69" x14ac:dyDescent="0.15">
      <c r="A563">
        <f t="shared" si="472"/>
        <v>1745000</v>
      </c>
      <c r="B563">
        <f t="shared" si="456"/>
        <v>1745</v>
      </c>
      <c r="C563">
        <f t="shared" si="425"/>
        <v>7.3051134055230031</v>
      </c>
      <c r="D563">
        <f t="shared" si="426"/>
        <v>1.4334747354192134</v>
      </c>
      <c r="F563">
        <f t="shared" si="427"/>
        <v>7.6023005952856337E-6</v>
      </c>
      <c r="G563">
        <f t="shared" si="428"/>
        <v>9.0312050644646472E-4</v>
      </c>
      <c r="H563">
        <f t="shared" si="429"/>
        <v>-3.140689529493554</v>
      </c>
      <c r="J563">
        <f t="shared" si="430"/>
        <v>15</v>
      </c>
      <c r="M563">
        <f t="shared" si="431"/>
        <v>5.4614533662905606E-4</v>
      </c>
      <c r="N563">
        <f t="shared" si="432"/>
        <v>-1.5707963250000001</v>
      </c>
      <c r="O563">
        <f t="shared" si="433"/>
        <v>741.72598637971885</v>
      </c>
      <c r="P563">
        <f t="shared" si="434"/>
        <v>1.5694481196115071</v>
      </c>
      <c r="Q563">
        <f t="shared" si="435"/>
        <v>335.70208973348741</v>
      </c>
      <c r="R563">
        <f t="shared" si="436"/>
        <v>1.5678174907688649</v>
      </c>
      <c r="S563">
        <f t="shared" si="437"/>
        <v>0.1460015181091816</v>
      </c>
      <c r="T563">
        <f t="shared" si="438"/>
        <v>-1.4242710634786371</v>
      </c>
      <c r="U563">
        <f t="shared" si="439"/>
        <v>7.4839772325183421E-2</v>
      </c>
      <c r="V563">
        <f t="shared" si="440"/>
        <v>-1.4958865149732152</v>
      </c>
      <c r="X563">
        <f t="shared" si="457"/>
        <v>-58.146822850901849</v>
      </c>
      <c r="Y563">
        <f t="shared" si="441"/>
        <v>-175.37682859241718</v>
      </c>
      <c r="Z563">
        <f t="shared" si="458"/>
        <v>4.6231714075828165</v>
      </c>
      <c r="AC563">
        <v>1</v>
      </c>
      <c r="AD563">
        <f t="shared" si="442"/>
        <v>741.72531227602519</v>
      </c>
      <c r="AE563">
        <f t="shared" si="443"/>
        <v>-1.2198590662327424</v>
      </c>
      <c r="AF563">
        <f t="shared" si="444"/>
        <v>9.1550722209975011E-2</v>
      </c>
      <c r="AG563">
        <f t="shared" si="473"/>
        <v>44.562917663946109</v>
      </c>
      <c r="AH563">
        <f t="shared" si="474"/>
        <v>-604.697350209609</v>
      </c>
      <c r="AJ563">
        <f t="shared" si="445"/>
        <v>20000</v>
      </c>
      <c r="AK563">
        <f t="shared" si="446"/>
        <v>135516.99718746002</v>
      </c>
      <c r="AL563">
        <v>1</v>
      </c>
      <c r="AM563">
        <f t="shared" si="447"/>
        <v>335.70060031437299</v>
      </c>
      <c r="AN563">
        <f t="shared" si="475"/>
        <v>403.85799407846162</v>
      </c>
      <c r="AO563">
        <f t="shared" si="476"/>
        <v>-58.373866438041432</v>
      </c>
      <c r="AQ563">
        <f t="shared" si="448"/>
        <v>8.2101125434017334E-4</v>
      </c>
      <c r="AR563">
        <f t="shared" si="449"/>
        <v>-2.8653292776472052</v>
      </c>
      <c r="AT563">
        <f t="shared" si="470"/>
        <v>-1732.6204350143496</v>
      </c>
      <c r="AU563">
        <f t="shared" si="471"/>
        <v>-128.18389600987837</v>
      </c>
      <c r="AV563">
        <f t="shared" si="459"/>
        <v>-3.0677445160080534</v>
      </c>
      <c r="AW563">
        <f t="shared" si="460"/>
        <v>276.95050929394995</v>
      </c>
      <c r="AX563">
        <f t="shared" si="461"/>
        <v>-1885.0937334733981</v>
      </c>
      <c r="AY563">
        <f t="shared" si="469"/>
        <v>-1.4249238314430532</v>
      </c>
      <c r="BA563">
        <f t="shared" si="450"/>
        <v>0.91184007081232199</v>
      </c>
      <c r="BB563">
        <f t="shared" si="462"/>
        <v>-0.80162653286989782</v>
      </c>
      <c r="BC563">
        <f t="shared" si="463"/>
        <v>-1.6428206845650002</v>
      </c>
      <c r="BD563">
        <f t="shared" si="451"/>
        <v>-274.12669182992261</v>
      </c>
      <c r="BF563">
        <f t="shared" si="452"/>
        <v>-62.388361351858208</v>
      </c>
      <c r="BG563">
        <f t="shared" si="453"/>
        <v>-191.94289436444959</v>
      </c>
      <c r="BH563">
        <f t="shared" si="464"/>
        <v>-11.942894364449586</v>
      </c>
      <c r="BI563">
        <f t="shared" si="465"/>
        <v>-11.942894364449586</v>
      </c>
      <c r="BJ563">
        <f t="shared" si="454"/>
        <v>0</v>
      </c>
      <c r="BK563">
        <f t="shared" si="466"/>
        <v>0</v>
      </c>
      <c r="BM563">
        <f t="shared" si="467"/>
        <v>-61.586734818988312</v>
      </c>
      <c r="BN563">
        <f t="shared" si="455"/>
        <v>-97.816202534526965</v>
      </c>
      <c r="BQ563" s="66">
        <f t="shared" si="468"/>
        <v>16.100334267415239</v>
      </c>
    </row>
    <row r="564" spans="1:69" x14ac:dyDescent="0.15">
      <c r="A564">
        <f t="shared" si="472"/>
        <v>1750000</v>
      </c>
      <c r="B564">
        <f t="shared" si="456"/>
        <v>1750</v>
      </c>
      <c r="C564">
        <f t="shared" si="425"/>
        <v>7.3256532762816047</v>
      </c>
      <c r="D564">
        <f t="shared" si="426"/>
        <v>1.4338621897294936</v>
      </c>
      <c r="F564">
        <f t="shared" si="427"/>
        <v>7.5589206215301002E-6</v>
      </c>
      <c r="G564">
        <f t="shared" si="428"/>
        <v>9.0054012383671803E-4</v>
      </c>
      <c r="H564">
        <f t="shared" si="429"/>
        <v>-3.1406921098761633</v>
      </c>
      <c r="J564">
        <f t="shared" si="430"/>
        <v>15</v>
      </c>
      <c r="M564">
        <f t="shared" si="431"/>
        <v>5.4458492138154439E-4</v>
      </c>
      <c r="N564">
        <f t="shared" si="432"/>
        <v>-1.5707963250000001</v>
      </c>
      <c r="O564">
        <f t="shared" si="433"/>
        <v>743.85127188143508</v>
      </c>
      <c r="P564">
        <f t="shared" si="434"/>
        <v>1.5694519716273831</v>
      </c>
      <c r="Q564">
        <f t="shared" si="435"/>
        <v>336.66397831560005</v>
      </c>
      <c r="R564">
        <f t="shared" si="436"/>
        <v>1.5678260016788073</v>
      </c>
      <c r="S564">
        <f t="shared" si="437"/>
        <v>0.14559322574421502</v>
      </c>
      <c r="T564">
        <f t="shared" si="438"/>
        <v>-1.4246837657883948</v>
      </c>
      <c r="U564">
        <f t="shared" si="439"/>
        <v>7.4627136953321585E-2</v>
      </c>
      <c r="V564">
        <f t="shared" si="440"/>
        <v>-1.4960997466381785</v>
      </c>
      <c r="X564">
        <f t="shared" si="457"/>
        <v>-58.196325491476642</v>
      </c>
      <c r="Y564">
        <f t="shared" si="441"/>
        <v>-175.38993197226554</v>
      </c>
      <c r="Z564">
        <f t="shared" si="458"/>
        <v>4.6100680277344566</v>
      </c>
      <c r="AC564">
        <v>1</v>
      </c>
      <c r="AD564">
        <f t="shared" si="442"/>
        <v>743.85059970375005</v>
      </c>
      <c r="AE564">
        <f t="shared" si="443"/>
        <v>-1.2268596777818814</v>
      </c>
      <c r="AF564">
        <f t="shared" si="444"/>
        <v>9.1813045196250012E-2</v>
      </c>
      <c r="AG564">
        <f t="shared" si="473"/>
        <v>44.310052345839452</v>
      </c>
      <c r="AH564">
        <f t="shared" si="474"/>
        <v>-602.98856687716193</v>
      </c>
      <c r="AJ564">
        <f t="shared" si="445"/>
        <v>20000</v>
      </c>
      <c r="AK564">
        <f t="shared" si="446"/>
        <v>135905.29803900002</v>
      </c>
      <c r="AL564">
        <v>1</v>
      </c>
      <c r="AM564">
        <f t="shared" si="447"/>
        <v>336.66249315195</v>
      </c>
      <c r="AN564">
        <f t="shared" si="475"/>
        <v>403.85700186846663</v>
      </c>
      <c r="AO564">
        <f t="shared" si="476"/>
        <v>-58.2070869096991</v>
      </c>
      <c r="AQ564">
        <f t="shared" si="448"/>
        <v>8.163264639733499E-4</v>
      </c>
      <c r="AR564">
        <f t="shared" si="449"/>
        <v>-2.8571426239067246</v>
      </c>
      <c r="AT564">
        <f t="shared" si="470"/>
        <v>-1722.78816468482</v>
      </c>
      <c r="AU564">
        <f t="shared" si="471"/>
        <v>-127.09237474945124</v>
      </c>
      <c r="AV564">
        <f t="shared" si="459"/>
        <v>-3.0679547143226484</v>
      </c>
      <c r="AW564">
        <f t="shared" si="460"/>
        <v>277.67492255545136</v>
      </c>
      <c r="AX564">
        <f t="shared" si="461"/>
        <v>-1879.7215561589283</v>
      </c>
      <c r="AY564">
        <f t="shared" si="469"/>
        <v>-1.4241356726285521</v>
      </c>
      <c r="BA564">
        <f t="shared" si="450"/>
        <v>0.90913709479111582</v>
      </c>
      <c r="BB564">
        <f t="shared" si="462"/>
        <v>-0.82741243408924503</v>
      </c>
      <c r="BC564">
        <f t="shared" si="463"/>
        <v>-1.6438190416940963</v>
      </c>
      <c r="BD564">
        <f t="shared" si="451"/>
        <v>-274.18389347993201</v>
      </c>
      <c r="BF564">
        <f t="shared" si="452"/>
        <v>-62.43946436628179</v>
      </c>
      <c r="BG564">
        <f t="shared" si="453"/>
        <v>-191.97804436273358</v>
      </c>
      <c r="BH564">
        <f t="shared" si="464"/>
        <v>-11.978044362733584</v>
      </c>
      <c r="BI564">
        <f t="shared" si="465"/>
        <v>-11.978044362733584</v>
      </c>
      <c r="BJ564">
        <f t="shared" si="454"/>
        <v>0</v>
      </c>
      <c r="BK564">
        <f t="shared" si="466"/>
        <v>0</v>
      </c>
      <c r="BM564">
        <f t="shared" si="467"/>
        <v>-61.612051932192543</v>
      </c>
      <c r="BN564">
        <f t="shared" si="455"/>
        <v>-97.794150882801603</v>
      </c>
      <c r="BQ564" s="66">
        <f t="shared" si="468"/>
        <v>16.074548366195891</v>
      </c>
    </row>
    <row r="565" spans="1:69" x14ac:dyDescent="0.15">
      <c r="A565">
        <f t="shared" si="472"/>
        <v>1755000</v>
      </c>
      <c r="B565">
        <f t="shared" si="456"/>
        <v>1755</v>
      </c>
      <c r="C565">
        <f t="shared" si="425"/>
        <v>7.3461942406236709</v>
      </c>
      <c r="D565">
        <f t="shared" si="426"/>
        <v>1.4342474773468037</v>
      </c>
      <c r="F565">
        <f t="shared" si="427"/>
        <v>7.5159108919450729E-6</v>
      </c>
      <c r="G565">
        <f t="shared" si="428"/>
        <v>8.979744445877883E-4</v>
      </c>
      <c r="H565">
        <f t="shared" si="429"/>
        <v>-3.1406946755554124</v>
      </c>
      <c r="J565">
        <f t="shared" si="430"/>
        <v>15</v>
      </c>
      <c r="M565">
        <f t="shared" si="431"/>
        <v>5.4303339738900436E-4</v>
      </c>
      <c r="N565">
        <f t="shared" si="432"/>
        <v>-1.5707963250000001</v>
      </c>
      <c r="O565">
        <f t="shared" si="433"/>
        <v>745.97655739412562</v>
      </c>
      <c r="P565">
        <f t="shared" si="434"/>
        <v>1.5694558016944906</v>
      </c>
      <c r="Q565">
        <f t="shared" si="435"/>
        <v>337.62586692196015</v>
      </c>
      <c r="R565">
        <f t="shared" si="436"/>
        <v>1.5678344640939628</v>
      </c>
      <c r="S565">
        <f t="shared" si="437"/>
        <v>0.1451871860630834</v>
      </c>
      <c r="T565">
        <f t="shared" si="438"/>
        <v>-1.4250941662266403</v>
      </c>
      <c r="U565">
        <f t="shared" si="439"/>
        <v>7.4415703086100571E-2</v>
      </c>
      <c r="V565">
        <f t="shared" si="440"/>
        <v>-1.4963117700553283</v>
      </c>
      <c r="X565">
        <f t="shared" si="457"/>
        <v>-58.245688026737561</v>
      </c>
      <c r="Y565">
        <f t="shared" si="441"/>
        <v>-175.40296157313148</v>
      </c>
      <c r="Z565">
        <f t="shared" si="458"/>
        <v>4.5970384268685223</v>
      </c>
      <c r="AC565">
        <v>1</v>
      </c>
      <c r="AD565">
        <f t="shared" si="442"/>
        <v>745.97588713147513</v>
      </c>
      <c r="AE565">
        <f t="shared" si="443"/>
        <v>-1.2338803196931067</v>
      </c>
      <c r="AF565">
        <f t="shared" si="444"/>
        <v>9.2075368182525014E-2</v>
      </c>
      <c r="AG565">
        <f t="shared" si="473"/>
        <v>44.059329231804703</v>
      </c>
      <c r="AH565">
        <f t="shared" si="474"/>
        <v>-601.28936034502374</v>
      </c>
      <c r="AJ565">
        <f t="shared" si="445"/>
        <v>20000</v>
      </c>
      <c r="AK565">
        <f t="shared" si="446"/>
        <v>136293.59889054002</v>
      </c>
      <c r="AL565">
        <v>1</v>
      </c>
      <c r="AM565">
        <f t="shared" si="447"/>
        <v>337.62438598952701</v>
      </c>
      <c r="AN565">
        <f t="shared" si="475"/>
        <v>403.85601812671365</v>
      </c>
      <c r="AO565">
        <f t="shared" si="476"/>
        <v>-58.041257666977742</v>
      </c>
      <c r="AQ565">
        <f t="shared" si="448"/>
        <v>8.1168165747991835E-4</v>
      </c>
      <c r="AR565">
        <f t="shared" si="449"/>
        <v>-2.8490026177545134</v>
      </c>
      <c r="AT565">
        <f t="shared" si="470"/>
        <v>-1713.0391995015311</v>
      </c>
      <c r="AU565">
        <f t="shared" si="471"/>
        <v>-126.01319986254944</v>
      </c>
      <c r="AV565">
        <f t="shared" si="459"/>
        <v>-3.068163721673439</v>
      </c>
      <c r="AW565">
        <f t="shared" si="460"/>
        <v>278.39313892399275</v>
      </c>
      <c r="AX565">
        <f t="shared" si="461"/>
        <v>-1874.3798731191612</v>
      </c>
      <c r="AY565">
        <f t="shared" si="469"/>
        <v>-1.4233487799466249</v>
      </c>
      <c r="BA565">
        <f t="shared" si="450"/>
        <v>0.90644905912433937</v>
      </c>
      <c r="BB565">
        <f t="shared" si="462"/>
        <v>-0.85313194968909589</v>
      </c>
      <c r="BC565">
        <f t="shared" si="463"/>
        <v>-1.6448149417268141</v>
      </c>
      <c r="BD565">
        <f t="shared" si="451"/>
        <v>-274.24095434868889</v>
      </c>
      <c r="BF565">
        <f t="shared" si="452"/>
        <v>-62.490426171913626</v>
      </c>
      <c r="BG565">
        <f t="shared" si="453"/>
        <v>-192.01317687968745</v>
      </c>
      <c r="BH565">
        <f t="shared" si="464"/>
        <v>-12.01317687968745</v>
      </c>
      <c r="BI565">
        <f t="shared" si="465"/>
        <v>-12.01317687968745</v>
      </c>
      <c r="BJ565">
        <f t="shared" si="454"/>
        <v>0</v>
      </c>
      <c r="BK565">
        <f t="shared" si="466"/>
        <v>0</v>
      </c>
      <c r="BM565">
        <f t="shared" si="467"/>
        <v>-61.637294222224526</v>
      </c>
      <c r="BN565">
        <f t="shared" si="455"/>
        <v>-97.77222253099859</v>
      </c>
      <c r="BQ565" s="66">
        <f t="shared" si="468"/>
        <v>16.048828850596038</v>
      </c>
    </row>
    <row r="566" spans="1:69" x14ac:dyDescent="0.15">
      <c r="A566">
        <f t="shared" si="472"/>
        <v>1760000</v>
      </c>
      <c r="B566">
        <f t="shared" si="456"/>
        <v>1760</v>
      </c>
      <c r="C566">
        <f t="shared" si="425"/>
        <v>7.3667362894013557</v>
      </c>
      <c r="D566">
        <f t="shared" si="426"/>
        <v>1.4346306162816589</v>
      </c>
      <c r="F566">
        <f t="shared" si="427"/>
        <v>7.4732672051419115E-6</v>
      </c>
      <c r="G566">
        <f t="shared" si="428"/>
        <v>8.9542334338325218E-4</v>
      </c>
      <c r="H566">
        <f t="shared" si="429"/>
        <v>-3.1406972266566169</v>
      </c>
      <c r="J566">
        <f t="shared" si="430"/>
        <v>15</v>
      </c>
      <c r="M566">
        <f t="shared" si="431"/>
        <v>5.4149068887369468E-4</v>
      </c>
      <c r="N566">
        <f t="shared" si="432"/>
        <v>-1.5707963250000001</v>
      </c>
      <c r="O566">
        <f t="shared" si="433"/>
        <v>748.10184291769713</v>
      </c>
      <c r="P566">
        <f t="shared" si="434"/>
        <v>1.5694596099998919</v>
      </c>
      <c r="Q566">
        <f t="shared" si="435"/>
        <v>338.58775555236116</v>
      </c>
      <c r="R566">
        <f t="shared" si="436"/>
        <v>1.5678428784276346</v>
      </c>
      <c r="S566">
        <f t="shared" si="437"/>
        <v>0.14478338067955043</v>
      </c>
      <c r="T566">
        <f t="shared" si="438"/>
        <v>-1.4255022838609557</v>
      </c>
      <c r="U566">
        <f t="shared" si="439"/>
        <v>7.4205460596839495E-2</v>
      </c>
      <c r="V566">
        <f t="shared" si="440"/>
        <v>-1.4965225954463042</v>
      </c>
      <c r="X566">
        <f t="shared" si="457"/>
        <v>-58.294911244481746</v>
      </c>
      <c r="Y566">
        <f t="shared" si="441"/>
        <v>-175.41591801401893</v>
      </c>
      <c r="Z566">
        <f t="shared" si="458"/>
        <v>4.5840819859810722</v>
      </c>
      <c r="AC566">
        <v>1</v>
      </c>
      <c r="AD566">
        <f t="shared" si="442"/>
        <v>748.1011745592001</v>
      </c>
      <c r="AE566">
        <f t="shared" si="443"/>
        <v>-1.2409209919664184</v>
      </c>
      <c r="AF566">
        <f t="shared" si="444"/>
        <v>9.2337691168800015E-2</v>
      </c>
      <c r="AG566">
        <f t="shared" si="473"/>
        <v>43.810724237121548</v>
      </c>
      <c r="AH566">
        <f t="shared" si="474"/>
        <v>-599.59965078489608</v>
      </c>
      <c r="AJ566">
        <f t="shared" si="445"/>
        <v>20000</v>
      </c>
      <c r="AK566">
        <f t="shared" si="446"/>
        <v>136681.89974207999</v>
      </c>
      <c r="AL566">
        <v>1</v>
      </c>
      <c r="AM566">
        <f t="shared" si="447"/>
        <v>338.58627882710402</v>
      </c>
      <c r="AN566">
        <f t="shared" si="475"/>
        <v>403.85504275711071</v>
      </c>
      <c r="AO566">
        <f t="shared" si="476"/>
        <v>-57.876370611135954</v>
      </c>
      <c r="AQ566">
        <f t="shared" si="448"/>
        <v>8.0707638114375794E-4</v>
      </c>
      <c r="AR566">
        <f t="shared" si="449"/>
        <v>-2.8409088616260281</v>
      </c>
      <c r="AT566">
        <f t="shared" si="470"/>
        <v>-1703.3726027419107</v>
      </c>
      <c r="AU566">
        <f t="shared" si="471"/>
        <v>-124.94619743578335</v>
      </c>
      <c r="AV566">
        <f t="shared" si="459"/>
        <v>-3.0683715481347571</v>
      </c>
      <c r="AW566">
        <f t="shared" si="460"/>
        <v>279.10522891722195</v>
      </c>
      <c r="AX566">
        <f t="shared" si="461"/>
        <v>-1869.0684257621756</v>
      </c>
      <c r="AY566">
        <f t="shared" si="469"/>
        <v>-1.4225631442168809</v>
      </c>
      <c r="BA566">
        <f t="shared" si="450"/>
        <v>0.90377583877468914</v>
      </c>
      <c r="BB566">
        <f t="shared" si="462"/>
        <v>-0.87878546251029355</v>
      </c>
      <c r="BC566">
        <f t="shared" si="463"/>
        <v>-1.6458084039178762</v>
      </c>
      <c r="BD566">
        <f t="shared" si="451"/>
        <v>-274.29787553940758</v>
      </c>
      <c r="BF566">
        <f t="shared" si="452"/>
        <v>-62.541247598813939</v>
      </c>
      <c r="BG566">
        <f t="shared" si="453"/>
        <v>-192.04829199377903</v>
      </c>
      <c r="BH566">
        <f t="shared" si="464"/>
        <v>-12.048291993779031</v>
      </c>
      <c r="BI566">
        <f t="shared" si="465"/>
        <v>-12.048291993779031</v>
      </c>
      <c r="BJ566">
        <f t="shared" si="454"/>
        <v>0</v>
      </c>
      <c r="BK566">
        <f t="shared" si="466"/>
        <v>0</v>
      </c>
      <c r="BM566">
        <f t="shared" si="467"/>
        <v>-61.662462136303652</v>
      </c>
      <c r="BN566">
        <f t="shared" si="455"/>
        <v>-97.750416454371447</v>
      </c>
      <c r="BQ566" s="66">
        <f t="shared" si="468"/>
        <v>16.023175337774841</v>
      </c>
    </row>
    <row r="567" spans="1:69" x14ac:dyDescent="0.15">
      <c r="A567">
        <f t="shared" si="472"/>
        <v>1765000</v>
      </c>
      <c r="B567">
        <f t="shared" si="456"/>
        <v>1765</v>
      </c>
      <c r="C567">
        <f t="shared" si="425"/>
        <v>7.3872794135680797</v>
      </c>
      <c r="D567">
        <f t="shared" si="426"/>
        <v>1.4350116243467741</v>
      </c>
      <c r="F567">
        <f t="shared" si="427"/>
        <v>7.4309854191581676E-6</v>
      </c>
      <c r="G567">
        <f t="shared" si="428"/>
        <v>8.9288669632675479E-4</v>
      </c>
      <c r="H567">
        <f t="shared" si="429"/>
        <v>-3.1406997633036733</v>
      </c>
      <c r="J567">
        <f t="shared" si="430"/>
        <v>15</v>
      </c>
      <c r="M567">
        <f t="shared" si="431"/>
        <v>5.399567209165455E-4</v>
      </c>
      <c r="N567">
        <f t="shared" si="432"/>
        <v>-1.5707963250000001</v>
      </c>
      <c r="O567">
        <f t="shared" si="433"/>
        <v>750.22712845205695</v>
      </c>
      <c r="P567">
        <f t="shared" si="434"/>
        <v>1.5694633967285307</v>
      </c>
      <c r="Q567">
        <f t="shared" si="435"/>
        <v>339.5496442065986</v>
      </c>
      <c r="R567">
        <f t="shared" si="436"/>
        <v>1.5678512450884425</v>
      </c>
      <c r="S567">
        <f t="shared" si="437"/>
        <v>0.14438179140461957</v>
      </c>
      <c r="T567">
        <f t="shared" si="438"/>
        <v>-1.4259081375504306</v>
      </c>
      <c r="U567">
        <f t="shared" si="439"/>
        <v>7.399639947202101E-2</v>
      </c>
      <c r="V567">
        <f t="shared" si="440"/>
        <v>-1.4967322329179833</v>
      </c>
      <c r="X567">
        <f t="shared" si="457"/>
        <v>-58.34399592590492</v>
      </c>
      <c r="Y567">
        <f t="shared" si="441"/>
        <v>-175.42880190705222</v>
      </c>
      <c r="Z567">
        <f t="shared" si="458"/>
        <v>4.5711980929477818</v>
      </c>
      <c r="AC567">
        <v>1</v>
      </c>
      <c r="AD567">
        <f t="shared" si="442"/>
        <v>750.22646198692507</v>
      </c>
      <c r="AE567">
        <f t="shared" si="443"/>
        <v>-1.2479816946018161</v>
      </c>
      <c r="AF567">
        <f t="shared" si="444"/>
        <v>9.2600014155075017E-2</v>
      </c>
      <c r="AG567">
        <f t="shared" si="473"/>
        <v>43.564213613974196</v>
      </c>
      <c r="AH567">
        <f t="shared" si="474"/>
        <v>-597.91935924805239</v>
      </c>
      <c r="AJ567">
        <f t="shared" si="445"/>
        <v>20000</v>
      </c>
      <c r="AK567">
        <f t="shared" si="446"/>
        <v>137070.20059361999</v>
      </c>
      <c r="AL567">
        <v>1</v>
      </c>
      <c r="AM567">
        <f t="shared" si="447"/>
        <v>339.54817166468098</v>
      </c>
      <c r="AN567">
        <f t="shared" si="475"/>
        <v>403.85407566492546</v>
      </c>
      <c r="AO567">
        <f t="shared" si="476"/>
        <v>-57.712417735198834</v>
      </c>
      <c r="AQ567">
        <f t="shared" si="448"/>
        <v>8.0251018766620483E-4</v>
      </c>
      <c r="AR567">
        <f t="shared" si="449"/>
        <v>-2.8328609624617034</v>
      </c>
      <c r="AT567">
        <f t="shared" si="470"/>
        <v>-1693.7874507886797</v>
      </c>
      <c r="AU567">
        <f t="shared" si="471"/>
        <v>-123.89119648456959</v>
      </c>
      <c r="AV567">
        <f t="shared" si="459"/>
        <v>-3.0685782036678435</v>
      </c>
      <c r="AW567">
        <f t="shared" si="460"/>
        <v>279.81126205204095</v>
      </c>
      <c r="AX567">
        <f t="shared" si="461"/>
        <v>-1863.7869584081523</v>
      </c>
      <c r="AY567">
        <f t="shared" si="469"/>
        <v>-1.4217787563671642</v>
      </c>
      <c r="BA567">
        <f t="shared" si="450"/>
        <v>0.90111731009503004</v>
      </c>
      <c r="BB567">
        <f t="shared" si="462"/>
        <v>-0.90437335221505666</v>
      </c>
      <c r="BC567">
        <f t="shared" si="463"/>
        <v>-1.6467994473006793</v>
      </c>
      <c r="BD567">
        <f t="shared" si="451"/>
        <v>-274.35465814262147</v>
      </c>
      <c r="BF567">
        <f t="shared" si="452"/>
        <v>-62.591929469822993</v>
      </c>
      <c r="BG567">
        <f t="shared" si="453"/>
        <v>-192.08338978204702</v>
      </c>
      <c r="BH567">
        <f t="shared" si="464"/>
        <v>-12.083389782047021</v>
      </c>
      <c r="BI567">
        <f t="shared" si="465"/>
        <v>-12.083389782047021</v>
      </c>
      <c r="BJ567">
        <f t="shared" si="454"/>
        <v>0</v>
      </c>
      <c r="BK567">
        <f t="shared" si="466"/>
        <v>0</v>
      </c>
      <c r="BM567">
        <f t="shared" si="467"/>
        <v>-61.68755611760794</v>
      </c>
      <c r="BN567">
        <f t="shared" si="455"/>
        <v>-97.728731639425575</v>
      </c>
      <c r="BQ567" s="66">
        <f t="shared" si="468"/>
        <v>15.997587448070082</v>
      </c>
    </row>
    <row r="568" spans="1:69" x14ac:dyDescent="0.15">
      <c r="A568">
        <f t="shared" si="472"/>
        <v>1770000</v>
      </c>
      <c r="B568">
        <f t="shared" si="456"/>
        <v>1770</v>
      </c>
      <c r="C568">
        <f t="shared" si="425"/>
        <v>7.4078236041771479</v>
      </c>
      <c r="D568">
        <f t="shared" si="426"/>
        <v>1.4353905191597534</v>
      </c>
      <c r="F568">
        <f t="shared" si="427"/>
        <v>7.3890614504517835E-6</v>
      </c>
      <c r="G568">
        <f t="shared" si="428"/>
        <v>8.9036438092195125E-4</v>
      </c>
      <c r="H568">
        <f t="shared" si="429"/>
        <v>-3.1407022856190783</v>
      </c>
      <c r="J568">
        <f t="shared" si="430"/>
        <v>15</v>
      </c>
      <c r="M568">
        <f t="shared" si="431"/>
        <v>5.3843141944502984E-4</v>
      </c>
      <c r="N568">
        <f t="shared" si="432"/>
        <v>-1.5707963250000001</v>
      </c>
      <c r="O568">
        <f t="shared" si="433"/>
        <v>752.35241399711379</v>
      </c>
      <c r="P568">
        <f t="shared" si="434"/>
        <v>1.5694671620632601</v>
      </c>
      <c r="Q568">
        <f t="shared" si="435"/>
        <v>340.51153288447063</v>
      </c>
      <c r="R568">
        <f t="shared" si="436"/>
        <v>1.5678595644803892</v>
      </c>
      <c r="S568">
        <f t="shared" si="437"/>
        <v>0.14398240024392867</v>
      </c>
      <c r="T568">
        <f t="shared" si="438"/>
        <v>-1.4263117459484833</v>
      </c>
      <c r="U568">
        <f t="shared" si="439"/>
        <v>7.3788509809719433E-2</v>
      </c>
      <c r="V568">
        <f t="shared" si="440"/>
        <v>-1.496940692464084</v>
      </c>
      <c r="X568">
        <f t="shared" si="457"/>
        <v>-58.39294284567471</v>
      </c>
      <c r="Y568">
        <f t="shared" si="441"/>
        <v>-175.44161385757118</v>
      </c>
      <c r="Z568">
        <f t="shared" si="458"/>
        <v>4.5583861424288159</v>
      </c>
      <c r="AC568">
        <v>1</v>
      </c>
      <c r="AD568">
        <f t="shared" si="442"/>
        <v>752.35174941465016</v>
      </c>
      <c r="AE568">
        <f t="shared" si="443"/>
        <v>-1.2550624275993001</v>
      </c>
      <c r="AF568">
        <f t="shared" si="444"/>
        <v>9.2862337141350018E-2</v>
      </c>
      <c r="AG568">
        <f t="shared" si="473"/>
        <v>43.319773945822334</v>
      </c>
      <c r="AH568">
        <f t="shared" si="474"/>
        <v>-596.24840765333056</v>
      </c>
      <c r="AJ568">
        <f t="shared" si="445"/>
        <v>20000</v>
      </c>
      <c r="AK568">
        <f t="shared" si="446"/>
        <v>137458.50144516001</v>
      </c>
      <c r="AL568">
        <v>1</v>
      </c>
      <c r="AM568">
        <f t="shared" si="447"/>
        <v>340.51006450225799</v>
      </c>
      <c r="AN568">
        <f t="shared" si="475"/>
        <v>403.85311675676115</v>
      </c>
      <c r="AO568">
        <f t="shared" si="476"/>
        <v>-57.549391122661788</v>
      </c>
      <c r="AQ568">
        <f t="shared" si="448"/>
        <v>7.9798263605743592E-4</v>
      </c>
      <c r="AR568">
        <f t="shared" si="449"/>
        <v>-2.824858531643323</v>
      </c>
      <c r="AT568">
        <f t="shared" si="470"/>
        <v>-1684.2828329108502</v>
      </c>
      <c r="AU568">
        <f t="shared" si="471"/>
        <v>-122.84802889580061</v>
      </c>
      <c r="AV568">
        <f t="shared" si="459"/>
        <v>-3.0687836981224246</v>
      </c>
      <c r="AW568">
        <f t="shared" si="460"/>
        <v>280.51130686160803</v>
      </c>
      <c r="AX568">
        <f t="shared" si="461"/>
        <v>-1858.5352182485367</v>
      </c>
      <c r="AY568">
        <f t="shared" si="469"/>
        <v>-1.4209956074320012</v>
      </c>
      <c r="BA568">
        <f t="shared" si="450"/>
        <v>0.89847335080922397</v>
      </c>
      <c r="BB568">
        <f t="shared" si="462"/>
        <v>-0.92989599532138267</v>
      </c>
      <c r="BC568">
        <f t="shared" si="463"/>
        <v>-1.6477880906904234</v>
      </c>
      <c r="BD568">
        <f t="shared" si="451"/>
        <v>-274.41130323636207</v>
      </c>
      <c r="BF568">
        <f t="shared" si="452"/>
        <v>-62.642472600644297</v>
      </c>
      <c r="BG568">
        <f t="shared" si="453"/>
        <v>-192.11847032012716</v>
      </c>
      <c r="BH568">
        <f t="shared" si="464"/>
        <v>-12.118470320127159</v>
      </c>
      <c r="BI568">
        <f t="shared" si="465"/>
        <v>-12.118470320127159</v>
      </c>
      <c r="BJ568">
        <f t="shared" si="454"/>
        <v>0</v>
      </c>
      <c r="BK568">
        <f t="shared" si="466"/>
        <v>0</v>
      </c>
      <c r="BM568">
        <f t="shared" si="467"/>
        <v>-61.712576605322909</v>
      </c>
      <c r="BN568">
        <f t="shared" si="455"/>
        <v>-97.707167083765128</v>
      </c>
      <c r="BQ568" s="66">
        <f t="shared" si="468"/>
        <v>15.972064804963752</v>
      </c>
    </row>
    <row r="569" spans="1:69" x14ac:dyDescent="0.15">
      <c r="A569">
        <f t="shared" si="472"/>
        <v>1775000</v>
      </c>
      <c r="B569">
        <f t="shared" si="456"/>
        <v>1775</v>
      </c>
      <c r="C569">
        <f t="shared" si="425"/>
        <v>7.4283688523803741</v>
      </c>
      <c r="D569">
        <f t="shared" si="426"/>
        <v>1.4357673181457369</v>
      </c>
      <c r="F569">
        <f t="shared" si="427"/>
        <v>7.3474912729150625E-6</v>
      </c>
      <c r="G569">
        <f t="shared" si="428"/>
        <v>8.8785627605278688E-4</v>
      </c>
      <c r="H569">
        <f t="shared" si="429"/>
        <v>-3.1407047937239474</v>
      </c>
      <c r="J569">
        <f t="shared" si="430"/>
        <v>15</v>
      </c>
      <c r="M569">
        <f t="shared" si="431"/>
        <v>5.3691471122124107E-4</v>
      </c>
      <c r="N569">
        <f t="shared" si="432"/>
        <v>-1.5707963250000001</v>
      </c>
      <c r="O569">
        <f t="shared" si="433"/>
        <v>754.47769955277704</v>
      </c>
      <c r="P569">
        <f t="shared" si="434"/>
        <v>1.5694709061848735</v>
      </c>
      <c r="Q569">
        <f t="shared" si="435"/>
        <v>341.47342158577749</v>
      </c>
      <c r="R569">
        <f t="shared" si="436"/>
        <v>1.5678678370029251</v>
      </c>
      <c r="S569">
        <f t="shared" si="437"/>
        <v>0.14358518939518528</v>
      </c>
      <c r="T569">
        <f t="shared" si="438"/>
        <v>-1.4267131275056366</v>
      </c>
      <c r="U569">
        <f t="shared" si="439"/>
        <v>7.3581781818054914E-2</v>
      </c>
      <c r="V569">
        <f t="shared" si="440"/>
        <v>-1.4971479839667419</v>
      </c>
      <c r="X569">
        <f t="shared" si="457"/>
        <v>-58.441752772002886</v>
      </c>
      <c r="Y569">
        <f t="shared" si="441"/>
        <v>-175.45435446422445</v>
      </c>
      <c r="Z569">
        <f t="shared" si="458"/>
        <v>4.5456455357755488</v>
      </c>
      <c r="AC569">
        <v>1</v>
      </c>
      <c r="AD569">
        <f t="shared" si="442"/>
        <v>754.47703684237513</v>
      </c>
      <c r="AE569">
        <f t="shared" si="443"/>
        <v>-1.2621631909588704</v>
      </c>
      <c r="AF569">
        <f t="shared" si="444"/>
        <v>9.312466012762502E-2</v>
      </c>
      <c r="AG569">
        <f t="shared" si="473"/>
        <v>43.077382141881323</v>
      </c>
      <c r="AH569">
        <f t="shared" si="474"/>
        <v>-594.58671877532174</v>
      </c>
      <c r="AJ569">
        <f t="shared" si="445"/>
        <v>20000</v>
      </c>
      <c r="AK569">
        <f t="shared" si="446"/>
        <v>137846.80229670001</v>
      </c>
      <c r="AL569">
        <v>1</v>
      </c>
      <c r="AM569">
        <f t="shared" si="447"/>
        <v>341.471957339835</v>
      </c>
      <c r="AN569">
        <f t="shared" si="475"/>
        <v>403.85216594053463</v>
      </c>
      <c r="AO569">
        <f t="shared" si="476"/>
        <v>-57.387282946216452</v>
      </c>
      <c r="AQ569">
        <f t="shared" si="448"/>
        <v>7.9349329152999073E-4</v>
      </c>
      <c r="AR569">
        <f t="shared" si="449"/>
        <v>-2.8169011849314671</v>
      </c>
      <c r="AT569">
        <f t="shared" si="470"/>
        <v>-1674.8578510489706</v>
      </c>
      <c r="AU569">
        <f t="shared" si="471"/>
        <v>-121.81652937179217</v>
      </c>
      <c r="AV569">
        <f t="shared" si="459"/>
        <v>-3.0689880412382671</v>
      </c>
      <c r="AW569">
        <f t="shared" si="460"/>
        <v>281.2054309120042</v>
      </c>
      <c r="AX569">
        <f t="shared" si="461"/>
        <v>-1853.3129553058993</v>
      </c>
      <c r="AY569">
        <f t="shared" si="469"/>
        <v>-1.4202136885510774</v>
      </c>
      <c r="BA569">
        <f t="shared" si="450"/>
        <v>0.89584383999326433</v>
      </c>
      <c r="BB569">
        <f t="shared" si="462"/>
        <v>-0.95535376523707494</v>
      </c>
      <c r="BC569">
        <f t="shared" si="463"/>
        <v>-1.6487743526871896</v>
      </c>
      <c r="BD569">
        <f t="shared" si="451"/>
        <v>-274.46781188633543</v>
      </c>
      <c r="BF569">
        <f t="shared" si="452"/>
        <v>-62.692877799926883</v>
      </c>
      <c r="BG569">
        <f t="shared" si="453"/>
        <v>-192.15353368227798</v>
      </c>
      <c r="BH569">
        <f t="shared" si="464"/>
        <v>-12.153533682277981</v>
      </c>
      <c r="BI569">
        <f t="shared" si="465"/>
        <v>-12.153533682277981</v>
      </c>
      <c r="BJ569">
        <f t="shared" si="454"/>
        <v>0</v>
      </c>
      <c r="BK569">
        <f t="shared" si="466"/>
        <v>0</v>
      </c>
      <c r="BM569">
        <f t="shared" si="467"/>
        <v>-61.737524034689805</v>
      </c>
      <c r="BN569">
        <f t="shared" si="455"/>
        <v>-97.685721795942527</v>
      </c>
      <c r="BQ569" s="66">
        <f t="shared" si="468"/>
        <v>15.946607035048061</v>
      </c>
    </row>
    <row r="570" spans="1:69" x14ac:dyDescent="0.15">
      <c r="A570">
        <f t="shared" si="472"/>
        <v>1780000</v>
      </c>
      <c r="B570">
        <f t="shared" si="456"/>
        <v>1780</v>
      </c>
      <c r="C570">
        <f t="shared" si="425"/>
        <v>7.4489151494267407</v>
      </c>
      <c r="D570">
        <f t="shared" si="426"/>
        <v>1.4361420385400065</v>
      </c>
      <c r="F570">
        <f t="shared" si="427"/>
        <v>7.3062709169080352E-6</v>
      </c>
      <c r="G570">
        <f t="shared" si="428"/>
        <v>8.8536226196411034E-4</v>
      </c>
      <c r="H570">
        <f t="shared" si="429"/>
        <v>-3.140707287738036</v>
      </c>
      <c r="J570">
        <f t="shared" si="430"/>
        <v>15</v>
      </c>
      <c r="M570">
        <f t="shared" si="431"/>
        <v>5.3540652383017009E-4</v>
      </c>
      <c r="N570">
        <f t="shared" si="432"/>
        <v>-1.5707963250000001</v>
      </c>
      <c r="O570">
        <f t="shared" si="433"/>
        <v>756.60298511895769</v>
      </c>
      <c r="P570">
        <f t="shared" si="434"/>
        <v>1.5694746292721329</v>
      </c>
      <c r="Q570">
        <f t="shared" si="435"/>
        <v>342.43531031032165</v>
      </c>
      <c r="R570">
        <f t="shared" si="436"/>
        <v>1.5678760630510129</v>
      </c>
      <c r="S570">
        <f t="shared" si="437"/>
        <v>0.14319014124564189</v>
      </c>
      <c r="T570">
        <f t="shared" si="438"/>
        <v>-1.4271123004722484</v>
      </c>
      <c r="U570">
        <f t="shared" si="439"/>
        <v>7.3376205813673281E-2</v>
      </c>
      <c r="V570">
        <f t="shared" si="440"/>
        <v>-1.4973541171980602</v>
      </c>
      <c r="X570">
        <f t="shared" si="457"/>
        <v>-58.490426466716691</v>
      </c>
      <c r="Y570">
        <f t="shared" si="441"/>
        <v>-175.46702431906141</v>
      </c>
      <c r="Z570">
        <f t="shared" si="458"/>
        <v>4.5329756809385913</v>
      </c>
      <c r="AC570">
        <v>1</v>
      </c>
      <c r="AD570">
        <f t="shared" si="442"/>
        <v>756.6023242701001</v>
      </c>
      <c r="AE570">
        <f t="shared" si="443"/>
        <v>-1.2692839846805268</v>
      </c>
      <c r="AF570">
        <f t="shared" si="444"/>
        <v>9.3386983113900007E-2</v>
      </c>
      <c r="AG570">
        <f t="shared" si="473"/>
        <v>42.837015431709375</v>
      </c>
      <c r="AH570">
        <f t="shared" si="474"/>
        <v>-592.93421623274935</v>
      </c>
      <c r="AJ570">
        <f t="shared" si="445"/>
        <v>20000</v>
      </c>
      <c r="AK570">
        <f t="shared" si="446"/>
        <v>138235.10314824001</v>
      </c>
      <c r="AL570">
        <v>1</v>
      </c>
      <c r="AM570">
        <f t="shared" si="447"/>
        <v>342.43385017741201</v>
      </c>
      <c r="AN570">
        <f t="shared" si="475"/>
        <v>403.85122312545462</v>
      </c>
      <c r="AO570">
        <f t="shared" si="476"/>
        <v>-57.226085466497977</v>
      </c>
      <c r="AQ570">
        <f t="shared" si="448"/>
        <v>7.8904172539438473E-4</v>
      </c>
      <c r="AR570">
        <f t="shared" si="449"/>
        <v>-2.8089885424040095</v>
      </c>
      <c r="AT570">
        <f t="shared" si="470"/>
        <v>-1665.5116196045274</v>
      </c>
      <c r="AU570">
        <f t="shared" si="471"/>
        <v>-120.79653537547703</v>
      </c>
      <c r="AV570">
        <f t="shared" si="459"/>
        <v>-3.0691912426467041</v>
      </c>
      <c r="AW570">
        <f t="shared" si="460"/>
        <v>281.89370081857192</v>
      </c>
      <c r="AX570">
        <f t="shared" si="461"/>
        <v>-1848.1199223944564</v>
      </c>
      <c r="AY570">
        <f t="shared" si="469"/>
        <v>-1.4194329909677388</v>
      </c>
      <c r="BA570">
        <f t="shared" si="450"/>
        <v>0.89322865805672669</v>
      </c>
      <c r="BB570">
        <f t="shared" si="462"/>
        <v>-0.98074703229325011</v>
      </c>
      <c r="BC570">
        <f t="shared" si="463"/>
        <v>-1.6497582516789653</v>
      </c>
      <c r="BD570">
        <f t="shared" si="451"/>
        <v>-274.52418514609582</v>
      </c>
      <c r="BF570">
        <f t="shared" si="452"/>
        <v>-62.743145869346264</v>
      </c>
      <c r="BG570">
        <f t="shared" si="453"/>
        <v>-192.18857994140615</v>
      </c>
      <c r="BH570">
        <f t="shared" si="464"/>
        <v>-12.188579941406147</v>
      </c>
      <c r="BI570">
        <f t="shared" si="465"/>
        <v>-12.188579941406147</v>
      </c>
      <c r="BJ570">
        <f t="shared" si="454"/>
        <v>0</v>
      </c>
      <c r="BK570">
        <f t="shared" si="466"/>
        <v>0</v>
      </c>
      <c r="BM570">
        <f t="shared" si="467"/>
        <v>-61.762398837053013</v>
      </c>
      <c r="BN570">
        <f t="shared" si="455"/>
        <v>-97.664394795310358</v>
      </c>
      <c r="BQ570" s="66">
        <f t="shared" si="468"/>
        <v>15.921213767991887</v>
      </c>
    </row>
    <row r="571" spans="1:69" x14ac:dyDescent="0.15">
      <c r="A571">
        <f t="shared" si="472"/>
        <v>1785000</v>
      </c>
      <c r="B571">
        <f t="shared" si="456"/>
        <v>1785</v>
      </c>
      <c r="C571">
        <f t="shared" si="425"/>
        <v>7.4694624866610679</v>
      </c>
      <c r="D571">
        <f t="shared" si="426"/>
        <v>1.4365146973905463</v>
      </c>
      <c r="F571">
        <f t="shared" si="427"/>
        <v>7.2653964683107343E-6</v>
      </c>
      <c r="G571">
        <f t="shared" si="428"/>
        <v>8.8288222024261352E-4</v>
      </c>
      <c r="H571">
        <f t="shared" si="429"/>
        <v>-3.1407097677797577</v>
      </c>
      <c r="J571">
        <f t="shared" si="430"/>
        <v>15</v>
      </c>
      <c r="M571">
        <f t="shared" si="431"/>
        <v>5.339067856681808E-4</v>
      </c>
      <c r="N571">
        <f t="shared" si="432"/>
        <v>-1.5707963250000001</v>
      </c>
      <c r="O571">
        <f t="shared" si="433"/>
        <v>758.72827069556695</v>
      </c>
      <c r="P571">
        <f t="shared" si="434"/>
        <v>1.5694783315017966</v>
      </c>
      <c r="Q571">
        <f t="shared" si="435"/>
        <v>343.39719905790793</v>
      </c>
      <c r="R571">
        <f t="shared" si="436"/>
        <v>1.5678842430151896</v>
      </c>
      <c r="S571">
        <f t="shared" si="437"/>
        <v>0.1427972383696102</v>
      </c>
      <c r="T571">
        <f t="shared" si="438"/>
        <v>-1.4275092829011986</v>
      </c>
      <c r="U571">
        <f t="shared" si="439"/>
        <v>7.3171772220250828E-2</v>
      </c>
      <c r="V571">
        <f t="shared" si="440"/>
        <v>-1.4975591018216339</v>
      </c>
      <c r="X571">
        <f t="shared" si="457"/>
        <v>-58.538964685329098</v>
      </c>
      <c r="Y571">
        <f t="shared" si="441"/>
        <v>-175.47962400762248</v>
      </c>
      <c r="Z571">
        <f t="shared" si="458"/>
        <v>4.5203759923775237</v>
      </c>
      <c r="AC571">
        <v>1</v>
      </c>
      <c r="AD571">
        <f t="shared" si="442"/>
        <v>758.72761169782507</v>
      </c>
      <c r="AE571">
        <f t="shared" si="443"/>
        <v>-1.2764248087642696</v>
      </c>
      <c r="AF571">
        <f t="shared" si="444"/>
        <v>9.3649306100175009E-2</v>
      </c>
      <c r="AG571">
        <f t="shared" si="473"/>
        <v>42.598651359898895</v>
      </c>
      <c r="AH571">
        <f t="shared" si="474"/>
        <v>-591.29082447703536</v>
      </c>
      <c r="AJ571">
        <f t="shared" si="445"/>
        <v>20000</v>
      </c>
      <c r="AK571">
        <f t="shared" si="446"/>
        <v>138623.40399978001</v>
      </c>
      <c r="AL571">
        <v>1</v>
      </c>
      <c r="AM571">
        <f t="shared" si="447"/>
        <v>343.39574301498902</v>
      </c>
      <c r="AN571">
        <f t="shared" si="475"/>
        <v>403.85028822199916</v>
      </c>
      <c r="AO571">
        <f t="shared" si="476"/>
        <v>-57.065791030853397</v>
      </c>
      <c r="AQ571">
        <f t="shared" si="448"/>
        <v>7.8462751495676579E-4</v>
      </c>
      <c r="AR571">
        <f t="shared" si="449"/>
        <v>-2.801120228395654</v>
      </c>
      <c r="AT571">
        <f t="shared" si="470"/>
        <v>-1656.2432652334107</v>
      </c>
      <c r="AU571">
        <f t="shared" si="471"/>
        <v>-119.78788707681298</v>
      </c>
      <c r="AV571">
        <f t="shared" si="459"/>
        <v>-3.0693933118721386</v>
      </c>
      <c r="AW571">
        <f t="shared" si="460"/>
        <v>282.57618226193023</v>
      </c>
      <c r="AX571">
        <f t="shared" si="461"/>
        <v>-1842.9558750812548</v>
      </c>
      <c r="AY571">
        <f t="shared" si="469"/>
        <v>-1.4186535060275181</v>
      </c>
      <c r="BA571">
        <f t="shared" si="450"/>
        <v>0.89062768672451642</v>
      </c>
      <c r="BB571">
        <f t="shared" si="462"/>
        <v>-1.0060761637774587</v>
      </c>
      <c r="BC571">
        <f t="shared" si="463"/>
        <v>-1.6507398058446205</v>
      </c>
      <c r="BD571">
        <f t="shared" si="451"/>
        <v>-274.58042405721562</v>
      </c>
      <c r="BF571">
        <f t="shared" si="452"/>
        <v>-62.793277603684274</v>
      </c>
      <c r="BG571">
        <f t="shared" si="453"/>
        <v>-192.22360916909128</v>
      </c>
      <c r="BH571">
        <f t="shared" si="464"/>
        <v>-12.223609169091276</v>
      </c>
      <c r="BI571">
        <f t="shared" si="465"/>
        <v>-12.223609169091276</v>
      </c>
      <c r="BJ571">
        <f t="shared" si="454"/>
        <v>0</v>
      </c>
      <c r="BK571">
        <f t="shared" si="466"/>
        <v>0</v>
      </c>
      <c r="BM571">
        <f t="shared" si="467"/>
        <v>-61.787201439906809</v>
      </c>
      <c r="BN571">
        <f t="shared" si="455"/>
        <v>-97.643185111875667</v>
      </c>
      <c r="BQ571" s="66">
        <f t="shared" si="468"/>
        <v>15.895884636507677</v>
      </c>
    </row>
    <row r="572" spans="1:69" x14ac:dyDescent="0.15">
      <c r="A572">
        <f t="shared" si="472"/>
        <v>1790000</v>
      </c>
      <c r="B572">
        <f t="shared" si="456"/>
        <v>1790</v>
      </c>
      <c r="C572">
        <f t="shared" si="425"/>
        <v>7.4900108555227165</v>
      </c>
      <c r="D572">
        <f t="shared" si="426"/>
        <v>1.4368853115605649</v>
      </c>
      <c r="F572">
        <f t="shared" si="427"/>
        <v>7.2248640675939753E-6</v>
      </c>
      <c r="G572">
        <f t="shared" si="428"/>
        <v>8.8041603379808854E-4</v>
      </c>
      <c r="H572">
        <f t="shared" si="429"/>
        <v>-3.1407122339662021</v>
      </c>
      <c r="J572">
        <f t="shared" si="430"/>
        <v>15</v>
      </c>
      <c r="M572">
        <f t="shared" si="431"/>
        <v>5.3241542593167757E-4</v>
      </c>
      <c r="N572">
        <f t="shared" si="432"/>
        <v>-1.5707963250000001</v>
      </c>
      <c r="O572">
        <f t="shared" si="433"/>
        <v>760.85355628251773</v>
      </c>
      <c r="P572">
        <f t="shared" si="434"/>
        <v>1.5694820130486491</v>
      </c>
      <c r="Q572">
        <f t="shared" si="435"/>
        <v>344.35908782834304</v>
      </c>
      <c r="R572">
        <f t="shared" si="436"/>
        <v>1.5678923772816287</v>
      </c>
      <c r="S572">
        <f t="shared" si="437"/>
        <v>0.1424064635260141</v>
      </c>
      <c r="T572">
        <f t="shared" si="438"/>
        <v>-1.4279040926505346</v>
      </c>
      <c r="U572">
        <f t="shared" si="439"/>
        <v>7.2968471567023685E-2</v>
      </c>
      <c r="V572">
        <f t="shared" si="440"/>
        <v>-1.4977629473940492</v>
      </c>
      <c r="X572">
        <f t="shared" si="457"/>
        <v>-58.587368177108196</v>
      </c>
      <c r="Y572">
        <f t="shared" si="441"/>
        <v>-175.49215410902804</v>
      </c>
      <c r="Z572">
        <f t="shared" si="458"/>
        <v>4.5078458909719643</v>
      </c>
      <c r="AC572">
        <v>1</v>
      </c>
      <c r="AD572">
        <f t="shared" si="442"/>
        <v>760.85289912555004</v>
      </c>
      <c r="AE572">
        <f t="shared" si="443"/>
        <v>-1.2835856632100986</v>
      </c>
      <c r="AF572">
        <f t="shared" si="444"/>
        <v>9.391162908645001E-2</v>
      </c>
      <c r="AG572">
        <f t="shared" si="473"/>
        <v>42.362267780870219</v>
      </c>
      <c r="AH572">
        <f t="shared" si="474"/>
        <v>-589.65646878105247</v>
      </c>
      <c r="AJ572">
        <f t="shared" si="445"/>
        <v>20000</v>
      </c>
      <c r="AK572">
        <f t="shared" si="446"/>
        <v>139011.70485131998</v>
      </c>
      <c r="AL572">
        <v>1</v>
      </c>
      <c r="AM572">
        <f t="shared" si="447"/>
        <v>344.35763585256598</v>
      </c>
      <c r="AN572">
        <f t="shared" si="475"/>
        <v>403.84936114189514</v>
      </c>
      <c r="AO572">
        <f t="shared" si="476"/>
        <v>-56.906392072130629</v>
      </c>
      <c r="AQ572">
        <f t="shared" si="448"/>
        <v>7.8025024341856972E-4</v>
      </c>
      <c r="AR572">
        <f t="shared" si="449"/>
        <v>-2.7932958714384797</v>
      </c>
      <c r="AT572">
        <f t="shared" si="470"/>
        <v>-1647.0519266433589</v>
      </c>
      <c r="AU572">
        <f t="shared" si="471"/>
        <v>-118.79042730037585</v>
      </c>
      <c r="AV572">
        <f t="shared" si="459"/>
        <v>-3.0695942583335198</v>
      </c>
      <c r="AW572">
        <f t="shared" si="460"/>
        <v>283.25294000367859</v>
      </c>
      <c r="AX572">
        <f t="shared" si="461"/>
        <v>-1837.8205716479997</v>
      </c>
      <c r="AY572">
        <f t="shared" si="469"/>
        <v>-1.4178752251766875</v>
      </c>
      <c r="BA572">
        <f t="shared" si="450"/>
        <v>0.88804080901891913</v>
      </c>
      <c r="BB572">
        <f t="shared" si="462"/>
        <v>-1.0313415239663151</v>
      </c>
      <c r="BC572">
        <f t="shared" si="463"/>
        <v>-1.6517190331568323</v>
      </c>
      <c r="BD572">
        <f t="shared" si="451"/>
        <v>-274.63652964945339</v>
      </c>
      <c r="BF572">
        <f t="shared" si="452"/>
        <v>-62.843273790907723</v>
      </c>
      <c r="BG572">
        <f t="shared" si="453"/>
        <v>-192.25862143560988</v>
      </c>
      <c r="BH572">
        <f t="shared" si="464"/>
        <v>-12.258621435609882</v>
      </c>
      <c r="BI572">
        <f t="shared" si="465"/>
        <v>-12.258621435609882</v>
      </c>
      <c r="BJ572">
        <f t="shared" si="454"/>
        <v>0</v>
      </c>
      <c r="BK572">
        <f t="shared" si="466"/>
        <v>0</v>
      </c>
      <c r="BM572">
        <f t="shared" si="467"/>
        <v>-61.811932266941412</v>
      </c>
      <c r="BN572">
        <f t="shared" si="455"/>
        <v>-97.622091786156517</v>
      </c>
      <c r="BQ572" s="66">
        <f t="shared" si="468"/>
        <v>15.87061927631882</v>
      </c>
    </row>
    <row r="573" spans="1:69" x14ac:dyDescent="0.15">
      <c r="A573">
        <f t="shared" si="472"/>
        <v>1795000</v>
      </c>
      <c r="B573">
        <f t="shared" si="456"/>
        <v>1795</v>
      </c>
      <c r="C573">
        <f t="shared" si="425"/>
        <v>7.5105602475443067</v>
      </c>
      <c r="D573">
        <f t="shared" si="426"/>
        <v>1.4372538977309763</v>
      </c>
      <c r="F573">
        <f t="shared" si="427"/>
        <v>7.1846699089082435E-6</v>
      </c>
      <c r="G573">
        <f t="shared" si="428"/>
        <v>8.7796358684499973E-4</v>
      </c>
      <c r="H573">
        <f t="shared" si="429"/>
        <v>-3.1407146864131552</v>
      </c>
      <c r="J573">
        <f t="shared" si="430"/>
        <v>15</v>
      </c>
      <c r="M573">
        <f t="shared" si="431"/>
        <v>5.3093237460596259E-4</v>
      </c>
      <c r="N573">
        <f t="shared" si="432"/>
        <v>-1.5707963250000001</v>
      </c>
      <c r="O573">
        <f t="shared" si="433"/>
        <v>762.97884187972352</v>
      </c>
      <c r="P573">
        <f t="shared" si="434"/>
        <v>1.5694856740855263</v>
      </c>
      <c r="Q573">
        <f t="shared" si="435"/>
        <v>345.32097662143627</v>
      </c>
      <c r="R573">
        <f t="shared" si="436"/>
        <v>1.5679004662322014</v>
      </c>
      <c r="S573">
        <f t="shared" si="437"/>
        <v>0.14201779965598035</v>
      </c>
      <c r="T573">
        <f t="shared" si="438"/>
        <v>-1.4282967473860724</v>
      </c>
      <c r="U573">
        <f t="shared" si="439"/>
        <v>7.2766294487341399E-2</v>
      </c>
      <c r="V573">
        <f t="shared" si="440"/>
        <v>-1.4979656633663581</v>
      </c>
      <c r="X573">
        <f t="shared" si="457"/>
        <v>-58.635637685145561</v>
      </c>
      <c r="Y573">
        <f t="shared" si="441"/>
        <v>-175.5046151960658</v>
      </c>
      <c r="Z573">
        <f t="shared" si="458"/>
        <v>4.4953848039342006</v>
      </c>
      <c r="AC573">
        <v>1</v>
      </c>
      <c r="AD573">
        <f t="shared" si="442"/>
        <v>762.97818655327512</v>
      </c>
      <c r="AE573">
        <f t="shared" si="443"/>
        <v>-1.2907665480180137</v>
      </c>
      <c r="AF573">
        <f t="shared" si="444"/>
        <v>9.4173952072725012E-2</v>
      </c>
      <c r="AG573">
        <f t="shared" si="473"/>
        <v>42.127842853765152</v>
      </c>
      <c r="AH573">
        <f t="shared" si="474"/>
        <v>-588.03107522805487</v>
      </c>
      <c r="AJ573">
        <f t="shared" si="445"/>
        <v>20000</v>
      </c>
      <c r="AK573">
        <f t="shared" si="446"/>
        <v>139400.00570286001</v>
      </c>
      <c r="AL573">
        <v>1</v>
      </c>
      <c r="AM573">
        <f t="shared" si="447"/>
        <v>345.31952869014299</v>
      </c>
      <c r="AN573">
        <f t="shared" si="475"/>
        <v>403.84844179809704</v>
      </c>
      <c r="AO573">
        <f t="shared" si="476"/>
        <v>-56.747881107487643</v>
      </c>
      <c r="AQ573">
        <f t="shared" si="448"/>
        <v>7.7590949977812869E-4</v>
      </c>
      <c r="AR573">
        <f t="shared" si="449"/>
        <v>-2.785515104203482</v>
      </c>
      <c r="AT573">
        <f t="shared" si="470"/>
        <v>-1637.9367543952853</v>
      </c>
      <c r="AU573">
        <f t="shared" si="471"/>
        <v>-117.80400147410775</v>
      </c>
      <c r="AV573">
        <f t="shared" si="459"/>
        <v>-3.0697940913457957</v>
      </c>
      <c r="AW573">
        <f t="shared" si="460"/>
        <v>283.92403790179151</v>
      </c>
      <c r="AX573">
        <f t="shared" si="461"/>
        <v>-1832.7137730535146</v>
      </c>
      <c r="AY573">
        <f t="shared" si="469"/>
        <v>-1.4170981399608347</v>
      </c>
      <c r="BA573">
        <f t="shared" si="450"/>
        <v>0.88546790924193963</v>
      </c>
      <c r="BB573">
        <f t="shared" si="462"/>
        <v>-1.0565434741577271</v>
      </c>
      <c r="BC573">
        <f t="shared" si="463"/>
        <v>-1.6526959513849611</v>
      </c>
      <c r="BD573">
        <f t="shared" si="451"/>
        <v>-274.69250294091853</v>
      </c>
      <c r="BF573">
        <f t="shared" si="452"/>
        <v>-62.893135212246008</v>
      </c>
      <c r="BG573">
        <f t="shared" si="453"/>
        <v>-192.29361680995947</v>
      </c>
      <c r="BH573">
        <f t="shared" si="464"/>
        <v>-12.293616809959474</v>
      </c>
      <c r="BI573">
        <f t="shared" si="465"/>
        <v>-12.293616809959474</v>
      </c>
      <c r="BJ573">
        <f t="shared" si="454"/>
        <v>0</v>
      </c>
      <c r="BK573">
        <f t="shared" si="466"/>
        <v>0</v>
      </c>
      <c r="BM573">
        <f t="shared" si="467"/>
        <v>-61.836591738088281</v>
      </c>
      <c r="BN573">
        <f t="shared" si="455"/>
        <v>-97.601113869040972</v>
      </c>
      <c r="BQ573" s="66">
        <f t="shared" si="468"/>
        <v>15.845417326127409</v>
      </c>
    </row>
    <row r="574" spans="1:69" x14ac:dyDescent="0.15">
      <c r="A574">
        <f t="shared" si="472"/>
        <v>1800000</v>
      </c>
      <c r="B574">
        <f t="shared" si="456"/>
        <v>1800</v>
      </c>
      <c r="C574">
        <f t="shared" si="425"/>
        <v>7.531110654350452</v>
      </c>
      <c r="D574">
        <f t="shared" si="426"/>
        <v>1.4376204724028414</v>
      </c>
      <c r="F574">
        <f t="shared" si="427"/>
        <v>7.1448102391902446E-6</v>
      </c>
      <c r="G574">
        <f t="shared" si="428"/>
        <v>8.7552476488436399E-4</v>
      </c>
      <c r="H574">
        <f t="shared" si="429"/>
        <v>-3.140717125235116</v>
      </c>
      <c r="J574">
        <f t="shared" si="430"/>
        <v>15</v>
      </c>
      <c r="M574">
        <f t="shared" si="431"/>
        <v>5.2945756245427933E-4</v>
      </c>
      <c r="N574">
        <f t="shared" si="432"/>
        <v>-1.5707963250000001</v>
      </c>
      <c r="O574">
        <f t="shared" si="433"/>
        <v>765.10412748709894</v>
      </c>
      <c r="P574">
        <f t="shared" si="434"/>
        <v>1.5694893147833449</v>
      </c>
      <c r="Q574">
        <f t="shared" si="435"/>
        <v>346.28286543699869</v>
      </c>
      <c r="R574">
        <f t="shared" si="436"/>
        <v>1.5679085102445356</v>
      </c>
      <c r="S574">
        <f t="shared" si="437"/>
        <v>0.14163122988046647</v>
      </c>
      <c r="T574">
        <f t="shared" si="438"/>
        <v>-1.428687264583959</v>
      </c>
      <c r="U574">
        <f t="shared" si="439"/>
        <v>7.2565231717244078E-2</v>
      </c>
      <c r="V574">
        <f t="shared" si="440"/>
        <v>-1.4981672590855275</v>
      </c>
      <c r="X574">
        <f t="shared" si="457"/>
        <v>-58.683773946423742</v>
      </c>
      <c r="Y574">
        <f t="shared" si="441"/>
        <v>-175.51700783527696</v>
      </c>
      <c r="Z574">
        <f t="shared" si="458"/>
        <v>4.4829921647230435</v>
      </c>
      <c r="AC574">
        <v>1</v>
      </c>
      <c r="AD574">
        <f t="shared" si="442"/>
        <v>765.10347398100009</v>
      </c>
      <c r="AE574">
        <f t="shared" si="443"/>
        <v>-1.2979674631880151</v>
      </c>
      <c r="AF574">
        <f t="shared" si="444"/>
        <v>9.4436275058999999E-2</v>
      </c>
      <c r="AG574">
        <f t="shared" si="473"/>
        <v>41.895355037438257</v>
      </c>
      <c r="AH574">
        <f t="shared" si="474"/>
        <v>-586.41457070078752</v>
      </c>
      <c r="AJ574">
        <f t="shared" si="445"/>
        <v>20000</v>
      </c>
      <c r="AK574">
        <f t="shared" si="446"/>
        <v>139788.30655440001</v>
      </c>
      <c r="AL574">
        <v>1</v>
      </c>
      <c r="AM574">
        <f t="shared" si="447"/>
        <v>346.28142152772</v>
      </c>
      <c r="AN574">
        <f t="shared" si="475"/>
        <v>403.84753010476646</v>
      </c>
      <c r="AO574">
        <f t="shared" si="476"/>
        <v>-56.590250737221695</v>
      </c>
      <c r="AQ574">
        <f t="shared" si="448"/>
        <v>7.7160487873419148E-4</v>
      </c>
      <c r="AR574">
        <f t="shared" si="449"/>
        <v>-2.7777775634430895</v>
      </c>
      <c r="AT574">
        <f t="shared" si="470"/>
        <v>-1628.8969107084156</v>
      </c>
      <c r="AU574">
        <f t="shared" si="471"/>
        <v>-116.82845757919195</v>
      </c>
      <c r="AV574">
        <f t="shared" si="459"/>
        <v>-3.0699928201213424</v>
      </c>
      <c r="AW574">
        <f t="shared" si="460"/>
        <v>284.58953892571384</v>
      </c>
      <c r="AX574">
        <f t="shared" si="461"/>
        <v>-1827.6352428968239</v>
      </c>
      <c r="AY574">
        <f t="shared" si="469"/>
        <v>-1.4163222420234625</v>
      </c>
      <c r="BA574">
        <f t="shared" si="450"/>
        <v>0.88290887295792753</v>
      </c>
      <c r="BB574">
        <f t="shared" si="462"/>
        <v>-1.0816823727026985</v>
      </c>
      <c r="BC574">
        <f t="shared" si="463"/>
        <v>-1.65367057809788</v>
      </c>
      <c r="BD574">
        <f t="shared" si="451"/>
        <v>-274.74834493823329</v>
      </c>
      <c r="BF574">
        <f t="shared" si="452"/>
        <v>-62.942862642267563</v>
      </c>
      <c r="BG574">
        <f t="shared" si="453"/>
        <v>-192.32859535988149</v>
      </c>
      <c r="BH574">
        <f t="shared" si="464"/>
        <v>-12.32859535988149</v>
      </c>
      <c r="BI574">
        <f t="shared" si="465"/>
        <v>-12.32859535988149</v>
      </c>
      <c r="BJ574">
        <f t="shared" si="454"/>
        <v>0</v>
      </c>
      <c r="BK574">
        <f t="shared" si="466"/>
        <v>0</v>
      </c>
      <c r="BM574">
        <f t="shared" si="467"/>
        <v>-61.861180269564869</v>
      </c>
      <c r="BN574">
        <f t="shared" si="455"/>
        <v>-97.580250421648216</v>
      </c>
      <c r="BQ574" s="66">
        <f t="shared" si="468"/>
        <v>15.820278427582437</v>
      </c>
    </row>
    <row r="575" spans="1:69" x14ac:dyDescent="0.15">
      <c r="A575">
        <f t="shared" si="472"/>
        <v>1805000</v>
      </c>
      <c r="B575">
        <f t="shared" si="456"/>
        <v>1805</v>
      </c>
      <c r="C575">
        <f t="shared" si="425"/>
        <v>7.5516620676565278</v>
      </c>
      <c r="D575">
        <f t="shared" si="426"/>
        <v>1.4379850518997694</v>
      </c>
      <c r="F575">
        <f t="shared" si="427"/>
        <v>7.1052813572867965E-6</v>
      </c>
      <c r="G575">
        <f t="shared" si="428"/>
        <v>8.7309945468592781E-4</v>
      </c>
      <c r="H575">
        <f t="shared" si="429"/>
        <v>-3.1407195505453145</v>
      </c>
      <c r="J575">
        <f t="shared" si="430"/>
        <v>15</v>
      </c>
      <c r="M575">
        <f t="shared" si="431"/>
        <v>5.2799092100703755E-4</v>
      </c>
      <c r="N575">
        <f t="shared" si="432"/>
        <v>-1.5707963250000001</v>
      </c>
      <c r="O575">
        <f t="shared" si="433"/>
        <v>767.22941310455917</v>
      </c>
      <c r="P575">
        <f t="shared" si="434"/>
        <v>1.5694929353111267</v>
      </c>
      <c r="Q575">
        <f t="shared" si="435"/>
        <v>347.24475427484361</v>
      </c>
      <c r="R575">
        <f t="shared" si="436"/>
        <v>1.5679165096920751</v>
      </c>
      <c r="S575">
        <f t="shared" si="437"/>
        <v>0.14124673749792505</v>
      </c>
      <c r="T575">
        <f t="shared" si="438"/>
        <v>-1.4290756615331917</v>
      </c>
      <c r="U575">
        <f t="shared" si="439"/>
        <v>7.2365274094062779E-2</v>
      </c>
      <c r="V575">
        <f t="shared" si="440"/>
        <v>-1.4983677437958676</v>
      </c>
      <c r="X575">
        <f t="shared" si="457"/>
        <v>-58.731777691882805</v>
      </c>
      <c r="Y575">
        <f t="shared" si="441"/>
        <v>-175.52933258704067</v>
      </c>
      <c r="Z575">
        <f t="shared" si="458"/>
        <v>4.4706674129593296</v>
      </c>
      <c r="AC575">
        <v>1</v>
      </c>
      <c r="AD575">
        <f t="shared" si="442"/>
        <v>767.22876140872518</v>
      </c>
      <c r="AE575">
        <f t="shared" si="443"/>
        <v>-1.3051884087201029</v>
      </c>
      <c r="AF575">
        <f t="shared" si="444"/>
        <v>9.4698598045275001E-2</v>
      </c>
      <c r="AG575">
        <f t="shared" si="473"/>
        <v>41.664783085543867</v>
      </c>
      <c r="AH575">
        <f t="shared" si="474"/>
        <v>-584.80688287076987</v>
      </c>
      <c r="AJ575">
        <f t="shared" si="445"/>
        <v>20000</v>
      </c>
      <c r="AK575">
        <f t="shared" si="446"/>
        <v>140176.60740594001</v>
      </c>
      <c r="AL575">
        <v>1</v>
      </c>
      <c r="AM575">
        <f t="shared" si="447"/>
        <v>347.24331436529695</v>
      </c>
      <c r="AN575">
        <f t="shared" si="475"/>
        <v>403.84662597725259</v>
      </c>
      <c r="AO575">
        <f t="shared" si="476"/>
        <v>-56.433493643617751</v>
      </c>
      <c r="AQ575">
        <f t="shared" si="448"/>
        <v>7.6733598059131069E-4</v>
      </c>
      <c r="AR575">
        <f t="shared" si="449"/>
        <v>-2.7700828899346313</v>
      </c>
      <c r="AT575">
        <f t="shared" si="470"/>
        <v>-1619.9315692691405</v>
      </c>
      <c r="AU575">
        <f t="shared" si="471"/>
        <v>-115.86364610102709</v>
      </c>
      <c r="AV575">
        <f t="shared" si="459"/>
        <v>-3.07019045377137</v>
      </c>
      <c r="AW575">
        <f t="shared" si="460"/>
        <v>285.24950517116298</v>
      </c>
      <c r="AX575">
        <f t="shared" si="461"/>
        <v>-1822.5847473808408</v>
      </c>
      <c r="AY575">
        <f t="shared" si="469"/>
        <v>-1.4155475231046137</v>
      </c>
      <c r="BA575">
        <f t="shared" si="450"/>
        <v>0.88036358697648653</v>
      </c>
      <c r="BB575">
        <f t="shared" si="462"/>
        <v>-1.1067585750366837</v>
      </c>
      <c r="BC575">
        <f t="shared" si="463"/>
        <v>-1.6546429306667563</v>
      </c>
      <c r="BD575">
        <f t="shared" si="451"/>
        <v>-274.80405663669228</v>
      </c>
      <c r="BF575">
        <f t="shared" si="452"/>
        <v>-62.992456848955207</v>
      </c>
      <c r="BG575">
        <f t="shared" si="453"/>
        <v>-192.36355715188415</v>
      </c>
      <c r="BH575">
        <f t="shared" si="464"/>
        <v>-12.363557151884152</v>
      </c>
      <c r="BI575">
        <f t="shared" si="465"/>
        <v>-12.363557151884152</v>
      </c>
      <c r="BJ575">
        <f t="shared" si="454"/>
        <v>0</v>
      </c>
      <c r="BK575">
        <f t="shared" si="466"/>
        <v>0</v>
      </c>
      <c r="BM575">
        <f t="shared" si="467"/>
        <v>-61.885698273918521</v>
      </c>
      <c r="BN575">
        <f t="shared" si="455"/>
        <v>-97.5595005151919</v>
      </c>
      <c r="BQ575" s="66">
        <f t="shared" si="468"/>
        <v>15.795202225248453</v>
      </c>
    </row>
    <row r="576" spans="1:69" x14ac:dyDescent="0.15">
      <c r="A576">
        <f t="shared" si="472"/>
        <v>1810000</v>
      </c>
      <c r="B576">
        <f t="shared" si="456"/>
        <v>1810</v>
      </c>
      <c r="C576">
        <f t="shared" si="425"/>
        <v>7.5722144792674424</v>
      </c>
      <c r="D576">
        <f t="shared" si="426"/>
        <v>1.4383476523702832</v>
      </c>
      <c r="F576">
        <f t="shared" si="427"/>
        <v>7.0660796130956034E-6</v>
      </c>
      <c r="G576">
        <f t="shared" si="428"/>
        <v>8.7068754427064557E-4</v>
      </c>
      <c r="H576">
        <f t="shared" si="429"/>
        <v>-3.1407219624557294</v>
      </c>
      <c r="J576">
        <f t="shared" si="430"/>
        <v>15</v>
      </c>
      <c r="M576">
        <f t="shared" si="431"/>
        <v>5.2653238255121696E-4</v>
      </c>
      <c r="N576">
        <f t="shared" si="432"/>
        <v>-1.5707963250000001</v>
      </c>
      <c r="O576">
        <f t="shared" si="433"/>
        <v>769.35469873202101</v>
      </c>
      <c r="P576">
        <f t="shared" si="434"/>
        <v>1.5694965358360264</v>
      </c>
      <c r="Q576">
        <f t="shared" si="435"/>
        <v>348.20664313478636</v>
      </c>
      <c r="R576">
        <f t="shared" si="436"/>
        <v>1.5679244649441373</v>
      </c>
      <c r="S576">
        <f t="shared" si="437"/>
        <v>0.140864305982004</v>
      </c>
      <c r="T576">
        <f t="shared" si="438"/>
        <v>-1.4294619553380996</v>
      </c>
      <c r="U576">
        <f t="shared" si="439"/>
        <v>7.2166412555042622E-2</v>
      </c>
      <c r="V576">
        <f t="shared" si="440"/>
        <v>-1.4985671266404328</v>
      </c>
      <c r="X576">
        <f t="shared" si="457"/>
        <v>-58.779649646485971</v>
      </c>
      <c r="Y576">
        <f t="shared" si="441"/>
        <v>-175.54159000565735</v>
      </c>
      <c r="Z576">
        <f t="shared" si="458"/>
        <v>4.4584099943426452</v>
      </c>
      <c r="AC576">
        <v>1</v>
      </c>
      <c r="AD576">
        <f t="shared" si="442"/>
        <v>769.35404883645015</v>
      </c>
      <c r="AE576">
        <f t="shared" si="443"/>
        <v>-1.3124293846142767</v>
      </c>
      <c r="AF576">
        <f t="shared" si="444"/>
        <v>9.4960921031550002E-2</v>
      </c>
      <c r="AG576">
        <f t="shared" si="473"/>
        <v>41.436106041716428</v>
      </c>
      <c r="AH576">
        <f t="shared" si="474"/>
        <v>-583.20794018774927</v>
      </c>
      <c r="AJ576">
        <f t="shared" si="445"/>
        <v>20000</v>
      </c>
      <c r="AK576">
        <f t="shared" si="446"/>
        <v>140564.90825748001</v>
      </c>
      <c r="AL576">
        <v>1</v>
      </c>
      <c r="AM576">
        <f t="shared" si="447"/>
        <v>348.20520720287396</v>
      </c>
      <c r="AN576">
        <f t="shared" si="475"/>
        <v>403.84572933207187</v>
      </c>
      <c r="AO576">
        <f t="shared" si="476"/>
        <v>-56.277602589816148</v>
      </c>
      <c r="AQ576">
        <f t="shared" si="448"/>
        <v>7.6310241116705753E-4</v>
      </c>
      <c r="AR576">
        <f t="shared" si="449"/>
        <v>-2.7624307284247482</v>
      </c>
      <c r="AT576">
        <f t="shared" si="470"/>
        <v>-1611.0399150435114</v>
      </c>
      <c r="AU576">
        <f t="shared" si="471"/>
        <v>-114.90941998127288</v>
      </c>
      <c r="AV576">
        <f t="shared" si="459"/>
        <v>-3.0703870013073034</v>
      </c>
      <c r="AW576">
        <f t="shared" si="460"/>
        <v>285.90399787464332</v>
      </c>
      <c r="AX576">
        <f t="shared" si="461"/>
        <v>-1817.5620552766568</v>
      </c>
      <c r="AY576">
        <f t="shared" si="469"/>
        <v>-1.4147739750395163</v>
      </c>
      <c r="BA576">
        <f t="shared" si="450"/>
        <v>0.87783193933565506</v>
      </c>
      <c r="BB576">
        <f t="shared" si="462"/>
        <v>-1.1317724337105759</v>
      </c>
      <c r="BC576">
        <f t="shared" si="463"/>
        <v>-1.6556130262677871</v>
      </c>
      <c r="BD576">
        <f t="shared" si="451"/>
        <v>-274.85963902041902</v>
      </c>
      <c r="BF576">
        <f t="shared" si="452"/>
        <v>-63.041918593780501</v>
      </c>
      <c r="BG576">
        <f t="shared" si="453"/>
        <v>-192.3985022512648</v>
      </c>
      <c r="BH576">
        <f t="shared" si="464"/>
        <v>-12.398502251264802</v>
      </c>
      <c r="BI576">
        <f t="shared" si="465"/>
        <v>-12.398502251264802</v>
      </c>
      <c r="BJ576">
        <f t="shared" si="454"/>
        <v>0</v>
      </c>
      <c r="BK576">
        <f t="shared" si="466"/>
        <v>0</v>
      </c>
      <c r="BM576">
        <f t="shared" si="467"/>
        <v>-61.910146160069921</v>
      </c>
      <c r="BN576">
        <f t="shared" si="455"/>
        <v>-97.538863230845763</v>
      </c>
      <c r="BQ576" s="66">
        <f t="shared" si="468"/>
        <v>15.77018836657456</v>
      </c>
    </row>
    <row r="577" spans="1:69" x14ac:dyDescent="0.15">
      <c r="A577">
        <f t="shared" si="472"/>
        <v>1815000</v>
      </c>
      <c r="B577">
        <f t="shared" si="456"/>
        <v>1815</v>
      </c>
      <c r="C577">
        <f t="shared" si="425"/>
        <v>7.592767881076437</v>
      </c>
      <c r="D577">
        <f t="shared" si="426"/>
        <v>1.4387082897901455</v>
      </c>
      <c r="F577">
        <f t="shared" si="427"/>
        <v>7.027201406722595E-6</v>
      </c>
      <c r="G577">
        <f t="shared" si="428"/>
        <v>8.6828892289344249E-4</v>
      </c>
      <c r="H577">
        <f t="shared" si="429"/>
        <v>-3.140724361077107</v>
      </c>
      <c r="J577">
        <f t="shared" si="430"/>
        <v>15</v>
      </c>
      <c r="M577">
        <f t="shared" si="431"/>
        <v>5.2508188011994637E-4</v>
      </c>
      <c r="N577">
        <f t="shared" si="432"/>
        <v>-1.5707963250000001</v>
      </c>
      <c r="O577">
        <f t="shared" si="433"/>
        <v>771.47998436940145</v>
      </c>
      <c r="P577">
        <f t="shared" si="434"/>
        <v>1.5695001165233569</v>
      </c>
      <c r="Q577">
        <f t="shared" si="435"/>
        <v>349.16853201664429</v>
      </c>
      <c r="R577">
        <f t="shared" si="436"/>
        <v>1.5679323763659703</v>
      </c>
      <c r="S577">
        <f t="shared" si="437"/>
        <v>0.14048391897928181</v>
      </c>
      <c r="T577">
        <f t="shared" si="438"/>
        <v>-1.4298461629207857</v>
      </c>
      <c r="U577">
        <f t="shared" si="439"/>
        <v>7.1968638135988292E-2</v>
      </c>
      <c r="V577">
        <f t="shared" si="440"/>
        <v>-1.4987654166624029</v>
      </c>
      <c r="X577">
        <f t="shared" si="457"/>
        <v>-58.827390529284422</v>
      </c>
      <c r="Y577">
        <f t="shared" si="441"/>
        <v>-175.55378063943078</v>
      </c>
      <c r="Z577">
        <f t="shared" si="458"/>
        <v>4.4462193605692164</v>
      </c>
      <c r="AC577">
        <v>1</v>
      </c>
      <c r="AD577">
        <f t="shared" si="442"/>
        <v>771.47933626417512</v>
      </c>
      <c r="AE577">
        <f t="shared" si="443"/>
        <v>-1.3196903908705369</v>
      </c>
      <c r="AF577">
        <f t="shared" si="444"/>
        <v>9.5223244017825004E-2</v>
      </c>
      <c r="AG577">
        <f t="shared" si="473"/>
        <v>41.209303234842565</v>
      </c>
      <c r="AH577">
        <f t="shared" si="474"/>
        <v>-581.61767186932343</v>
      </c>
      <c r="AJ577">
        <f t="shared" si="445"/>
        <v>20000</v>
      </c>
      <c r="AK577">
        <f t="shared" si="446"/>
        <v>140953.20910901998</v>
      </c>
      <c r="AL577">
        <v>1</v>
      </c>
      <c r="AM577">
        <f t="shared" si="447"/>
        <v>349.16710004045103</v>
      </c>
      <c r="AN577">
        <f t="shared" si="475"/>
        <v>403.84484008688889</v>
      </c>
      <c r="AO577">
        <f t="shared" si="476"/>
        <v>-56.122570418698942</v>
      </c>
      <c r="AQ577">
        <f t="shared" si="448"/>
        <v>7.5890378170102358E-4</v>
      </c>
      <c r="AR577">
        <f t="shared" si="449"/>
        <v>-2.7548207275747156</v>
      </c>
      <c r="AT577">
        <f t="shared" si="470"/>
        <v>-1602.2211440932956</v>
      </c>
      <c r="AU577">
        <f t="shared" si="471"/>
        <v>-113.96563457094186</v>
      </c>
      <c r="AV577">
        <f t="shared" si="459"/>
        <v>-3.0705824716421439</v>
      </c>
      <c r="AW577">
        <f t="shared" si="460"/>
        <v>286.55307742767974</v>
      </c>
      <c r="AX577">
        <f t="shared" si="461"/>
        <v>-1812.5669378884106</v>
      </c>
      <c r="AY577">
        <f t="shared" si="469"/>
        <v>-1.414001589757254</v>
      </c>
      <c r="BA577">
        <f t="shared" si="450"/>
        <v>0.87531381928536256</v>
      </c>
      <c r="BB577">
        <f t="shared" si="462"/>
        <v>-1.1567242984212365</v>
      </c>
      <c r="BC577">
        <f t="shared" si="463"/>
        <v>-1.6565808818848899</v>
      </c>
      <c r="BD577">
        <f t="shared" si="451"/>
        <v>-274.91509306252044</v>
      </c>
      <c r="BF577">
        <f t="shared" si="452"/>
        <v>-63.091248631776978</v>
      </c>
      <c r="BG577">
        <f t="shared" si="453"/>
        <v>-192.4334307221317</v>
      </c>
      <c r="BH577">
        <f t="shared" si="464"/>
        <v>-12.433430722131703</v>
      </c>
      <c r="BI577">
        <f t="shared" si="465"/>
        <v>-12.433430722131703</v>
      </c>
      <c r="BJ577">
        <f t="shared" si="454"/>
        <v>0</v>
      </c>
      <c r="BK577">
        <f t="shared" si="466"/>
        <v>0</v>
      </c>
      <c r="BM577">
        <f t="shared" si="467"/>
        <v>-61.934524333355739</v>
      </c>
      <c r="BN577">
        <f t="shared" si="455"/>
        <v>-97.518337659611277</v>
      </c>
      <c r="BQ577" s="66">
        <f t="shared" si="468"/>
        <v>15.7452365018639</v>
      </c>
    </row>
    <row r="578" spans="1:69" x14ac:dyDescent="0.15">
      <c r="A578">
        <f t="shared" si="472"/>
        <v>1820000</v>
      </c>
      <c r="B578">
        <f t="shared" si="456"/>
        <v>1820</v>
      </c>
      <c r="C578">
        <f t="shared" si="425"/>
        <v>7.6133222650639132</v>
      </c>
      <c r="D578">
        <f t="shared" si="426"/>
        <v>1.4390669799646494</v>
      </c>
      <c r="F578">
        <f t="shared" si="427"/>
        <v>6.9886431876554438E-6</v>
      </c>
      <c r="G578">
        <f t="shared" si="428"/>
        <v>8.6590348102626505E-4</v>
      </c>
      <c r="H578">
        <f t="shared" si="429"/>
        <v>-3.1407267465189741</v>
      </c>
      <c r="J578">
        <f t="shared" si="430"/>
        <v>15</v>
      </c>
      <c r="M578">
        <f t="shared" si="431"/>
        <v>5.2363934748225424E-4</v>
      </c>
      <c r="N578">
        <f t="shared" si="432"/>
        <v>-1.5707963250000001</v>
      </c>
      <c r="O578">
        <f t="shared" si="433"/>
        <v>773.60527001661922</v>
      </c>
      <c r="P578">
        <f t="shared" si="434"/>
        <v>1.5695036775366142</v>
      </c>
      <c r="Q578">
        <f t="shared" si="435"/>
        <v>350.13042092023682</v>
      </c>
      <c r="R578">
        <f t="shared" si="436"/>
        <v>1.567940244318808</v>
      </c>
      <c r="S578">
        <f t="shared" si="437"/>
        <v>0.1401055603070378</v>
      </c>
      <c r="T578">
        <f t="shared" si="438"/>
        <v>-1.4302283010235288</v>
      </c>
      <c r="U578">
        <f t="shared" si="439"/>
        <v>7.1771941969931474E-2</v>
      </c>
      <c r="V578">
        <f t="shared" si="440"/>
        <v>-1.4989626228064412</v>
      </c>
      <c r="X578">
        <f t="shared" si="457"/>
        <v>-58.875001053481114</v>
      </c>
      <c r="Y578">
        <f t="shared" si="441"/>
        <v>-175.56590503074835</v>
      </c>
      <c r="Z578">
        <f t="shared" si="458"/>
        <v>4.434094969251646</v>
      </c>
      <c r="AC578">
        <v>1</v>
      </c>
      <c r="AD578">
        <f t="shared" si="442"/>
        <v>773.60462369190009</v>
      </c>
      <c r="AE578">
        <f t="shared" si="443"/>
        <v>-1.3269714274888831</v>
      </c>
      <c r="AF578">
        <f t="shared" si="444"/>
        <v>9.5485567004100005E-2</v>
      </c>
      <c r="AG578">
        <f t="shared" si="473"/>
        <v>40.984354274422557</v>
      </c>
      <c r="AH578">
        <f t="shared" si="474"/>
        <v>-580.03600789072618</v>
      </c>
      <c r="AJ578">
        <f t="shared" si="445"/>
        <v>20000</v>
      </c>
      <c r="AK578">
        <f t="shared" si="446"/>
        <v>141341.50996056001</v>
      </c>
      <c r="AL578">
        <v>1</v>
      </c>
      <c r="AM578">
        <f t="shared" si="447"/>
        <v>350.12899287802799</v>
      </c>
      <c r="AN578">
        <f t="shared" si="475"/>
        <v>403.84395816049852</v>
      </c>
      <c r="AO578">
        <f t="shared" si="476"/>
        <v>-55.96839005179465</v>
      </c>
      <c r="AQ578">
        <f t="shared" si="448"/>
        <v>7.547397087655696E-4</v>
      </c>
      <c r="AR578">
        <f t="shared" si="449"/>
        <v>-2.7472525399066736</v>
      </c>
      <c r="AT578">
        <f t="shared" si="470"/>
        <v>-1593.4744633955158</v>
      </c>
      <c r="AU578">
        <f t="shared" si="471"/>
        <v>-113.03214758451129</v>
      </c>
      <c r="AV578">
        <f t="shared" si="459"/>
        <v>-3.0707768735918064</v>
      </c>
      <c r="AW578">
        <f t="shared" si="460"/>
        <v>287.19680339077888</v>
      </c>
      <c r="AX578">
        <f t="shared" si="461"/>
        <v>-1807.59916901874</v>
      </c>
      <c r="AY578">
        <f t="shared" si="469"/>
        <v>-1.4132303592794559</v>
      </c>
      <c r="BA578">
        <f t="shared" si="450"/>
        <v>0.87280911727114519</v>
      </c>
      <c r="BB578">
        <f t="shared" si="462"/>
        <v>-1.1816145160416871</v>
      </c>
      <c r="BC578">
        <f t="shared" si="463"/>
        <v>-1.6575465143123504</v>
      </c>
      <c r="BD578">
        <f t="shared" si="451"/>
        <v>-274.97041972523812</v>
      </c>
      <c r="BF578">
        <f t="shared" si="452"/>
        <v>-63.140447711612431</v>
      </c>
      <c r="BG578">
        <f t="shared" si="453"/>
        <v>-192.46834262742544</v>
      </c>
      <c r="BH578">
        <f t="shared" si="464"/>
        <v>-12.468342627425443</v>
      </c>
      <c r="BI578">
        <f t="shared" si="465"/>
        <v>-12.468342627425443</v>
      </c>
      <c r="BJ578">
        <f t="shared" si="454"/>
        <v>0</v>
      </c>
      <c r="BK578">
        <f t="shared" si="466"/>
        <v>0</v>
      </c>
      <c r="BM578">
        <f t="shared" si="467"/>
        <v>-61.958833195570747</v>
      </c>
      <c r="BN578">
        <f t="shared" si="455"/>
        <v>-97.497922902187341</v>
      </c>
      <c r="BQ578" s="66">
        <f t="shared" si="468"/>
        <v>15.720346284243449</v>
      </c>
    </row>
    <row r="579" spans="1:69" x14ac:dyDescent="0.15">
      <c r="A579">
        <f t="shared" si="472"/>
        <v>1825000</v>
      </c>
      <c r="B579">
        <f t="shared" si="456"/>
        <v>1825</v>
      </c>
      <c r="C579">
        <f t="shared" si="425"/>
        <v>7.6338776232962582</v>
      </c>
      <c r="D579">
        <f t="shared" si="426"/>
        <v>1.4394237385308717</v>
      </c>
      <c r="F579">
        <f t="shared" si="427"/>
        <v>6.9504014539529159E-6</v>
      </c>
      <c r="G579">
        <f t="shared" si="428"/>
        <v>8.6353111034140806E-4</v>
      </c>
      <c r="H579">
        <f t="shared" si="429"/>
        <v>-3.1407291188896589</v>
      </c>
      <c r="J579">
        <f t="shared" si="430"/>
        <v>15</v>
      </c>
      <c r="M579">
        <f t="shared" si="431"/>
        <v>5.2220471913298782E-4</v>
      </c>
      <c r="N579">
        <f t="shared" si="432"/>
        <v>-1.5707963250000001</v>
      </c>
      <c r="O579">
        <f t="shared" si="433"/>
        <v>775.73055567359302</v>
      </c>
      <c r="P579">
        <f t="shared" si="434"/>
        <v>1.5695072190375023</v>
      </c>
      <c r="Q579">
        <f t="shared" si="435"/>
        <v>351.09230984538533</v>
      </c>
      <c r="R579">
        <f t="shared" si="436"/>
        <v>1.5679480691599261</v>
      </c>
      <c r="S579">
        <f t="shared" si="437"/>
        <v>0.13972921395105592</v>
      </c>
      <c r="T579">
        <f t="shared" si="438"/>
        <v>-1.4306083862111509</v>
      </c>
      <c r="U579">
        <f t="shared" si="439"/>
        <v>7.1576315285819675E-2</v>
      </c>
      <c r="V579">
        <f t="shared" si="440"/>
        <v>-1.4991587539200286</v>
      </c>
      <c r="X579">
        <f t="shared" si="457"/>
        <v>-58.92248192649393</v>
      </c>
      <c r="Y579">
        <f t="shared" si="441"/>
        <v>-175.57796371616061</v>
      </c>
      <c r="Z579">
        <f t="shared" si="458"/>
        <v>4.4220362838393896</v>
      </c>
      <c r="AC579">
        <v>1</v>
      </c>
      <c r="AD579">
        <f t="shared" si="442"/>
        <v>775.72991111962506</v>
      </c>
      <c r="AE579">
        <f t="shared" si="443"/>
        <v>-1.3342724944693158</v>
      </c>
      <c r="AF579">
        <f t="shared" si="444"/>
        <v>9.5747889990375007E-2</v>
      </c>
      <c r="AG579">
        <f t="shared" si="473"/>
        <v>40.761239046019412</v>
      </c>
      <c r="AH579">
        <f t="shared" si="474"/>
        <v>-578.46287897477532</v>
      </c>
      <c r="AJ579">
        <f t="shared" si="445"/>
        <v>20000</v>
      </c>
      <c r="AK579">
        <f t="shared" si="446"/>
        <v>141729.81081210001</v>
      </c>
      <c r="AL579">
        <v>1</v>
      </c>
      <c r="AM579">
        <f t="shared" si="447"/>
        <v>351.090885715605</v>
      </c>
      <c r="AN579">
        <f t="shared" si="475"/>
        <v>403.84308347280529</v>
      </c>
      <c r="AO579">
        <f t="shared" si="476"/>
        <v>-55.815054488200865</v>
      </c>
      <c r="AQ579">
        <f t="shared" si="448"/>
        <v>7.5060981417828378E-4</v>
      </c>
      <c r="AR579">
        <f t="shared" si="449"/>
        <v>-2.7397258217507359</v>
      </c>
      <c r="AT579">
        <f t="shared" si="470"/>
        <v>-1584.7990906653968</v>
      </c>
      <c r="AU579">
        <f t="shared" si="471"/>
        <v>-112.10881905503001</v>
      </c>
      <c r="AV579">
        <f t="shared" si="459"/>
        <v>-3.0709702158764345</v>
      </c>
      <c r="AW579">
        <f t="shared" si="460"/>
        <v>287.83523450711795</v>
      </c>
      <c r="AX579">
        <f t="shared" si="461"/>
        <v>-1802.658524934785</v>
      </c>
      <c r="AY579">
        <f t="shared" si="469"/>
        <v>-1.4124602757190121</v>
      </c>
      <c r="BA579">
        <f t="shared" si="450"/>
        <v>0.8703177249181282</v>
      </c>
      <c r="BB579">
        <f t="shared" si="462"/>
        <v>-1.2064434306508478</v>
      </c>
      <c r="BC579">
        <f t="shared" si="463"/>
        <v>-1.6585099401574224</v>
      </c>
      <c r="BD579">
        <f t="shared" si="451"/>
        <v>-275.02561996009763</v>
      </c>
      <c r="BF579">
        <f t="shared" si="452"/>
        <v>-63.1895165756601</v>
      </c>
      <c r="BG579">
        <f t="shared" si="453"/>
        <v>-192.50323802893976</v>
      </c>
      <c r="BH579">
        <f t="shared" si="464"/>
        <v>-12.503238028939762</v>
      </c>
      <c r="BI579">
        <f t="shared" si="465"/>
        <v>-12.503238028939762</v>
      </c>
      <c r="BJ579">
        <f t="shared" si="454"/>
        <v>0</v>
      </c>
      <c r="BK579">
        <f t="shared" si="466"/>
        <v>0</v>
      </c>
      <c r="BM579">
        <f t="shared" si="467"/>
        <v>-61.983073145009257</v>
      </c>
      <c r="BN579">
        <f t="shared" si="455"/>
        <v>-97.477618068842148</v>
      </c>
      <c r="BQ579" s="66">
        <f t="shared" si="468"/>
        <v>15.695517369634288</v>
      </c>
    </row>
    <row r="580" spans="1:69" x14ac:dyDescent="0.15">
      <c r="A580">
        <f t="shared" si="472"/>
        <v>1830000</v>
      </c>
      <c r="B580">
        <f t="shared" si="456"/>
        <v>1830</v>
      </c>
      <c r="C580">
        <f t="shared" si="425"/>
        <v>7.6544339479247041</v>
      </c>
      <c r="D580">
        <f t="shared" si="426"/>
        <v>1.4397785809598918</v>
      </c>
      <c r="F580">
        <f t="shared" si="427"/>
        <v>6.9124727514496909E-6</v>
      </c>
      <c r="G580">
        <f t="shared" si="428"/>
        <v>8.6117170369511583E-4</v>
      </c>
      <c r="H580">
        <f t="shared" si="429"/>
        <v>-3.1407314782963049</v>
      </c>
      <c r="J580">
        <f t="shared" si="430"/>
        <v>15</v>
      </c>
      <c r="M580">
        <f t="shared" si="431"/>
        <v>5.2077793028289764E-4</v>
      </c>
      <c r="N580">
        <f t="shared" si="432"/>
        <v>-1.5707963250000001</v>
      </c>
      <c r="O580">
        <f t="shared" si="433"/>
        <v>777.85584134024305</v>
      </c>
      <c r="P580">
        <f t="shared" si="434"/>
        <v>1.569510741185959</v>
      </c>
      <c r="Q580">
        <f t="shared" si="435"/>
        <v>352.05419879191305</v>
      </c>
      <c r="R580">
        <f t="shared" si="436"/>
        <v>1.5679558512426957</v>
      </c>
      <c r="S580">
        <f t="shared" si="437"/>
        <v>0.1393548640634622</v>
      </c>
      <c r="T580">
        <f t="shared" si="438"/>
        <v>-1.4309864348733448</v>
      </c>
      <c r="U580">
        <f t="shared" si="439"/>
        <v>7.1381749407226261E-2</v>
      </c>
      <c r="V580">
        <f t="shared" si="440"/>
        <v>-1.499353818754779</v>
      </c>
      <c r="X580">
        <f t="shared" si="457"/>
        <v>-58.969833850017757</v>
      </c>
      <c r="Y580">
        <f t="shared" si="441"/>
        <v>-175.58995722645923</v>
      </c>
      <c r="Z580">
        <f t="shared" si="458"/>
        <v>4.4100427735407663</v>
      </c>
      <c r="AC580">
        <v>1</v>
      </c>
      <c r="AD580">
        <f t="shared" si="442"/>
        <v>777.85519854735014</v>
      </c>
      <c r="AE580">
        <f t="shared" si="443"/>
        <v>-1.3415935918118347</v>
      </c>
      <c r="AF580">
        <f t="shared" si="444"/>
        <v>9.6010212976650008E-2</v>
      </c>
      <c r="AG580">
        <f t="shared" si="473"/>
        <v>40.539937706793779</v>
      </c>
      <c r="AH580">
        <f t="shared" si="474"/>
        <v>-576.89821658198036</v>
      </c>
      <c r="AJ580">
        <f t="shared" si="445"/>
        <v>20000</v>
      </c>
      <c r="AK580">
        <f t="shared" si="446"/>
        <v>142118.11166364001</v>
      </c>
      <c r="AL580">
        <v>1</v>
      </c>
      <c r="AM580">
        <f t="shared" si="447"/>
        <v>352.05277855318201</v>
      </c>
      <c r="AN580">
        <f t="shared" si="475"/>
        <v>403.84221594480721</v>
      </c>
      <c r="AO580">
        <f t="shared" si="476"/>
        <v>-55.662556803524694</v>
      </c>
      <c r="AQ580">
        <f t="shared" si="448"/>
        <v>7.4651372491611235E-4</v>
      </c>
      <c r="AR580">
        <f t="shared" si="449"/>
        <v>-2.7322402331929712</v>
      </c>
      <c r="AT580">
        <f t="shared" si="470"/>
        <v>-1576.1942541826538</v>
      </c>
      <c r="AU580">
        <f t="shared" si="471"/>
        <v>-111.19551129019683</v>
      </c>
      <c r="AV580">
        <f t="shared" si="459"/>
        <v>-3.0711625071216964</v>
      </c>
      <c r="AW580">
        <f t="shared" si="460"/>
        <v>288.46842871597522</v>
      </c>
      <c r="AX580">
        <f t="shared" si="461"/>
        <v>-1797.7447843347577</v>
      </c>
      <c r="AY580">
        <f t="shared" si="469"/>
        <v>-1.4116913312788051</v>
      </c>
      <c r="BA580">
        <f t="shared" si="450"/>
        <v>0.86783953501526012</v>
      </c>
      <c r="BB580">
        <f t="shared" si="462"/>
        <v>-1.2312113835629253</v>
      </c>
      <c r="BC580">
        <f t="shared" si="463"/>
        <v>-1.6594711758428913</v>
      </c>
      <c r="BD580">
        <f t="shared" si="451"/>
        <v>-275.08069470805526</v>
      </c>
      <c r="BF580">
        <f t="shared" si="452"/>
        <v>-63.238455960068904</v>
      </c>
      <c r="BG580">
        <f t="shared" si="453"/>
        <v>-192.53811698734231</v>
      </c>
      <c r="BH580">
        <f t="shared" si="464"/>
        <v>-12.538116987342306</v>
      </c>
      <c r="BI580">
        <f t="shared" si="465"/>
        <v>-12.538116987342306</v>
      </c>
      <c r="BJ580">
        <f t="shared" si="454"/>
        <v>0</v>
      </c>
      <c r="BK580">
        <f t="shared" si="466"/>
        <v>0</v>
      </c>
      <c r="BM580">
        <f t="shared" si="467"/>
        <v>-62.007244576505975</v>
      </c>
      <c r="BN580">
        <f t="shared" si="455"/>
        <v>-97.45742227928703</v>
      </c>
      <c r="BQ580" s="66">
        <f t="shared" si="468"/>
        <v>15.670749416722211</v>
      </c>
    </row>
    <row r="581" spans="1:69" x14ac:dyDescent="0.15">
      <c r="A581">
        <f t="shared" si="472"/>
        <v>1835000</v>
      </c>
      <c r="B581">
        <f t="shared" si="456"/>
        <v>1835</v>
      </c>
      <c r="C581">
        <f t="shared" si="425"/>
        <v>7.6749912311842081</v>
      </c>
      <c r="D581">
        <f t="shared" si="426"/>
        <v>1.4401315225589753</v>
      </c>
      <c r="F581">
        <f t="shared" si="427"/>
        <v>6.8748536729763492E-6</v>
      </c>
      <c r="G581">
        <f t="shared" si="428"/>
        <v>8.5882515511145202E-4</v>
      </c>
      <c r="H581">
        <f t="shared" si="429"/>
        <v>-3.1407338248448888</v>
      </c>
      <c r="J581">
        <f t="shared" si="430"/>
        <v>15</v>
      </c>
      <c r="M581">
        <f t="shared" si="431"/>
        <v>5.1935891684888429E-4</v>
      </c>
      <c r="N581">
        <f t="shared" si="432"/>
        <v>-1.5707963250000001</v>
      </c>
      <c r="O581">
        <f t="shared" si="433"/>
        <v>779.98112701649029</v>
      </c>
      <c r="P581">
        <f t="shared" si="434"/>
        <v>1.5695142441401775</v>
      </c>
      <c r="Q581">
        <f t="shared" si="435"/>
        <v>353.0160877596453</v>
      </c>
      <c r="R581">
        <f t="shared" si="436"/>
        <v>1.5679635909166358</v>
      </c>
      <c r="S581">
        <f t="shared" si="437"/>
        <v>0.138982494960595</v>
      </c>
      <c r="T581">
        <f t="shared" si="438"/>
        <v>-1.4313624632269666</v>
      </c>
      <c r="U581">
        <f t="shared" si="439"/>
        <v>7.1188235751081214E-2</v>
      </c>
      <c r="V581">
        <f t="shared" si="440"/>
        <v>-1.4995478259677315</v>
      </c>
      <c r="X581">
        <f t="shared" si="457"/>
        <v>-59.017057520085913</v>
      </c>
      <c r="Y581">
        <f t="shared" si="441"/>
        <v>-175.60188608675401</v>
      </c>
      <c r="Z581">
        <f t="shared" si="458"/>
        <v>4.398113913245993</v>
      </c>
      <c r="AC581">
        <v>1</v>
      </c>
      <c r="AD581">
        <f t="shared" si="442"/>
        <v>779.98048597507511</v>
      </c>
      <c r="AE581">
        <f t="shared" si="443"/>
        <v>-1.3489347195164396</v>
      </c>
      <c r="AF581">
        <f t="shared" si="444"/>
        <v>9.627253596292501E-2</v>
      </c>
      <c r="AG581">
        <f t="shared" si="473"/>
        <v>40.320430681122566</v>
      </c>
      <c r="AH581">
        <f t="shared" si="474"/>
        <v>-575.34195290080356</v>
      </c>
      <c r="AJ581">
        <f t="shared" si="445"/>
        <v>20000</v>
      </c>
      <c r="AK581">
        <f t="shared" si="446"/>
        <v>142506.41251518001</v>
      </c>
      <c r="AL581">
        <v>1</v>
      </c>
      <c r="AM581">
        <f t="shared" si="447"/>
        <v>353.01467139075896</v>
      </c>
      <c r="AN581">
        <f t="shared" si="475"/>
        <v>403.841355498577</v>
      </c>
      <c r="AO581">
        <f t="shared" si="476"/>
        <v>-55.510890148840431</v>
      </c>
      <c r="AQ581">
        <f t="shared" si="448"/>
        <v>7.4245107303112551E-4</v>
      </c>
      <c r="AR581">
        <f t="shared" si="449"/>
        <v>-2.724795438024231</v>
      </c>
      <c r="AT581">
        <f t="shared" si="470"/>
        <v>-1567.6591926210372</v>
      </c>
      <c r="AU581">
        <f t="shared" si="471"/>
        <v>-110.29208882938603</v>
      </c>
      <c r="AV581">
        <f t="shared" si="459"/>
        <v>-3.0713537558600579</v>
      </c>
      <c r="AW581">
        <f t="shared" si="460"/>
        <v>289.09644316590118</v>
      </c>
      <c r="AX581">
        <f t="shared" si="461"/>
        <v>-1792.8577283150444</v>
      </c>
      <c r="AY581">
        <f t="shared" si="469"/>
        <v>-1.4109235182504665</v>
      </c>
      <c r="BA581">
        <f t="shared" si="450"/>
        <v>0.86537444149979925</v>
      </c>
      <c r="BB581">
        <f t="shared" si="462"/>
        <v>-1.2559187133564096</v>
      </c>
      <c r="BC581">
        <f t="shared" si="463"/>
        <v>-1.6604302376095914</v>
      </c>
      <c r="BD581">
        <f t="shared" si="451"/>
        <v>-275.13564489964233</v>
      </c>
      <c r="BF581">
        <f t="shared" si="452"/>
        <v>-63.287266594832715</v>
      </c>
      <c r="BG581">
        <f t="shared" si="453"/>
        <v>-192.5729795621946</v>
      </c>
      <c r="BH581">
        <f t="shared" si="464"/>
        <v>-12.572979562194604</v>
      </c>
      <c r="BI581">
        <f t="shared" si="465"/>
        <v>-12.572979562194604</v>
      </c>
      <c r="BJ581">
        <f t="shared" si="454"/>
        <v>0</v>
      </c>
      <c r="BK581">
        <f t="shared" si="466"/>
        <v>0</v>
      </c>
      <c r="BM581">
        <f t="shared" si="467"/>
        <v>-62.0313478814763</v>
      </c>
      <c r="BN581">
        <f t="shared" si="455"/>
        <v>-97.43733466255226</v>
      </c>
      <c r="BQ581" s="66">
        <f t="shared" si="468"/>
        <v>15.646042086928727</v>
      </c>
    </row>
    <row r="582" spans="1:69" x14ac:dyDescent="0.15">
      <c r="A582">
        <f t="shared" si="472"/>
        <v>1840000</v>
      </c>
      <c r="B582">
        <f t="shared" si="456"/>
        <v>1840</v>
      </c>
      <c r="C582">
        <f t="shared" si="425"/>
        <v>7.695549465392336</v>
      </c>
      <c r="D582">
        <f t="shared" si="426"/>
        <v>1.440482578473723</v>
      </c>
      <c r="F582">
        <f t="shared" si="427"/>
        <v>6.8375408575941577E-6</v>
      </c>
      <c r="G582">
        <f t="shared" si="428"/>
        <v>8.564913597664314E-4</v>
      </c>
      <c r="H582">
        <f t="shared" si="429"/>
        <v>-3.1407361586402338</v>
      </c>
      <c r="J582">
        <f t="shared" si="430"/>
        <v>15</v>
      </c>
      <c r="M582">
        <f t="shared" si="431"/>
        <v>5.1794761544440371E-4</v>
      </c>
      <c r="N582">
        <f t="shared" si="432"/>
        <v>-1.5707963250000001</v>
      </c>
      <c r="O582">
        <f t="shared" si="433"/>
        <v>782.10641270225631</v>
      </c>
      <c r="P582">
        <f t="shared" si="434"/>
        <v>1.5695177280566328</v>
      </c>
      <c r="Q582">
        <f t="shared" si="435"/>
        <v>353.97797674840916</v>
      </c>
      <c r="R582">
        <f t="shared" si="436"/>
        <v>1.5679712885274673</v>
      </c>
      <c r="S582">
        <f t="shared" si="437"/>
        <v>0.13861209112090744</v>
      </c>
      <c r="T582">
        <f t="shared" si="438"/>
        <v>-1.4317364873182925</v>
      </c>
      <c r="U582">
        <f t="shared" si="439"/>
        <v>7.0995765826422086E-2</v>
      </c>
      <c r="V582">
        <f t="shared" si="440"/>
        <v>-1.499740784122622</v>
      </c>
      <c r="X582">
        <f t="shared" si="457"/>
        <v>-59.064153627130651</v>
      </c>
      <c r="Y582">
        <f t="shared" si="441"/>
        <v>-175.61375081654796</v>
      </c>
      <c r="Z582">
        <f t="shared" si="458"/>
        <v>4.386249183452037</v>
      </c>
      <c r="AC582">
        <v>1</v>
      </c>
      <c r="AD582">
        <f t="shared" si="442"/>
        <v>782.10577340280008</v>
      </c>
      <c r="AE582">
        <f t="shared" si="443"/>
        <v>-1.3562958775831311</v>
      </c>
      <c r="AF582">
        <f t="shared" si="444"/>
        <v>9.6534858949200011E-2</v>
      </c>
      <c r="AG582">
        <f t="shared" si="473"/>
        <v>40.102698656299815</v>
      </c>
      <c r="AH582">
        <f t="shared" si="474"/>
        <v>-573.79402083807622</v>
      </c>
      <c r="AJ582">
        <f t="shared" si="445"/>
        <v>20000</v>
      </c>
      <c r="AK582">
        <f t="shared" si="446"/>
        <v>142894.71336671998</v>
      </c>
      <c r="AL582">
        <v>1</v>
      </c>
      <c r="AM582">
        <f t="shared" si="447"/>
        <v>353.97656422833597</v>
      </c>
      <c r="AN582">
        <f t="shared" si="475"/>
        <v>403.84050205724446</v>
      </c>
      <c r="AO582">
        <f t="shared" si="476"/>
        <v>-55.360047749664197</v>
      </c>
      <c r="AQ582">
        <f t="shared" si="448"/>
        <v>7.3842149556788345E-4</v>
      </c>
      <c r="AR582">
        <f t="shared" si="449"/>
        <v>-2.7173911036898111</v>
      </c>
      <c r="AT582">
        <f t="shared" si="470"/>
        <v>-1559.1931548810765</v>
      </c>
      <c r="AU582">
        <f t="shared" si="471"/>
        <v>-109.39841840159762</v>
      </c>
      <c r="AV582">
        <f t="shared" si="459"/>
        <v>-3.0715439705320362</v>
      </c>
      <c r="AW582">
        <f t="shared" si="460"/>
        <v>289.71933422763857</v>
      </c>
      <c r="AX582">
        <f t="shared" si="461"/>
        <v>-1787.9971403378418</v>
      </c>
      <c r="AY582">
        <f t="shared" si="469"/>
        <v>-1.4101568290131523</v>
      </c>
      <c r="BA582">
        <f t="shared" si="450"/>
        <v>0.86292233944204688</v>
      </c>
      <c r="BB582">
        <f t="shared" si="462"/>
        <v>-1.2805657559026897</v>
      </c>
      <c r="BC582">
        <f t="shared" si="463"/>
        <v>-1.6613871415188839</v>
      </c>
      <c r="BD582">
        <f t="shared" si="451"/>
        <v>-275.19047145510706</v>
      </c>
      <c r="BF582">
        <f t="shared" si="452"/>
        <v>-63.335949203858625</v>
      </c>
      <c r="BG582">
        <f t="shared" si="453"/>
        <v>-192.60782581197182</v>
      </c>
      <c r="BH582">
        <f t="shared" si="464"/>
        <v>-12.607825811971821</v>
      </c>
      <c r="BI582">
        <f t="shared" si="465"/>
        <v>-12.607825811971821</v>
      </c>
      <c r="BJ582">
        <f t="shared" si="454"/>
        <v>0</v>
      </c>
      <c r="BK582">
        <f t="shared" si="466"/>
        <v>0</v>
      </c>
      <c r="BM582">
        <f t="shared" si="467"/>
        <v>-62.055383447955933</v>
      </c>
      <c r="BN582">
        <f t="shared" si="455"/>
        <v>-97.417354356864806</v>
      </c>
      <c r="BQ582" s="66">
        <f t="shared" si="468"/>
        <v>15.621395044382446</v>
      </c>
    </row>
    <row r="583" spans="1:69" x14ac:dyDescent="0.15">
      <c r="A583">
        <f t="shared" si="472"/>
        <v>1845000</v>
      </c>
      <c r="B583">
        <f t="shared" si="456"/>
        <v>1845</v>
      </c>
      <c r="C583">
        <f t="shared" si="425"/>
        <v>7.7161086429481722</v>
      </c>
      <c r="D583">
        <f t="shared" si="426"/>
        <v>1.4408317636901882</v>
      </c>
      <c r="F583">
        <f t="shared" si="427"/>
        <v>6.800530989844364E-6</v>
      </c>
      <c r="G583">
        <f t="shared" si="428"/>
        <v>8.5417021397240969E-4</v>
      </c>
      <c r="H583">
        <f t="shared" si="429"/>
        <v>-3.1407384797860276</v>
      </c>
      <c r="J583">
        <f t="shared" si="430"/>
        <v>15</v>
      </c>
      <c r="M583">
        <f t="shared" si="431"/>
        <v>5.1654396337002867E-4</v>
      </c>
      <c r="N583">
        <f t="shared" si="432"/>
        <v>-1.5707963250000001</v>
      </c>
      <c r="O583">
        <f t="shared" si="433"/>
        <v>784.23169839746379</v>
      </c>
      <c r="P583">
        <f t="shared" si="434"/>
        <v>1.5695211930901027</v>
      </c>
      <c r="Q583">
        <f t="shared" si="435"/>
        <v>354.9398657580337</v>
      </c>
      <c r="R583">
        <f t="shared" si="436"/>
        <v>1.567978944417163</v>
      </c>
      <c r="S583">
        <f t="shared" si="437"/>
        <v>0.13824363718290147</v>
      </c>
      <c r="T583">
        <f t="shared" si="438"/>
        <v>-1.4321085230252413</v>
      </c>
      <c r="U583">
        <f t="shared" si="439"/>
        <v>7.0804331233165013E-2</v>
      </c>
      <c r="V583">
        <f t="shared" si="440"/>
        <v>-1.4999327016911355</v>
      </c>
      <c r="X583">
        <f t="shared" si="457"/>
        <v>-59.11112285604294</v>
      </c>
      <c r="Y583">
        <f t="shared" si="441"/>
        <v>-175.6255519298121</v>
      </c>
      <c r="Z583">
        <f t="shared" si="458"/>
        <v>4.3744480701878956</v>
      </c>
      <c r="AC583">
        <v>1</v>
      </c>
      <c r="AD583">
        <f t="shared" si="442"/>
        <v>784.23106083052505</v>
      </c>
      <c r="AE583">
        <f t="shared" si="443"/>
        <v>-1.3636770660119086</v>
      </c>
      <c r="AF583">
        <f t="shared" si="444"/>
        <v>9.6797181935475013E-2</v>
      </c>
      <c r="AG583">
        <f t="shared" si="473"/>
        <v>39.886722578317865</v>
      </c>
      <c r="AH583">
        <f t="shared" si="474"/>
        <v>-572.2543540095636</v>
      </c>
      <c r="AJ583">
        <f t="shared" si="445"/>
        <v>20000</v>
      </c>
      <c r="AK583">
        <f t="shared" si="446"/>
        <v>143283.01421826001</v>
      </c>
      <c r="AL583">
        <v>1</v>
      </c>
      <c r="AM583">
        <f t="shared" si="447"/>
        <v>354.93845706591298</v>
      </c>
      <c r="AN583">
        <f t="shared" si="475"/>
        <v>403.83965554497991</v>
      </c>
      <c r="AO583">
        <f t="shared" si="476"/>
        <v>-55.210022904945355</v>
      </c>
      <c r="AQ583">
        <f t="shared" si="448"/>
        <v>7.3442463448236759E-4</v>
      </c>
      <c r="AR583">
        <f t="shared" si="449"/>
        <v>-2.7100269012399365</v>
      </c>
      <c r="AT583">
        <f t="shared" si="470"/>
        <v>-1550.7953999259489</v>
      </c>
      <c r="AU583">
        <f t="shared" si="471"/>
        <v>-108.51436888431019</v>
      </c>
      <c r="AV583">
        <f t="shared" si="459"/>
        <v>-3.0717331594874331</v>
      </c>
      <c r="AW583">
        <f t="shared" si="460"/>
        <v>290.33715750679823</v>
      </c>
      <c r="AX583">
        <f t="shared" si="461"/>
        <v>-1783.1628061993194</v>
      </c>
      <c r="AY583">
        <f t="shared" si="469"/>
        <v>-1.4093912560323387</v>
      </c>
      <c r="BA583">
        <f t="shared" si="450"/>
        <v>0.86048312503032132</v>
      </c>
      <c r="BB583">
        <f t="shared" si="462"/>
        <v>-1.3051528443943117</v>
      </c>
      <c r="BC583">
        <f t="shared" si="463"/>
        <v>-1.6623419034550944</v>
      </c>
      <c r="BD583">
        <f t="shared" si="451"/>
        <v>-275.24517528455414</v>
      </c>
      <c r="BF583">
        <f t="shared" si="452"/>
        <v>-63.384504505034315</v>
      </c>
      <c r="BG583">
        <f t="shared" si="453"/>
        <v>-192.64265579408203</v>
      </c>
      <c r="BH583">
        <f t="shared" si="464"/>
        <v>-12.642655794082032</v>
      </c>
      <c r="BI583">
        <f t="shared" si="465"/>
        <v>-12.642655794082032</v>
      </c>
      <c r="BJ583">
        <f t="shared" si="454"/>
        <v>0</v>
      </c>
      <c r="BK583">
        <f t="shared" si="466"/>
        <v>0</v>
      </c>
      <c r="BM583">
        <f t="shared" si="467"/>
        <v>-62.079351660640008</v>
      </c>
      <c r="BN583">
        <f t="shared" si="455"/>
        <v>-97.397480509527881</v>
      </c>
      <c r="BQ583" s="66">
        <f t="shared" si="468"/>
        <v>15.596807955890826</v>
      </c>
    </row>
    <row r="584" spans="1:69" x14ac:dyDescent="0.15">
      <c r="A584">
        <f t="shared" si="472"/>
        <v>1850000</v>
      </c>
      <c r="B584">
        <f t="shared" si="456"/>
        <v>1850</v>
      </c>
      <c r="C584">
        <f t="shared" si="425"/>
        <v>7.7366687563312526</v>
      </c>
      <c r="D584">
        <f t="shared" si="426"/>
        <v>1.4411790930369583</v>
      </c>
      <c r="F584">
        <f t="shared" si="427"/>
        <v>6.7638207990116739E-6</v>
      </c>
      <c r="G584">
        <f t="shared" si="428"/>
        <v>8.5186161516272814E-4</v>
      </c>
      <c r="H584">
        <f t="shared" si="429"/>
        <v>-3.1407407883848375</v>
      </c>
      <c r="J584">
        <f t="shared" si="430"/>
        <v>15</v>
      </c>
      <c r="M584">
        <f t="shared" si="431"/>
        <v>5.1514789860416371E-4</v>
      </c>
      <c r="N584">
        <f t="shared" si="432"/>
        <v>-1.5707963250000001</v>
      </c>
      <c r="O584">
        <f t="shared" si="433"/>
        <v>786.35698410203634</v>
      </c>
      <c r="P584">
        <f t="shared" si="434"/>
        <v>1.5695246393936924</v>
      </c>
      <c r="Q584">
        <f t="shared" si="435"/>
        <v>355.90175478834976</v>
      </c>
      <c r="R584">
        <f t="shared" si="436"/>
        <v>1.5679865589239987</v>
      </c>
      <c r="S584">
        <f t="shared" si="437"/>
        <v>0.13787711794309315</v>
      </c>
      <c r="T584">
        <f t="shared" si="438"/>
        <v>-1.4324785860595601</v>
      </c>
      <c r="U584">
        <f t="shared" si="439"/>
        <v>7.061392366089525E-2</v>
      </c>
      <c r="V584">
        <f t="shared" si="440"/>
        <v>-1.5001235870541361</v>
      </c>
      <c r="X584">
        <f t="shared" si="457"/>
        <v>-59.157965886231366</v>
      </c>
      <c r="Y584">
        <f t="shared" si="441"/>
        <v>-175.63728993505862</v>
      </c>
      <c r="Z584">
        <f t="shared" si="458"/>
        <v>4.3627100649413819</v>
      </c>
      <c r="AC584">
        <v>1</v>
      </c>
      <c r="AD584">
        <f t="shared" si="442"/>
        <v>786.35634825825002</v>
      </c>
      <c r="AE584">
        <f t="shared" si="443"/>
        <v>-1.3710782848027723</v>
      </c>
      <c r="AF584">
        <f t="shared" si="444"/>
        <v>9.7059504921750014E-2</v>
      </c>
      <c r="AG584">
        <f t="shared" si="473"/>
        <v>39.672483647727063</v>
      </c>
      <c r="AH584">
        <f t="shared" si="474"/>
        <v>-570.7228867306784</v>
      </c>
      <c r="AJ584">
        <f t="shared" si="445"/>
        <v>20000</v>
      </c>
      <c r="AK584">
        <f t="shared" si="446"/>
        <v>143671.31506980001</v>
      </c>
      <c r="AL584">
        <v>1</v>
      </c>
      <c r="AM584">
        <f t="shared" si="447"/>
        <v>355.90034990349</v>
      </c>
      <c r="AN584">
        <f t="shared" si="475"/>
        <v>403.8388158869767</v>
      </c>
      <c r="AO584">
        <f t="shared" si="476"/>
        <v>-55.060808986074164</v>
      </c>
      <c r="AQ584">
        <f t="shared" si="448"/>
        <v>7.3046013656244435E-4</v>
      </c>
      <c r="AR584">
        <f t="shared" si="449"/>
        <v>-2.7027025052810441</v>
      </c>
      <c r="AT584">
        <f t="shared" si="470"/>
        <v>-1542.465196620411</v>
      </c>
      <c r="AU584">
        <f t="shared" si="471"/>
        <v>-107.63981126321379</v>
      </c>
      <c r="AV584">
        <f t="shared" si="459"/>
        <v>-3.0719213309865472</v>
      </c>
      <c r="AW584">
        <f t="shared" si="460"/>
        <v>290.94996785629252</v>
      </c>
      <c r="AX584">
        <f t="shared" si="461"/>
        <v>-1778.3545139982903</v>
      </c>
      <c r="AY584">
        <f t="shared" si="469"/>
        <v>-1.4086267918586373</v>
      </c>
      <c r="BA584">
        <f t="shared" si="450"/>
        <v>0.85805669555617081</v>
      </c>
      <c r="BB584">
        <f t="shared" si="462"/>
        <v>-1.3296803093728564</v>
      </c>
      <c r="BC584">
        <f t="shared" si="463"/>
        <v>-1.6632945391279099</v>
      </c>
      <c r="BD584">
        <f t="shared" si="451"/>
        <v>-275.29975728808245</v>
      </c>
      <c r="BF584">
        <f t="shared" si="452"/>
        <v>-63.432933210294458</v>
      </c>
      <c r="BG584">
        <f t="shared" si="453"/>
        <v>-192.67746956488517</v>
      </c>
      <c r="BH584">
        <f t="shared" si="464"/>
        <v>-12.677469564885172</v>
      </c>
      <c r="BI584">
        <f t="shared" si="465"/>
        <v>-12.677469564885172</v>
      </c>
      <c r="BJ584">
        <f t="shared" si="454"/>
        <v>0</v>
      </c>
      <c r="BK584">
        <f t="shared" si="466"/>
        <v>0</v>
      </c>
      <c r="BM584">
        <f t="shared" si="467"/>
        <v>-62.103252900921603</v>
      </c>
      <c r="BN584">
        <f t="shared" si="455"/>
        <v>-97.377712276802725</v>
      </c>
      <c r="BQ584" s="66">
        <f t="shared" si="468"/>
        <v>15.572280490912281</v>
      </c>
    </row>
    <row r="585" spans="1:69" x14ac:dyDescent="0.15">
      <c r="A585">
        <f t="shared" si="472"/>
        <v>1855000</v>
      </c>
      <c r="B585">
        <f t="shared" si="456"/>
        <v>1855</v>
      </c>
      <c r="C585">
        <f t="shared" ref="C585:C626" si="477">SQRT((A585/Fesr)^2+1)</f>
        <v>7.7572297981005001</v>
      </c>
      <c r="D585">
        <f t="shared" ref="D585:D614" si="478">ATAN(A585/Fesr)</f>
        <v>1.4415245811872059</v>
      </c>
      <c r="F585">
        <f t="shared" ref="F585:F626" si="479">(Ro/(Ro+Rdcr))/SQRT((A585/(Q*Fo))^2+(1-(A585^2/Fo^2))^2)</f>
        <v>6.7274070584015912E-6</v>
      </c>
      <c r="G585">
        <f t="shared" ref="G585:G614" si="480">-ATAN(A585*Fo/(Q*(Fo^2-A585^2)))</f>
        <v>8.495654618766045E-4</v>
      </c>
      <c r="H585">
        <f t="shared" ref="H585:H648" si="481">IF(G585&gt;0,G585-Pi,G585)</f>
        <v>-3.1407430845381237</v>
      </c>
      <c r="J585">
        <f t="shared" ref="J585:J648" si="482">Vin/Vramp</f>
        <v>15</v>
      </c>
      <c r="M585">
        <f t="shared" ref="M585:M614" si="483">1/(2*Pi*_Rfb1*(Cc1ea_u+Cc2ea_u)*A585)</f>
        <v>5.1375935979390986E-4</v>
      </c>
      <c r="N585">
        <f t="shared" ref="N585:N648" si="484">-Pi/2</f>
        <v>-1.5707963250000001</v>
      </c>
      <c r="O585">
        <f t="shared" ref="O585:O614" si="485">SQRT(1+(A585/Fz1_u)^2)</f>
        <v>788.48226981589812</v>
      </c>
      <c r="P585">
        <f t="shared" ref="P585:P648" si="486">ATAN2(Fz1_u,A585)</f>
        <v>1.5695280671188561</v>
      </c>
      <c r="Q585">
        <f t="shared" ref="Q585:Q614" si="487">SQRT(1+(A585/Fz2_u)^2)</f>
        <v>356.86364383919005</v>
      </c>
      <c r="R585">
        <f t="shared" ref="R585:R648" si="488">ATAN2(Fz2_u,A585)</f>
        <v>1.5679941323826034</v>
      </c>
      <c r="S585">
        <f t="shared" ref="S585:S614" si="489">1/SQRT(1+(A585/Fp1_u)^2)</f>
        <v>0.1375125183540086</v>
      </c>
      <c r="T585">
        <f t="shared" ref="T585:T648" si="490">-ATAN2(Fp1_u,A585)</f>
        <v>-1.4328466919689795</v>
      </c>
      <c r="U585">
        <f t="shared" ref="U585:U626" si="491">1/SQRT(1+(A585/Fp2_u)^2)</f>
        <v>7.0424534887677012E-2</v>
      </c>
      <c r="V585">
        <f t="shared" ref="V585:V648" si="492">-ATAN2(Fp2_u,A585)</f>
        <v>-1.5003134485028806</v>
      </c>
      <c r="X585">
        <f t="shared" si="457"/>
        <v>-59.204683391680312</v>
      </c>
      <c r="Y585">
        <f t="shared" ref="Y585:Y614" si="493">(180/Pi)*(D585+H585+N585+P585+R585+T585+V585)</f>
        <v>-175.6489653354127</v>
      </c>
      <c r="Z585">
        <f t="shared" si="458"/>
        <v>4.3510346645873028</v>
      </c>
      <c r="AC585">
        <v>1</v>
      </c>
      <c r="AD585">
        <f t="shared" ref="AD585:AD626" si="494">Rcea1_u*Cc1ea_u*A585*2*Pi</f>
        <v>788.48163568597511</v>
      </c>
      <c r="AE585">
        <f t="shared" ref="AE585:AE626" si="495">-Rcea1_u*Cc1ea_u*Cc2ea_u*(A585*2*Pi)^2</f>
        <v>-1.3784995339557222</v>
      </c>
      <c r="AF585">
        <f t="shared" ref="AF585:AF626" si="496">(Cc2ea_u+Cc1ea_u)*A585*2*Pi</f>
        <v>9.7321827908025016E-2</v>
      </c>
      <c r="AG585">
        <f t="shared" si="473"/>
        <v>39.459963315572594</v>
      </c>
      <c r="AH585">
        <f t="shared" si="474"/>
        <v>-569.19955400733772</v>
      </c>
      <c r="AJ585">
        <f t="shared" ref="AJ585:AJ648" si="497">_Rfb1</f>
        <v>20000</v>
      </c>
      <c r="AK585">
        <f t="shared" ref="AK585:AK626" si="498">_Rfb1*Rcea2_u*Cc3ea_u*A585*2*Pi</f>
        <v>144059.61592134001</v>
      </c>
      <c r="AL585">
        <v>1</v>
      </c>
      <c r="AM585">
        <f t="shared" ref="AM585:AM626" si="499">(_Rfb1+Rcea2_u)*Cc3ea_u*A585*2*Pi</f>
        <v>356.86224274106701</v>
      </c>
      <c r="AN585">
        <f t="shared" si="475"/>
        <v>403.83798300943511</v>
      </c>
      <c r="AO585">
        <f t="shared" si="476"/>
        <v>-54.91239943590557</v>
      </c>
      <c r="AQ585">
        <f t="shared" ref="AQ585:AQ626" si="500">Eadcg/(1+(Eadcg*A585/GBP)^2)</f>
        <v>7.2652765334982653E-4</v>
      </c>
      <c r="AR585">
        <f t="shared" ref="AR585:AR626" si="501">-(A585*Eadcg*Eadcg/GBP)/(1+(Eadcg*A585/GBP)^2)</f>
        <v>-2.6954175939278562</v>
      </c>
      <c r="AT585">
        <f t="shared" si="470"/>
        <v>-1534.201823572718</v>
      </c>
      <c r="AU585">
        <f t="shared" si="471"/>
        <v>-106.77461859280287</v>
      </c>
      <c r="AV585">
        <f t="shared" si="459"/>
        <v>-3.0721084932013696</v>
      </c>
      <c r="AW585">
        <f t="shared" si="460"/>
        <v>291.55781938853477</v>
      </c>
      <c r="AX585">
        <f t="shared" si="461"/>
        <v>-1773.5720541053852</v>
      </c>
      <c r="AY585">
        <f t="shared" si="469"/>
        <v>-1.4078634291266297</v>
      </c>
      <c r="BA585">
        <f t="shared" ref="BA585:BA648" si="502">SQRT(AT585^2+AU585^2)/SQRT(AW585^2+AX585^2)</f>
        <v>0.85564294939981778</v>
      </c>
      <c r="BB585">
        <f t="shared" si="462"/>
        <v>-1.3541484787564784</v>
      </c>
      <c r="BC585">
        <f t="shared" si="463"/>
        <v>-1.6642450640747399</v>
      </c>
      <c r="BD585">
        <f t="shared" ref="BD585:BD648" si="503">BC585*180/Pi-180</f>
        <v>-275.35421835591995</v>
      </c>
      <c r="BF585">
        <f t="shared" ref="BF585:BF648" si="504">20*LOG(BA585*J585*F585*C585)</f>
        <v>-63.481236025686201</v>
      </c>
      <c r="BG585">
        <f t="shared" ref="BG585:BG648" si="505">(180/Pi)*(D585+H585+BC585)</f>
        <v>-192.71226717971166</v>
      </c>
      <c r="BH585">
        <f t="shared" si="464"/>
        <v>-12.71226717971166</v>
      </c>
      <c r="BI585">
        <f t="shared" si="465"/>
        <v>-12.71226717971166</v>
      </c>
      <c r="BJ585">
        <f t="shared" ref="BJ585:BJ648" si="506">SUM((BF586&lt;0)*(BF585&gt;0))*A585</f>
        <v>0</v>
      </c>
      <c r="BK585">
        <f t="shared" si="466"/>
        <v>0</v>
      </c>
      <c r="BM585">
        <f t="shared" si="467"/>
        <v>-62.127087546929722</v>
      </c>
      <c r="BN585">
        <f t="shared" ref="BN585:BN648" si="507">(H585+D585)*180/Pi</f>
        <v>-97.358048823791705</v>
      </c>
      <c r="BQ585" s="66">
        <f t="shared" si="468"/>
        <v>15.547812321528658</v>
      </c>
    </row>
    <row r="586" spans="1:69" x14ac:dyDescent="0.15">
      <c r="A586">
        <f t="shared" si="472"/>
        <v>1860000</v>
      </c>
      <c r="B586">
        <f t="shared" ref="B586:B649" si="508">A586/1000</f>
        <v>1860</v>
      </c>
      <c r="C586">
        <f t="shared" si="477"/>
        <v>7.7777917608931855</v>
      </c>
      <c r="D586">
        <f t="shared" si="478"/>
        <v>1.4418682426607083</v>
      </c>
      <c r="F586">
        <f t="shared" si="479"/>
        <v>6.6912865846313676E-6</v>
      </c>
      <c r="G586">
        <f t="shared" si="480"/>
        <v>8.4728165374426811E-4</v>
      </c>
      <c r="H586">
        <f t="shared" si="481"/>
        <v>-3.1407453683462561</v>
      </c>
      <c r="J586">
        <f t="shared" si="482"/>
        <v>15</v>
      </c>
      <c r="M586">
        <f t="shared" si="483"/>
        <v>5.1237828624607672E-4</v>
      </c>
      <c r="N586">
        <f t="shared" si="484"/>
        <v>-1.5707963250000001</v>
      </c>
      <c r="O586">
        <f t="shared" si="485"/>
        <v>790.60755553897411</v>
      </c>
      <c r="P586">
        <f t="shared" si="486"/>
        <v>1.5695314764154193</v>
      </c>
      <c r="Q586">
        <f t="shared" si="487"/>
        <v>357.82553291038897</v>
      </c>
      <c r="R586">
        <f t="shared" si="488"/>
        <v>1.5680016651240074</v>
      </c>
      <c r="S586">
        <f t="shared" si="489"/>
        <v>0.13714982352220978</v>
      </c>
      <c r="T586">
        <f t="shared" si="490"/>
        <v>-1.4332128561393329</v>
      </c>
      <c r="U586">
        <f t="shared" si="491"/>
        <v>7.0236156778881967E-2</v>
      </c>
      <c r="V586">
        <f t="shared" si="492"/>
        <v>-1.5005022942402095</v>
      </c>
      <c r="X586">
        <f t="shared" ref="X586:X614" si="509">20*LOG(C586*J586*O586*Q586*F586*M586*S586*U586)</f>
        <v>-59.251276041007387</v>
      </c>
      <c r="Y586">
        <f t="shared" si="493"/>
        <v>-175.66057862868354</v>
      </c>
      <c r="Z586">
        <f t="shared" ref="Z586:Z649" si="510">Y586+180</f>
        <v>4.3394213713164618</v>
      </c>
      <c r="AC586">
        <v>1</v>
      </c>
      <c r="AD586">
        <f t="shared" si="494"/>
        <v>790.60692311370008</v>
      </c>
      <c r="AE586">
        <f t="shared" si="495"/>
        <v>-1.3859408134707585</v>
      </c>
      <c r="AF586">
        <f t="shared" si="496"/>
        <v>9.7584150894300017E-2</v>
      </c>
      <c r="AG586">
        <f t="shared" si="473"/>
        <v>39.249143279406475</v>
      </c>
      <c r="AH586">
        <f t="shared" si="474"/>
        <v>-567.68429152696308</v>
      </c>
      <c r="AJ586">
        <f t="shared" si="497"/>
        <v>20000</v>
      </c>
      <c r="AK586">
        <f t="shared" si="498"/>
        <v>144447.91677288001</v>
      </c>
      <c r="AL586">
        <v>1</v>
      </c>
      <c r="AM586">
        <f t="shared" si="499"/>
        <v>357.82413557864396</v>
      </c>
      <c r="AN586">
        <f t="shared" si="475"/>
        <v>403.83715683954603</v>
      </c>
      <c r="AO586">
        <f t="shared" si="476"/>
        <v>-54.764787767798673</v>
      </c>
      <c r="AQ586">
        <f t="shared" si="500"/>
        <v>7.2262684106350148E-4</v>
      </c>
      <c r="AR586">
        <f t="shared" si="501"/>
        <v>-2.6881718487562254</v>
      </c>
      <c r="AT586">
        <f t="shared" si="470"/>
        <v>-1526.004568979482</v>
      </c>
      <c r="AU586">
        <f t="shared" si="471"/>
        <v>-105.91866595780759</v>
      </c>
      <c r="AV586">
        <f t="shared" ref="AV586:AV649" si="511">ATAN2(AT586,AU586)</f>
        <v>-3.0722946542167575</v>
      </c>
      <c r="AW586">
        <f t="shared" ref="AW586:AW649" si="512">AG586-AH586*AO586/_Rfb2+AG586*AN586/_Rfb2+AN586-AO586*AR586+AQ586*AN586</f>
        <v>292.16076548740887</v>
      </c>
      <c r="AX586">
        <f t="shared" ref="AX586:AX649" si="513">AH586+AH586*AN586/_Rfb2+AG586*AO586/_Rfb2+AO586+AO586*AQ586+AN586*AR586</f>
        <v>-1768.8152191327204</v>
      </c>
      <c r="AY586">
        <f t="shared" si="469"/>
        <v>-1.4071011605537205</v>
      </c>
      <c r="BA586">
        <f t="shared" si="502"/>
        <v>0.85324178601583356</v>
      </c>
      <c r="BB586">
        <f t="shared" ref="BB586:BB649" si="514">20*LOG(BA586)</f>
        <v>-1.3785576778670718</v>
      </c>
      <c r="BC586">
        <f t="shared" ref="BC586:BC649" si="515">AV586-AY586</f>
        <v>-1.665193493663037</v>
      </c>
      <c r="BD586">
        <f t="shared" si="503"/>
        <v>-275.40855936855678</v>
      </c>
      <c r="BF586">
        <f t="shared" si="504"/>
        <v>-63.529413651433792</v>
      </c>
      <c r="BG586">
        <f t="shared" si="505"/>
        <v>-192.74704869288041</v>
      </c>
      <c r="BH586">
        <f t="shared" ref="BH586:BH649" si="516">IF(BG586&gt;180,BG586-180,BG586+180)</f>
        <v>-12.747048692880412</v>
      </c>
      <c r="BI586">
        <f t="shared" ref="BI586:BI649" si="517">IF(BH586&gt;180,BH586-360,BH586)</f>
        <v>-12.747048692880412</v>
      </c>
      <c r="BJ586">
        <f t="shared" si="506"/>
        <v>0</v>
      </c>
      <c r="BK586">
        <f t="shared" ref="BK586:BK649" si="518">IF(BJ586&gt;0,BI586,0)</f>
        <v>0</v>
      </c>
      <c r="BM586">
        <f t="shared" ref="BM586:BM649" si="519">20*LOG(J586*F586*C586)</f>
        <v>-62.150855973566721</v>
      </c>
      <c r="BN586">
        <f t="shared" si="507"/>
        <v>-97.338489324323632</v>
      </c>
      <c r="BQ586" s="66">
        <f t="shared" ref="BQ586:BQ649" si="520">20*LOG(BA586*7)</f>
        <v>15.523403122418065</v>
      </c>
    </row>
    <row r="587" spans="1:69" x14ac:dyDescent="0.15">
      <c r="A587">
        <f t="shared" si="472"/>
        <v>1865000</v>
      </c>
      <c r="B587">
        <f t="shared" si="508"/>
        <v>1865</v>
      </c>
      <c r="C587">
        <f t="shared" si="477"/>
        <v>7.798354637423909</v>
      </c>
      <c r="D587">
        <f t="shared" si="478"/>
        <v>1.4422100918258345</v>
      </c>
      <c r="F587">
        <f t="shared" si="479"/>
        <v>6.6554562369342072E-6</v>
      </c>
      <c r="G587">
        <f t="shared" si="480"/>
        <v>8.4501009147233577E-4</v>
      </c>
      <c r="H587">
        <f t="shared" si="481"/>
        <v>-3.1407476399085277</v>
      </c>
      <c r="J587">
        <f t="shared" si="482"/>
        <v>15</v>
      </c>
      <c r="M587">
        <f t="shared" si="483"/>
        <v>5.1100461791833934E-4</v>
      </c>
      <c r="N587">
        <f t="shared" si="484"/>
        <v>-1.5707963250000001</v>
      </c>
      <c r="O587">
        <f t="shared" si="485"/>
        <v>792.73284127119041</v>
      </c>
      <c r="P587">
        <f t="shared" si="486"/>
        <v>1.5695348674316012</v>
      </c>
      <c r="Q587">
        <f t="shared" si="487"/>
        <v>358.78742200178277</v>
      </c>
      <c r="R587">
        <f t="shared" si="488"/>
        <v>1.5680091574756918</v>
      </c>
      <c r="S587">
        <f t="shared" si="489"/>
        <v>0.13678901870635002</v>
      </c>
      <c r="T587">
        <f t="shared" si="490"/>
        <v>-1.4335770937966448</v>
      </c>
      <c r="U587">
        <f t="shared" si="491"/>
        <v>7.0048781286036435E-2</v>
      </c>
      <c r="V587">
        <f t="shared" si="492"/>
        <v>-1.5006901323817212</v>
      </c>
      <c r="X587">
        <f t="shared" si="509"/>
        <v>-59.297744497520043</v>
      </c>
      <c r="Y587">
        <f t="shared" si="493"/>
        <v>-175.67213030743432</v>
      </c>
      <c r="Z587">
        <f t="shared" si="510"/>
        <v>4.3278696925656845</v>
      </c>
      <c r="AC587">
        <v>1</v>
      </c>
      <c r="AD587">
        <f t="shared" si="494"/>
        <v>792.73221054142516</v>
      </c>
      <c r="AE587">
        <f t="shared" si="495"/>
        <v>-1.3934021233478806</v>
      </c>
      <c r="AF587">
        <f t="shared" si="496"/>
        <v>9.7846473880575005E-2</v>
      </c>
      <c r="AG587">
        <f t="shared" si="473"/>
        <v>39.040005479373541</v>
      </c>
      <c r="AH587">
        <f t="shared" si="474"/>
        <v>-566.17703564962073</v>
      </c>
      <c r="AJ587">
        <f t="shared" si="497"/>
        <v>20000</v>
      </c>
      <c r="AK587">
        <f t="shared" si="498"/>
        <v>144836.21762442001</v>
      </c>
      <c r="AL587">
        <v>1</v>
      </c>
      <c r="AM587">
        <f t="shared" si="499"/>
        <v>358.78602841622097</v>
      </c>
      <c r="AN587">
        <f t="shared" si="475"/>
        <v>403.83633730547484</v>
      </c>
      <c r="AO587">
        <f t="shared" si="476"/>
        <v>-54.617967564671673</v>
      </c>
      <c r="AQ587">
        <f t="shared" si="500"/>
        <v>7.1875736052459508E-4</v>
      </c>
      <c r="AR587">
        <f t="shared" si="501"/>
        <v>-2.6809649547567398</v>
      </c>
      <c r="AT587">
        <f t="shared" si="470"/>
        <v>-1517.8727304733973</v>
      </c>
      <c r="AU587">
        <f t="shared" si="471"/>
        <v>-105.07183043544472</v>
      </c>
      <c r="AV587">
        <f t="shared" si="511"/>
        <v>-3.0724798220315912</v>
      </c>
      <c r="AW587">
        <f t="shared" si="512"/>
        <v>292.75885882001216</v>
      </c>
      <c r="AX587">
        <f t="shared" si="513"/>
        <v>-1764.0838039040518</v>
      </c>
      <c r="AY587">
        <f t="shared" ref="AY587:AY650" si="521">ATAN2(AW587,AX587)</f>
        <v>-1.406339978939011</v>
      </c>
      <c r="BA587">
        <f t="shared" si="502"/>
        <v>0.85085310591903696</v>
      </c>
      <c r="BB587">
        <f t="shared" si="514"/>
        <v>-1.4029082294571014</v>
      </c>
      <c r="BC587">
        <f t="shared" si="515"/>
        <v>-1.6661398430925802</v>
      </c>
      <c r="BD587">
        <f t="shared" si="503"/>
        <v>-275.46278119687622</v>
      </c>
      <c r="BF587">
        <f t="shared" si="504"/>
        <v>-63.577466782002261</v>
      </c>
      <c r="BG587">
        <f t="shared" si="505"/>
        <v>-192.78181415771684</v>
      </c>
      <c r="BH587">
        <f t="shared" si="516"/>
        <v>-12.781814157716838</v>
      </c>
      <c r="BI587">
        <f t="shared" si="517"/>
        <v>-12.781814157716838</v>
      </c>
      <c r="BJ587">
        <f t="shared" si="506"/>
        <v>0</v>
      </c>
      <c r="BK587">
        <f t="shared" si="518"/>
        <v>0</v>
      </c>
      <c r="BM587">
        <f t="shared" si="519"/>
        <v>-62.174558552545165</v>
      </c>
      <c r="BN587">
        <f t="shared" si="507"/>
        <v>-97.319032960840673</v>
      </c>
      <c r="BQ587" s="66">
        <f t="shared" si="520"/>
        <v>15.499052570828036</v>
      </c>
    </row>
    <row r="588" spans="1:69" x14ac:dyDescent="0.15">
      <c r="A588">
        <f t="shared" si="472"/>
        <v>1870000</v>
      </c>
      <c r="B588">
        <f t="shared" si="508"/>
        <v>1870</v>
      </c>
      <c r="C588">
        <f t="shared" si="477"/>
        <v>7.8189184204835849</v>
      </c>
      <c r="D588">
        <f t="shared" si="478"/>
        <v>1.442550142901502</v>
      </c>
      <c r="F588">
        <f t="shared" si="479"/>
        <v>6.6199129164765066E-6</v>
      </c>
      <c r="G588">
        <f t="shared" si="480"/>
        <v>8.4275067682941995E-4</v>
      </c>
      <c r="H588">
        <f t="shared" si="481"/>
        <v>-3.1407498993231706</v>
      </c>
      <c r="J588">
        <f t="shared" si="482"/>
        <v>15</v>
      </c>
      <c r="M588">
        <f t="shared" si="483"/>
        <v>5.0963829541053629E-4</v>
      </c>
      <c r="N588">
        <f t="shared" si="484"/>
        <v>-1.5707963250000001</v>
      </c>
      <c r="O588">
        <f t="shared" si="485"/>
        <v>794.85812701247346</v>
      </c>
      <c r="P588">
        <f t="shared" si="486"/>
        <v>1.5695382403140354</v>
      </c>
      <c r="Q588">
        <f t="shared" si="487"/>
        <v>359.74931111320961</v>
      </c>
      <c r="R588">
        <f t="shared" si="488"/>
        <v>1.5680166097616348</v>
      </c>
      <c r="S588">
        <f t="shared" si="489"/>
        <v>0.13643008931525852</v>
      </c>
      <c r="T588">
        <f t="shared" si="490"/>
        <v>-1.4339394200091864</v>
      </c>
      <c r="U588">
        <f t="shared" si="491"/>
        <v>6.986240044568677E-2</v>
      </c>
      <c r="V588">
        <f t="shared" si="492"/>
        <v>-1.5008769709569263</v>
      </c>
      <c r="X588">
        <f t="shared" si="509"/>
        <v>-59.344089419271455</v>
      </c>
      <c r="Y588">
        <f t="shared" si="493"/>
        <v>-175.68362085905059</v>
      </c>
      <c r="Z588">
        <f t="shared" si="510"/>
        <v>4.3163791409494081</v>
      </c>
      <c r="AC588">
        <v>1</v>
      </c>
      <c r="AD588">
        <f t="shared" si="494"/>
        <v>794.85749796915013</v>
      </c>
      <c r="AE588">
        <f t="shared" si="495"/>
        <v>-1.4008834635870893</v>
      </c>
      <c r="AF588">
        <f t="shared" si="496"/>
        <v>9.8108796866850007E-2</v>
      </c>
      <c r="AG588">
        <f t="shared" si="473"/>
        <v>38.832532094369292</v>
      </c>
      <c r="AH588">
        <f t="shared" si="474"/>
        <v>-564.67772339929604</v>
      </c>
      <c r="AJ588">
        <f t="shared" si="497"/>
        <v>20000</v>
      </c>
      <c r="AK588">
        <f t="shared" si="498"/>
        <v>145224.51847596001</v>
      </c>
      <c r="AL588">
        <v>1</v>
      </c>
      <c r="AM588">
        <f t="shared" si="499"/>
        <v>359.74792125379798</v>
      </c>
      <c r="AN588">
        <f t="shared" si="475"/>
        <v>403.83552433634623</v>
      </c>
      <c r="AO588">
        <f t="shared" si="476"/>
        <v>-54.47193247807202</v>
      </c>
      <c r="AQ588">
        <f t="shared" si="500"/>
        <v>7.1491887708263909E-4</v>
      </c>
      <c r="AR588">
        <f t="shared" si="501"/>
        <v>-2.6737966002890703</v>
      </c>
      <c r="AT588">
        <f t="shared" si="470"/>
        <v>-1509.8056149737706</v>
      </c>
      <c r="AU588">
        <f t="shared" si="471"/>
        <v>-104.23399105846703</v>
      </c>
      <c r="AV588">
        <f t="shared" si="511"/>
        <v>-3.0726640045599112</v>
      </c>
      <c r="AW588">
        <f t="shared" si="512"/>
        <v>293.3521513481798</v>
      </c>
      <c r="AX588">
        <f t="shared" si="513"/>
        <v>-1759.3776054253988</v>
      </c>
      <c r="AY588">
        <f t="shared" si="521"/>
        <v>-1.4055798771621879</v>
      </c>
      <c r="BA588">
        <f t="shared" si="502"/>
        <v>0.84847681067061231</v>
      </c>
      <c r="BB588">
        <f t="shared" si="514"/>
        <v>-1.4272004537360963</v>
      </c>
      <c r="BC588">
        <f t="shared" si="515"/>
        <v>-1.6670841273977233</v>
      </c>
      <c r="BD588">
        <f t="shared" si="503"/>
        <v>-275.51688470228316</v>
      </c>
      <c r="BF588">
        <f t="shared" si="504"/>
        <v>-63.625396106160316</v>
      </c>
      <c r="BG588">
        <f t="shared" si="505"/>
        <v>-192.81656362657026</v>
      </c>
      <c r="BH588">
        <f t="shared" si="516"/>
        <v>-12.816563626570257</v>
      </c>
      <c r="BI588">
        <f t="shared" si="517"/>
        <v>-12.816563626570257</v>
      </c>
      <c r="BJ588">
        <f t="shared" si="506"/>
        <v>0</v>
      </c>
      <c r="BK588">
        <f t="shared" si="518"/>
        <v>0</v>
      </c>
      <c r="BM588">
        <f t="shared" si="519"/>
        <v>-62.198195652424218</v>
      </c>
      <c r="BN588">
        <f t="shared" si="507"/>
        <v>-97.299678924287122</v>
      </c>
      <c r="BQ588" s="66">
        <f t="shared" si="520"/>
        <v>15.474760346549042</v>
      </c>
    </row>
    <row r="589" spans="1:69" x14ac:dyDescent="0.15">
      <c r="A589">
        <f t="shared" si="472"/>
        <v>1875000</v>
      </c>
      <c r="B589">
        <f t="shared" si="508"/>
        <v>1875</v>
      </c>
      <c r="C589">
        <f t="shared" si="477"/>
        <v>7.8394831029384511</v>
      </c>
      <c r="D589">
        <f t="shared" si="478"/>
        <v>1.4428884099591048</v>
      </c>
      <c r="F589">
        <f t="shared" si="479"/>
        <v>6.5846535656877999E-6</v>
      </c>
      <c r="G589">
        <f t="shared" si="480"/>
        <v>8.4050331263196853E-4</v>
      </c>
      <c r="H589">
        <f t="shared" si="481"/>
        <v>-3.140752146687368</v>
      </c>
      <c r="J589">
        <f t="shared" si="482"/>
        <v>15</v>
      </c>
      <c r="M589">
        <f t="shared" si="483"/>
        <v>5.0827925995610812E-4</v>
      </c>
      <c r="N589">
        <f t="shared" si="484"/>
        <v>-1.5707963250000001</v>
      </c>
      <c r="O589">
        <f t="shared" si="485"/>
        <v>796.98341276275096</v>
      </c>
      <c r="P589">
        <f t="shared" si="486"/>
        <v>1.5695415952077918</v>
      </c>
      <c r="Q589">
        <f t="shared" si="487"/>
        <v>360.71120024450914</v>
      </c>
      <c r="R589">
        <f t="shared" si="488"/>
        <v>1.5680240223023589</v>
      </c>
      <c r="S589">
        <f t="shared" si="489"/>
        <v>0.13607302090605339</v>
      </c>
      <c r="T589">
        <f t="shared" si="490"/>
        <v>-1.4342998496894999</v>
      </c>
      <c r="U589">
        <f t="shared" si="491"/>
        <v>6.967700637828235E-2</v>
      </c>
      <c r="V589">
        <f t="shared" si="492"/>
        <v>-1.5010628179103844</v>
      </c>
      <c r="X589">
        <f t="shared" si="509"/>
        <v>-59.390311459115743</v>
      </c>
      <c r="Y589">
        <f t="shared" si="493"/>
        <v>-175.69505076580799</v>
      </c>
      <c r="Z589">
        <f t="shared" si="510"/>
        <v>4.3049492341920086</v>
      </c>
      <c r="AC589">
        <v>1</v>
      </c>
      <c r="AD589">
        <f t="shared" si="494"/>
        <v>796.9827853968751</v>
      </c>
      <c r="AE589">
        <f t="shared" si="495"/>
        <v>-1.4083848341883842</v>
      </c>
      <c r="AF589">
        <f t="shared" si="496"/>
        <v>9.8371119853125008E-2</v>
      </c>
      <c r="AG589">
        <f t="shared" si="473"/>
        <v>38.626705538268716</v>
      </c>
      <c r="AH589">
        <f t="shared" si="474"/>
        <v>-563.18629245530713</v>
      </c>
      <c r="AJ589">
        <f t="shared" si="497"/>
        <v>20000</v>
      </c>
      <c r="AK589">
        <f t="shared" si="498"/>
        <v>145612.81932750001</v>
      </c>
      <c r="AL589">
        <v>1</v>
      </c>
      <c r="AM589">
        <f t="shared" si="499"/>
        <v>360.70981409137499</v>
      </c>
      <c r="AN589">
        <f t="shared" si="475"/>
        <v>403.83471786222839</v>
      </c>
      <c r="AO589">
        <f t="shared" si="476"/>
        <v>-54.326676227261373</v>
      </c>
      <c r="AQ589">
        <f t="shared" si="500"/>
        <v>7.1111106054321351E-4</v>
      </c>
      <c r="AR589">
        <f t="shared" si="501"/>
        <v>-2.6666664770370505</v>
      </c>
      <c r="AT589">
        <f t="shared" si="470"/>
        <v>-1501.8025385398112</v>
      </c>
      <c r="AU589">
        <f t="shared" si="471"/>
        <v>-103.40502877899387</v>
      </c>
      <c r="AV589">
        <f t="shared" si="511"/>
        <v>-3.0728472096320396</v>
      </c>
      <c r="AW589">
        <f t="shared" si="512"/>
        <v>293.94069433979172</v>
      </c>
      <c r="AX589">
        <f t="shared" si="513"/>
        <v>-1754.6964228561412</v>
      </c>
      <c r="AY589">
        <f t="shared" si="521"/>
        <v>-1.4048208481824331</v>
      </c>
      <c r="BA589">
        <f t="shared" si="502"/>
        <v>0.84611280286444734</v>
      </c>
      <c r="BB589">
        <f t="shared" si="514"/>
        <v>-1.4514346683967803</v>
      </c>
      <c r="BC589">
        <f t="shared" si="515"/>
        <v>-1.6680263614496065</v>
      </c>
      <c r="BD589">
        <f t="shared" si="503"/>
        <v>-275.57087073683124</v>
      </c>
      <c r="BF589">
        <f t="shared" si="504"/>
        <v>-63.67320230704226</v>
      </c>
      <c r="BG589">
        <f t="shared" si="505"/>
        <v>-192.85129715083096</v>
      </c>
      <c r="BH589">
        <f t="shared" si="516"/>
        <v>-12.851297150830959</v>
      </c>
      <c r="BI589">
        <f t="shared" si="517"/>
        <v>-12.851297150830959</v>
      </c>
      <c r="BJ589">
        <f t="shared" si="506"/>
        <v>0</v>
      </c>
      <c r="BK589">
        <f t="shared" si="518"/>
        <v>0</v>
      </c>
      <c r="BM589">
        <f t="shared" si="519"/>
        <v>-62.221767638645474</v>
      </c>
      <c r="BN589">
        <f t="shared" si="507"/>
        <v>-97.28042641399972</v>
      </c>
      <c r="BQ589" s="66">
        <f t="shared" si="520"/>
        <v>15.450526131888356</v>
      </c>
    </row>
    <row r="590" spans="1:69" x14ac:dyDescent="0.15">
      <c r="A590">
        <f t="shared" si="472"/>
        <v>1880000</v>
      </c>
      <c r="B590">
        <f t="shared" si="508"/>
        <v>1880</v>
      </c>
      <c r="C590">
        <f t="shared" si="477"/>
        <v>7.8600486777290968</v>
      </c>
      <c r="D590">
        <f t="shared" si="478"/>
        <v>1.4432249069244099</v>
      </c>
      <c r="F590">
        <f t="shared" si="479"/>
        <v>6.5496751676031836E-6</v>
      </c>
      <c r="G590">
        <f t="shared" si="480"/>
        <v>8.3826790273033055E-4</v>
      </c>
      <c r="H590">
        <f t="shared" si="481"/>
        <v>-3.1407543820972701</v>
      </c>
      <c r="J590">
        <f t="shared" si="482"/>
        <v>15</v>
      </c>
      <c r="M590">
        <f t="shared" si="483"/>
        <v>5.0692745341367163E-4</v>
      </c>
      <c r="N590">
        <f t="shared" si="484"/>
        <v>-1.5707963250000001</v>
      </c>
      <c r="O590">
        <f t="shared" si="485"/>
        <v>799.10869852195094</v>
      </c>
      <c r="P590">
        <f t="shared" si="486"/>
        <v>1.5695449322563968</v>
      </c>
      <c r="Q590">
        <f t="shared" si="487"/>
        <v>361.67308939552277</v>
      </c>
      <c r="R590">
        <f t="shared" si="488"/>
        <v>1.5680313954149772</v>
      </c>
      <c r="S590">
        <f t="shared" si="489"/>
        <v>0.13571779918228272</v>
      </c>
      <c r="T590">
        <f t="shared" si="490"/>
        <v>-1.434658397596392</v>
      </c>
      <c r="U590">
        <f t="shared" si="491"/>
        <v>6.9492591287076383E-2</v>
      </c>
      <c r="V590">
        <f t="shared" si="492"/>
        <v>-1.501247681102823</v>
      </c>
      <c r="X590">
        <f t="shared" si="509"/>
        <v>-59.436411264762384</v>
      </c>
      <c r="Y590">
        <f t="shared" si="493"/>
        <v>-175.70642050493916</v>
      </c>
      <c r="Z590">
        <f t="shared" si="510"/>
        <v>4.2935794950608397</v>
      </c>
      <c r="AC590">
        <v>1</v>
      </c>
      <c r="AD590">
        <f t="shared" si="494"/>
        <v>799.10807282460007</v>
      </c>
      <c r="AE590">
        <f t="shared" si="495"/>
        <v>-1.4159062351517655</v>
      </c>
      <c r="AF590">
        <f t="shared" si="496"/>
        <v>9.863344283940001E-2</v>
      </c>
      <c r="AG590">
        <f t="shared" si="473"/>
        <v>38.422508456224243</v>
      </c>
      <c r="AH590">
        <f t="shared" si="474"/>
        <v>-561.70268114384669</v>
      </c>
      <c r="AJ590">
        <f t="shared" si="497"/>
        <v>20000</v>
      </c>
      <c r="AK590">
        <f t="shared" si="498"/>
        <v>146001.12017904001</v>
      </c>
      <c r="AL590">
        <v>1</v>
      </c>
      <c r="AM590">
        <f t="shared" si="499"/>
        <v>361.67170692895201</v>
      </c>
      <c r="AN590">
        <f t="shared" si="475"/>
        <v>403.83391781411848</v>
      </c>
      <c r="AO590">
        <f t="shared" si="476"/>
        <v>-54.182192598315183</v>
      </c>
      <c r="AQ590">
        <f t="shared" si="500"/>
        <v>7.073335850969341E-4</v>
      </c>
      <c r="AR590">
        <f t="shared" si="501"/>
        <v>-2.6595742799644722</v>
      </c>
      <c r="AT590">
        <f t="shared" si="470"/>
        <v>-1493.8628262266047</v>
      </c>
      <c r="AU590">
        <f t="shared" si="471"/>
        <v>-102.58482643310347</v>
      </c>
      <c r="AV590">
        <f t="shared" si="511"/>
        <v>-3.0730294449956816</v>
      </c>
      <c r="AW590">
        <f t="shared" si="512"/>
        <v>294.52453837987025</v>
      </c>
      <c r="AX590">
        <f t="shared" si="513"/>
        <v>-1750.0400574805706</v>
      </c>
      <c r="AY590">
        <f t="shared" si="521"/>
        <v>-1.404062885037348</v>
      </c>
      <c r="BA590">
        <f t="shared" si="502"/>
        <v>0.84376098611368011</v>
      </c>
      <c r="BB590">
        <f t="shared" si="514"/>
        <v>-1.4756111886409</v>
      </c>
      <c r="BC590">
        <f t="shared" si="515"/>
        <v>-1.6689665599583337</v>
      </c>
      <c r="BD590">
        <f t="shared" si="503"/>
        <v>-275.62474014334737</v>
      </c>
      <c r="BF590">
        <f t="shared" si="504"/>
        <v>-63.720886062209196</v>
      </c>
      <c r="BG590">
        <f t="shared" si="505"/>
        <v>-192.88601478094711</v>
      </c>
      <c r="BH590">
        <f t="shared" si="516"/>
        <v>-12.886014780947107</v>
      </c>
      <c r="BI590">
        <f t="shared" si="517"/>
        <v>-12.886014780947107</v>
      </c>
      <c r="BJ590">
        <f t="shared" si="506"/>
        <v>0</v>
      </c>
      <c r="BK590">
        <f t="shared" si="518"/>
        <v>0</v>
      </c>
      <c r="BM590">
        <f t="shared" si="519"/>
        <v>-62.245274873568299</v>
      </c>
      <c r="BN590">
        <f t="shared" si="507"/>
        <v>-97.261274637599769</v>
      </c>
      <c r="BQ590" s="66">
        <f t="shared" si="520"/>
        <v>15.426349611644238</v>
      </c>
    </row>
    <row r="591" spans="1:69" x14ac:dyDescent="0.15">
      <c r="A591">
        <f t="shared" si="472"/>
        <v>1885000</v>
      </c>
      <c r="B591">
        <f t="shared" si="508"/>
        <v>1885</v>
      </c>
      <c r="C591">
        <f t="shared" si="477"/>
        <v>7.8806151378694933</v>
      </c>
      <c r="D591">
        <f t="shared" si="478"/>
        <v>1.4435596475794261</v>
      </c>
      <c r="F591">
        <f t="shared" si="479"/>
        <v>6.5149747452179065E-6</v>
      </c>
      <c r="G591">
        <f t="shared" si="480"/>
        <v>8.360443519950429E-4</v>
      </c>
      <c r="H591">
        <f t="shared" si="481"/>
        <v>-3.1407566056480052</v>
      </c>
      <c r="J591">
        <f t="shared" si="482"/>
        <v>15</v>
      </c>
      <c r="M591">
        <f t="shared" si="483"/>
        <v>5.0558281825872822E-4</v>
      </c>
      <c r="N591">
        <f t="shared" si="484"/>
        <v>-1.5707963250000001</v>
      </c>
      <c r="O591">
        <f t="shared" si="485"/>
        <v>801.23398429000258</v>
      </c>
      <c r="P591">
        <f t="shared" si="486"/>
        <v>1.5695482516018537</v>
      </c>
      <c r="Q591">
        <f t="shared" si="487"/>
        <v>362.63497856609365</v>
      </c>
      <c r="R591">
        <f t="shared" si="488"/>
        <v>1.5680387294132381</v>
      </c>
      <c r="S591">
        <f t="shared" si="489"/>
        <v>0.1353644099920932</v>
      </c>
      <c r="T591">
        <f t="shared" si="490"/>
        <v>-1.4350150783368971</v>
      </c>
      <c r="U591">
        <f t="shared" si="491"/>
        <v>6.9309147457043668E-2</v>
      </c>
      <c r="V591">
        <f t="shared" si="492"/>
        <v>-1.501431568312239</v>
      </c>
      <c r="X591">
        <f t="shared" si="509"/>
        <v>-59.482389478829987</v>
      </c>
      <c r="Y591">
        <f t="shared" si="493"/>
        <v>-175.71773054869863</v>
      </c>
      <c r="Z591">
        <f t="shared" si="510"/>
        <v>4.2822694513013744</v>
      </c>
      <c r="AC591">
        <v>1</v>
      </c>
      <c r="AD591">
        <f t="shared" si="494"/>
        <v>801.23336025232504</v>
      </c>
      <c r="AE591">
        <f t="shared" si="495"/>
        <v>-1.4234476664772329</v>
      </c>
      <c r="AF591">
        <f t="shared" si="496"/>
        <v>9.8895765825675011E-2</v>
      </c>
      <c r="AG591">
        <f t="shared" si="473"/>
        <v>38.219923721031321</v>
      </c>
      <c r="AH591">
        <f t="shared" si="474"/>
        <v>-560.22682842965594</v>
      </c>
      <c r="AJ591">
        <f t="shared" si="497"/>
        <v>20000</v>
      </c>
      <c r="AK591">
        <f t="shared" si="498"/>
        <v>146389.42103058001</v>
      </c>
      <c r="AL591">
        <v>1</v>
      </c>
      <c r="AM591">
        <f t="shared" si="499"/>
        <v>362.63359976652902</v>
      </c>
      <c r="AN591">
        <f t="shared" si="475"/>
        <v>403.83312412392723</v>
      </c>
      <c r="AO591">
        <f t="shared" si="476"/>
        <v>-54.038475443236621</v>
      </c>
      <c r="AQ591">
        <f t="shared" si="500"/>
        <v>7.0358612924975692E-4</v>
      </c>
      <c r="AR591">
        <f t="shared" si="501"/>
        <v>-2.6525197072715838</v>
      </c>
      <c r="AT591">
        <f t="shared" si="470"/>
        <v>-1485.9858119437276</v>
      </c>
      <c r="AU591">
        <f t="shared" si="471"/>
        <v>-101.77326870616895</v>
      </c>
      <c r="AV591">
        <f t="shared" si="511"/>
        <v>-3.0732107183170094</v>
      </c>
      <c r="AW591">
        <f t="shared" si="512"/>
        <v>295.1037333814694</v>
      </c>
      <c r="AX591">
        <f t="shared" si="513"/>
        <v>-1745.4083126798889</v>
      </c>
      <c r="AY591">
        <f t="shared" si="521"/>
        <v>-1.4033059808418982</v>
      </c>
      <c r="BA591">
        <f t="shared" si="502"/>
        <v>0.84142126503745696</v>
      </c>
      <c r="BB591">
        <f t="shared" si="514"/>
        <v>-1.499730327204708</v>
      </c>
      <c r="BC591">
        <f t="shared" si="515"/>
        <v>-1.6699047374751113</v>
      </c>
      <c r="BD591">
        <f t="shared" si="503"/>
        <v>-275.6784937555542</v>
      </c>
      <c r="BF591">
        <f t="shared" si="504"/>
        <v>-63.768448043709299</v>
      </c>
      <c r="BG591">
        <f t="shared" si="505"/>
        <v>-192.92071656644094</v>
      </c>
      <c r="BH591">
        <f t="shared" si="516"/>
        <v>-12.920716566440944</v>
      </c>
      <c r="BI591">
        <f t="shared" si="517"/>
        <v>-12.920716566440944</v>
      </c>
      <c r="BJ591">
        <f t="shared" si="506"/>
        <v>0</v>
      </c>
      <c r="BK591">
        <f t="shared" si="518"/>
        <v>0</v>
      </c>
      <c r="BM591">
        <f t="shared" si="519"/>
        <v>-62.26871771650459</v>
      </c>
      <c r="BN591">
        <f t="shared" si="507"/>
        <v>-97.242222810886773</v>
      </c>
      <c r="BQ591" s="66">
        <f t="shared" si="520"/>
        <v>15.402230473080428</v>
      </c>
    </row>
    <row r="592" spans="1:69" x14ac:dyDescent="0.15">
      <c r="A592">
        <f>A591+5000</f>
        <v>1890000</v>
      </c>
      <c r="B592">
        <f t="shared" si="508"/>
        <v>1890</v>
      </c>
      <c r="C592">
        <f t="shared" si="477"/>
        <v>7.9011824764460519</v>
      </c>
      <c r="D592">
        <f t="shared" si="478"/>
        <v>1.4438926455642438</v>
      </c>
      <c r="F592">
        <f t="shared" si="479"/>
        <v>6.4805493608539316E-6</v>
      </c>
      <c r="G592">
        <f t="shared" si="480"/>
        <v>8.3383256630333599E-4</v>
      </c>
      <c r="H592">
        <f t="shared" si="481"/>
        <v>-3.1407588174336967</v>
      </c>
      <c r="J592">
        <f t="shared" si="482"/>
        <v>15</v>
      </c>
      <c r="M592">
        <f t="shared" si="483"/>
        <v>5.0424529757550412E-4</v>
      </c>
      <c r="N592">
        <f t="shared" si="484"/>
        <v>-1.5707963250000001</v>
      </c>
      <c r="O592">
        <f t="shared" si="485"/>
        <v>803.35927006683551</v>
      </c>
      <c r="P592">
        <f t="shared" si="486"/>
        <v>1.5695515533846633</v>
      </c>
      <c r="Q592">
        <f t="shared" si="487"/>
        <v>363.59686775606656</v>
      </c>
      <c r="R592">
        <f t="shared" si="488"/>
        <v>1.5680460246075696</v>
      </c>
      <c r="S592">
        <f t="shared" si="489"/>
        <v>0.13501283932642613</v>
      </c>
      <c r="T592">
        <f t="shared" si="490"/>
        <v>-1.4353699063682106</v>
      </c>
      <c r="U592">
        <f t="shared" si="491"/>
        <v>6.912666725381543E-2</v>
      </c>
      <c r="V592">
        <f t="shared" si="492"/>
        <v>-1.5016144872349808</v>
      </c>
      <c r="X592">
        <f t="shared" si="509"/>
        <v>-59.528246738899277</v>
      </c>
      <c r="Y592">
        <f t="shared" si="493"/>
        <v>-175.72898136442799</v>
      </c>
      <c r="Z592">
        <f t="shared" si="510"/>
        <v>4.2710186355720055</v>
      </c>
      <c r="AC592">
        <v>1</v>
      </c>
      <c r="AD592">
        <f t="shared" si="494"/>
        <v>803.35864768005013</v>
      </c>
      <c r="AE592">
        <f t="shared" si="495"/>
        <v>-1.4310091281647865</v>
      </c>
      <c r="AF592">
        <f t="shared" si="496"/>
        <v>9.9158088811950013E-2</v>
      </c>
      <c r="AG592">
        <f t="shared" si="473"/>
        <v>38.018934429560431</v>
      </c>
      <c r="AH592">
        <f t="shared" si="474"/>
        <v>-558.75867390782435</v>
      </c>
      <c r="AJ592">
        <f t="shared" si="497"/>
        <v>20000</v>
      </c>
      <c r="AK592">
        <f t="shared" si="498"/>
        <v>146777.72188212001</v>
      </c>
      <c r="AL592">
        <v>1</v>
      </c>
      <c r="AM592">
        <f t="shared" si="499"/>
        <v>363.59549260410597</v>
      </c>
      <c r="AN592">
        <f t="shared" si="475"/>
        <v>403.83233672446516</v>
      </c>
      <c r="AO592">
        <f t="shared" si="476"/>
        <v>-53.895518679084532</v>
      </c>
      <c r="AQ592">
        <f t="shared" si="500"/>
        <v>6.9986837575457185E-4</v>
      </c>
      <c r="AR592">
        <f t="shared" si="501"/>
        <v>-2.6455024603522816</v>
      </c>
      <c r="AT592">
        <f t="shared" si="470"/>
        <v>-1478.1708383164403</v>
      </c>
      <c r="AU592">
        <f t="shared" si="471"/>
        <v>-100.97024209892083</v>
      </c>
      <c r="AV592">
        <f t="shared" si="511"/>
        <v>-3.0733910371817319</v>
      </c>
      <c r="AW592">
        <f t="shared" si="512"/>
        <v>295.67832859636366</v>
      </c>
      <c r="AX592">
        <f t="shared" si="513"/>
        <v>-1740.8009939046524</v>
      </c>
      <c r="AY592">
        <f t="shared" si="521"/>
        <v>-1.4025501287873718</v>
      </c>
      <c r="BA592">
        <f t="shared" si="502"/>
        <v>0.83909354524789348</v>
      </c>
      <c r="BB592">
        <f t="shared" si="514"/>
        <v>-1.5237923943841429</v>
      </c>
      <c r="BC592">
        <f t="shared" si="515"/>
        <v>-1.6708409083943601</v>
      </c>
      <c r="BD592">
        <f t="shared" si="503"/>
        <v>-275.73213239819131</v>
      </c>
      <c r="BF592">
        <f t="shared" si="504"/>
        <v>-63.815888918137354</v>
      </c>
      <c r="BG592">
        <f t="shared" si="505"/>
        <v>-192.95540255592533</v>
      </c>
      <c r="BH592">
        <f t="shared" si="516"/>
        <v>-12.955402555925332</v>
      </c>
      <c r="BI592">
        <f t="shared" si="517"/>
        <v>-12.955402555925332</v>
      </c>
      <c r="BJ592">
        <f t="shared" si="506"/>
        <v>0</v>
      </c>
      <c r="BK592">
        <f t="shared" si="518"/>
        <v>0</v>
      </c>
      <c r="BM592">
        <f t="shared" si="519"/>
        <v>-62.292096523753209</v>
      </c>
      <c r="BN592">
        <f t="shared" si="507"/>
        <v>-97.223270157734007</v>
      </c>
      <c r="BQ592" s="66">
        <f t="shared" si="520"/>
        <v>15.378168405900993</v>
      </c>
    </row>
    <row r="593" spans="1:69" x14ac:dyDescent="0.15">
      <c r="A593">
        <f t="shared" ref="A593:A598" si="522">A592+5000</f>
        <v>1895000</v>
      </c>
      <c r="B593">
        <f t="shared" si="508"/>
        <v>1895</v>
      </c>
      <c r="C593">
        <f t="shared" si="477"/>
        <v>7.9217506866166882</v>
      </c>
      <c r="D593">
        <f t="shared" si="478"/>
        <v>1.4442239143788462</v>
      </c>
      <c r="F593">
        <f t="shared" si="479"/>
        <v>6.4463961155381516E-6</v>
      </c>
      <c r="G593">
        <f t="shared" si="480"/>
        <v>8.3163245252585154E-4</v>
      </c>
      <c r="H593">
        <f t="shared" si="481"/>
        <v>-3.1407610175474745</v>
      </c>
      <c r="J593">
        <f t="shared" si="482"/>
        <v>15</v>
      </c>
      <c r="M593">
        <f t="shared" si="483"/>
        <v>5.0291483504891969E-4</v>
      </c>
      <c r="N593">
        <f t="shared" si="484"/>
        <v>-1.5707963250000001</v>
      </c>
      <c r="O593">
        <f t="shared" si="485"/>
        <v>805.48455585238037</v>
      </c>
      <c r="P593">
        <f t="shared" si="486"/>
        <v>1.5695548377438442</v>
      </c>
      <c r="Q593">
        <f t="shared" si="487"/>
        <v>364.5587569652879</v>
      </c>
      <c r="R593">
        <f t="shared" si="488"/>
        <v>1.5680532813051238</v>
      </c>
      <c r="S593">
        <f t="shared" si="489"/>
        <v>0.13466307331723942</v>
      </c>
      <c r="T593">
        <f t="shared" si="490"/>
        <v>-1.4357228959995934</v>
      </c>
      <c r="U593">
        <f t="shared" si="491"/>
        <v>6.8945143122630517E-2</v>
      </c>
      <c r="V593">
        <f t="shared" si="492"/>
        <v>-1.5017964454868169</v>
      </c>
      <c r="X593">
        <f t="shared" si="509"/>
        <v>-59.573983677565508</v>
      </c>
      <c r="Y593">
        <f t="shared" si="493"/>
        <v>-175.74017341461908</v>
      </c>
      <c r="Z593">
        <f t="shared" si="510"/>
        <v>4.259826585380921</v>
      </c>
      <c r="AC593">
        <v>1</v>
      </c>
      <c r="AD593">
        <f t="shared" si="494"/>
        <v>805.4839351077751</v>
      </c>
      <c r="AE593">
        <f t="shared" si="495"/>
        <v>-1.4385906202144265</v>
      </c>
      <c r="AF593">
        <f t="shared" si="496"/>
        <v>9.9420411798225014E-2</v>
      </c>
      <c r="AG593">
        <f t="shared" si="473"/>
        <v>37.819523899254186</v>
      </c>
      <c r="AH593">
        <f t="shared" si="474"/>
        <v>-557.29815779571743</v>
      </c>
      <c r="AJ593">
        <f t="shared" si="497"/>
        <v>20000</v>
      </c>
      <c r="AK593">
        <f t="shared" si="498"/>
        <v>147166.02273366001</v>
      </c>
      <c r="AL593">
        <v>1</v>
      </c>
      <c r="AM593">
        <f t="shared" si="499"/>
        <v>364.55738544168298</v>
      </c>
      <c r="AN593">
        <f t="shared" si="475"/>
        <v>403.83155554942766</v>
      </c>
      <c r="AO593">
        <f t="shared" si="476"/>
        <v>-53.753316287115254</v>
      </c>
      <c r="AQ593">
        <f t="shared" si="500"/>
        <v>6.9618001154405696E-4</v>
      </c>
      <c r="AR593">
        <f t="shared" si="501"/>
        <v>-2.638522243751976</v>
      </c>
      <c r="AT593">
        <f t="shared" si="470"/>
        <v>-1470.4172565494143</v>
      </c>
      <c r="AU593">
        <f t="shared" si="471"/>
        <v>-100.17563489421934</v>
      </c>
      <c r="AV593">
        <f t="shared" si="511"/>
        <v>-3.0735704090961447</v>
      </c>
      <c r="AW593">
        <f t="shared" si="512"/>
        <v>296.24837262553774</v>
      </c>
      <c r="AX593">
        <f t="shared" si="513"/>
        <v>-1736.2179086476458</v>
      </c>
      <c r="AY593">
        <f t="shared" si="521"/>
        <v>-1.4017953221403576</v>
      </c>
      <c r="BA593">
        <f t="shared" si="502"/>
        <v>0.83677773333724159</v>
      </c>
      <c r="BB593">
        <f t="shared" si="514"/>
        <v>-1.5477976980596448</v>
      </c>
      <c r="BC593">
        <f t="shared" si="515"/>
        <v>-1.671775086955787</v>
      </c>
      <c r="BD593">
        <f t="shared" si="503"/>
        <v>-275.78565688713388</v>
      </c>
      <c r="BF593">
        <f t="shared" si="504"/>
        <v>-63.863209346693417</v>
      </c>
      <c r="BG593">
        <f t="shared" si="505"/>
        <v>-192.99007279711921</v>
      </c>
      <c r="BH593">
        <f t="shared" si="516"/>
        <v>-12.990072797119211</v>
      </c>
      <c r="BI593">
        <f t="shared" si="517"/>
        <v>-12.990072797119211</v>
      </c>
      <c r="BJ593">
        <f t="shared" si="506"/>
        <v>0</v>
      </c>
      <c r="BK593">
        <f t="shared" si="518"/>
        <v>0</v>
      </c>
      <c r="BM593">
        <f t="shared" si="519"/>
        <v>-62.315411648633763</v>
      </c>
      <c r="BN593">
        <f t="shared" si="507"/>
        <v>-97.204415909985357</v>
      </c>
      <c r="BQ593" s="66">
        <f t="shared" si="520"/>
        <v>15.354163102225494</v>
      </c>
    </row>
    <row r="594" spans="1:69" x14ac:dyDescent="0.15">
      <c r="A594">
        <f t="shared" si="522"/>
        <v>1900000</v>
      </c>
      <c r="B594">
        <f t="shared" si="508"/>
        <v>1900</v>
      </c>
      <c r="C594">
        <f t="shared" si="477"/>
        <v>7.9423197616099062</v>
      </c>
      <c r="D594">
        <f t="shared" si="478"/>
        <v>1.4445534673848945</v>
      </c>
      <c r="F594">
        <f t="shared" si="479"/>
        <v>6.412512148392053E-6</v>
      </c>
      <c r="G594">
        <f t="shared" si="480"/>
        <v>8.2944391851357186E-4</v>
      </c>
      <c r="H594">
        <f t="shared" si="481"/>
        <v>-3.1407632060814867</v>
      </c>
      <c r="J594">
        <f t="shared" si="482"/>
        <v>15</v>
      </c>
      <c r="M594">
        <f t="shared" si="483"/>
        <v>5.0159137495668562E-4</v>
      </c>
      <c r="N594">
        <f t="shared" si="484"/>
        <v>-1.5707963250000001</v>
      </c>
      <c r="O594">
        <f t="shared" si="485"/>
        <v>807.60984164656816</v>
      </c>
      <c r="P594">
        <f t="shared" si="486"/>
        <v>1.5695581048169505</v>
      </c>
      <c r="Q594">
        <f t="shared" si="487"/>
        <v>365.52064619360578</v>
      </c>
      <c r="R594">
        <f t="shared" si="488"/>
        <v>1.5680604998098195</v>
      </c>
      <c r="S594">
        <f t="shared" si="489"/>
        <v>0.13431509823575657</v>
      </c>
      <c r="T594">
        <f t="shared" si="490"/>
        <v>-1.4360740613942458</v>
      </c>
      <c r="U594">
        <f t="shared" si="491"/>
        <v>6.8764567587303108E-2</v>
      </c>
      <c r="V594">
        <f t="shared" si="492"/>
        <v>-1.5019774506039851</v>
      </c>
      <c r="X594">
        <f t="shared" si="509"/>
        <v>-59.619600922490157</v>
      </c>
      <c r="Y594">
        <f t="shared" si="493"/>
        <v>-175.75130715697642</v>
      </c>
      <c r="Z594">
        <f t="shared" si="510"/>
        <v>4.2486928430235764</v>
      </c>
      <c r="AC594">
        <v>1</v>
      </c>
      <c r="AD594">
        <f t="shared" si="494"/>
        <v>807.60922253550007</v>
      </c>
      <c r="AE594">
        <f t="shared" si="495"/>
        <v>-1.4461921426261524</v>
      </c>
      <c r="AF594">
        <f t="shared" si="496"/>
        <v>9.9682734784500016E-2</v>
      </c>
      <c r="AG594">
        <f t="shared" si="473"/>
        <v>37.621675664687821</v>
      </c>
      <c r="AH594">
        <f t="shared" si="474"/>
        <v>-555.84522092502471</v>
      </c>
      <c r="AJ594">
        <f t="shared" si="497"/>
        <v>20000</v>
      </c>
      <c r="AK594">
        <f t="shared" si="498"/>
        <v>147554.32358520001</v>
      </c>
      <c r="AL594">
        <v>1</v>
      </c>
      <c r="AM594">
        <f t="shared" si="499"/>
        <v>365.51927827925999</v>
      </c>
      <c r="AN594">
        <f t="shared" si="475"/>
        <v>403.83078053338176</v>
      </c>
      <c r="AO594">
        <f t="shared" si="476"/>
        <v>-53.611862311937941</v>
      </c>
      <c r="AQ594">
        <f t="shared" si="500"/>
        <v>6.9252072766476955E-4</v>
      </c>
      <c r="AR594">
        <f t="shared" si="501"/>
        <v>-2.6315787651261244</v>
      </c>
      <c r="AT594">
        <f t="shared" si="470"/>
        <v>-1462.7244262929271</v>
      </c>
      <c r="AU594">
        <f t="shared" si="471"/>
        <v>-99.389337124518718</v>
      </c>
      <c r="AV594">
        <f t="shared" si="511"/>
        <v>-3.0737488414881655</v>
      </c>
      <c r="AW594">
        <f t="shared" si="512"/>
        <v>296.81391342948314</v>
      </c>
      <c r="AX594">
        <f t="shared" si="513"/>
        <v>-1731.6588664171834</v>
      </c>
      <c r="AY594">
        <f t="shared" si="521"/>
        <v>-1.4010415542417367</v>
      </c>
      <c r="BA594">
        <f t="shared" si="502"/>
        <v>0.83447373686524628</v>
      </c>
      <c r="BB594">
        <f t="shared" si="514"/>
        <v>-1.5717465437207381</v>
      </c>
      <c r="BC594">
        <f t="shared" si="515"/>
        <v>-1.6727072872464288</v>
      </c>
      <c r="BD594">
        <f t="shared" si="503"/>
        <v>-275.83906802950958</v>
      </c>
      <c r="BF594">
        <f t="shared" si="504"/>
        <v>-63.910409985240754</v>
      </c>
      <c r="BG594">
        <f t="shared" si="505"/>
        <v>-193.02472733686326</v>
      </c>
      <c r="BH594">
        <f t="shared" si="516"/>
        <v>-13.024727336863265</v>
      </c>
      <c r="BI594">
        <f t="shared" si="517"/>
        <v>-13.024727336863265</v>
      </c>
      <c r="BJ594">
        <f t="shared" si="506"/>
        <v>0</v>
      </c>
      <c r="BK594">
        <f t="shared" si="518"/>
        <v>0</v>
      </c>
      <c r="BM594">
        <f t="shared" si="519"/>
        <v>-62.338663441520012</v>
      </c>
      <c r="BN594">
        <f t="shared" si="507"/>
        <v>-97.185659307353731</v>
      </c>
      <c r="BQ594" s="66">
        <f t="shared" si="520"/>
        <v>15.330214256564398</v>
      </c>
    </row>
    <row r="595" spans="1:69" x14ac:dyDescent="0.15">
      <c r="A595">
        <f t="shared" si="522"/>
        <v>1905000</v>
      </c>
      <c r="B595">
        <f t="shared" si="508"/>
        <v>1905</v>
      </c>
      <c r="C595">
        <f t="shared" si="477"/>
        <v>7.9628896947238923</v>
      </c>
      <c r="D595">
        <f t="shared" si="478"/>
        <v>1.4448813178074844</v>
      </c>
      <c r="F595">
        <f t="shared" si="479"/>
        <v>6.3788946360325943E-6</v>
      </c>
      <c r="G595">
        <f t="shared" si="480"/>
        <v>8.272668730849533E-4</v>
      </c>
      <c r="H595">
        <f t="shared" si="481"/>
        <v>-3.1407653831269151</v>
      </c>
      <c r="J595">
        <f t="shared" si="482"/>
        <v>15</v>
      </c>
      <c r="M595">
        <f t="shared" si="483"/>
        <v>5.0027486216152369E-4</v>
      </c>
      <c r="N595">
        <f t="shared" si="484"/>
        <v>-1.5707963250000001</v>
      </c>
      <c r="O595">
        <f t="shared" si="485"/>
        <v>809.73512744933089</v>
      </c>
      <c r="P595">
        <f t="shared" si="486"/>
        <v>1.5695613547400931</v>
      </c>
      <c r="Q595">
        <f t="shared" si="487"/>
        <v>366.48253544086981</v>
      </c>
      <c r="R595">
        <f t="shared" si="488"/>
        <v>1.568067680422385</v>
      </c>
      <c r="S595">
        <f t="shared" si="489"/>
        <v>0.13396890049074078</v>
      </c>
      <c r="T595">
        <f t="shared" si="490"/>
        <v>-1.436423416571156</v>
      </c>
      <c r="U595">
        <f t="shared" si="491"/>
        <v>6.8584933249206254E-2</v>
      </c>
      <c r="V595">
        <f t="shared" si="492"/>
        <v>-1.5021575100442268</v>
      </c>
      <c r="X595">
        <f t="shared" si="509"/>
        <v>-59.665099096451861</v>
      </c>
      <c r="Y595">
        <f t="shared" si="493"/>
        <v>-175.76238304447918</v>
      </c>
      <c r="Z595">
        <f t="shared" si="510"/>
        <v>4.2376169555208207</v>
      </c>
      <c r="AC595">
        <v>1</v>
      </c>
      <c r="AD595">
        <f t="shared" si="494"/>
        <v>809.73450996322515</v>
      </c>
      <c r="AE595">
        <f t="shared" si="495"/>
        <v>-1.4538136953999647</v>
      </c>
      <c r="AF595">
        <f t="shared" si="496"/>
        <v>9.9945057770775017E-2</v>
      </c>
      <c r="AG595">
        <f t="shared" si="473"/>
        <v>37.425373474192114</v>
      </c>
      <c r="AH595">
        <f t="shared" si="474"/>
        <v>-554.3998047339303</v>
      </c>
      <c r="AJ595">
        <f t="shared" si="497"/>
        <v>20000</v>
      </c>
      <c r="AK595">
        <f t="shared" si="498"/>
        <v>147942.62443674001</v>
      </c>
      <c r="AL595">
        <v>1</v>
      </c>
      <c r="AM595">
        <f t="shared" si="499"/>
        <v>366.481171116837</v>
      </c>
      <c r="AN595">
        <f t="shared" si="475"/>
        <v>403.83001161175179</v>
      </c>
      <c r="AO595">
        <f t="shared" si="476"/>
        <v>-53.471150860683203</v>
      </c>
      <c r="AQ595">
        <f t="shared" si="500"/>
        <v>6.8889021921244556E-4</v>
      </c>
      <c r="AR595">
        <f t="shared" si="501"/>
        <v>-2.6246717351994175</v>
      </c>
      <c r="AT595">
        <f t="shared" si="470"/>
        <v>-1455.0917155114864</v>
      </c>
      <c r="AU595">
        <f t="shared" si="471"/>
        <v>-98.611240540008566</v>
      </c>
      <c r="AV595">
        <f t="shared" si="511"/>
        <v>-3.0739263417083529</v>
      </c>
      <c r="AW595">
        <f t="shared" si="512"/>
        <v>297.37499833830492</v>
      </c>
      <c r="AX595">
        <f t="shared" si="513"/>
        <v>-1727.123678710826</v>
      </c>
      <c r="AY595">
        <f t="shared" si="521"/>
        <v>-1.4002888185056921</v>
      </c>
      <c r="BA595">
        <f t="shared" si="502"/>
        <v>0.83218146434670559</v>
      </c>
      <c r="BB595">
        <f t="shared" si="514"/>
        <v>-1.5956392344902199</v>
      </c>
      <c r="BC595">
        <f t="shared" si="515"/>
        <v>-1.6736375232026608</v>
      </c>
      <c r="BD595">
        <f t="shared" si="503"/>
        <v>-275.89236662381387</v>
      </c>
      <c r="BF595">
        <f t="shared" si="504"/>
        <v>-63.957491484362954</v>
      </c>
      <c r="BG595">
        <f t="shared" si="505"/>
        <v>-193.05936622113512</v>
      </c>
      <c r="BH595">
        <f t="shared" si="516"/>
        <v>-13.059366221135122</v>
      </c>
      <c r="BI595">
        <f t="shared" si="517"/>
        <v>-13.059366221135122</v>
      </c>
      <c r="BJ595">
        <f t="shared" si="506"/>
        <v>0</v>
      </c>
      <c r="BK595">
        <f t="shared" si="518"/>
        <v>0</v>
      </c>
      <c r="BM595">
        <f t="shared" si="519"/>
        <v>-62.361852249872733</v>
      </c>
      <c r="BN595">
        <f t="shared" si="507"/>
        <v>-97.166999597321279</v>
      </c>
      <c r="BQ595" s="66">
        <f t="shared" si="520"/>
        <v>15.306321565794917</v>
      </c>
    </row>
    <row r="596" spans="1:69" x14ac:dyDescent="0.15">
      <c r="A596">
        <f t="shared" si="522"/>
        <v>1910000</v>
      </c>
      <c r="B596">
        <f t="shared" si="508"/>
        <v>1910</v>
      </c>
      <c r="C596">
        <f t="shared" si="477"/>
        <v>7.9834604793256254</v>
      </c>
      <c r="D596">
        <f t="shared" si="478"/>
        <v>1.4452074787368774</v>
      </c>
      <c r="F596">
        <f t="shared" si="479"/>
        <v>6.3455407919840226E-6</v>
      </c>
      <c r="G596">
        <f t="shared" si="480"/>
        <v>8.2510122601326178E-4</v>
      </c>
      <c r="H596">
        <f t="shared" si="481"/>
        <v>-3.140767548773987</v>
      </c>
      <c r="J596">
        <f t="shared" si="482"/>
        <v>15</v>
      </c>
      <c r="M596">
        <f t="shared" si="483"/>
        <v>4.9896524210350931E-4</v>
      </c>
      <c r="N596">
        <f t="shared" si="484"/>
        <v>-1.5707963250000001</v>
      </c>
      <c r="O596">
        <f t="shared" si="485"/>
        <v>811.86041326060138</v>
      </c>
      <c r="P596">
        <f t="shared" si="486"/>
        <v>1.5695645876479571</v>
      </c>
      <c r="Q596">
        <f t="shared" si="487"/>
        <v>367.44442470693122</v>
      </c>
      <c r="R596">
        <f t="shared" si="488"/>
        <v>1.5680748234403996</v>
      </c>
      <c r="S596">
        <f t="shared" si="489"/>
        <v>0.13362446662679472</v>
      </c>
      <c r="T596">
        <f t="shared" si="490"/>
        <v>-1.4367709754069191</v>
      </c>
      <c r="U596">
        <f t="shared" si="491"/>
        <v>6.8406232786271157E-2</v>
      </c>
      <c r="V596">
        <f t="shared" si="492"/>
        <v>-1.5023366311878044</v>
      </c>
      <c r="X596">
        <f t="shared" si="509"/>
        <v>-59.710478817396833</v>
      </c>
      <c r="Y596">
        <f t="shared" si="493"/>
        <v>-175.77340152544144</v>
      </c>
      <c r="Z596">
        <f t="shared" si="510"/>
        <v>4.226598474558557</v>
      </c>
      <c r="AC596">
        <v>1</v>
      </c>
      <c r="AD596">
        <f t="shared" si="494"/>
        <v>811.85979739095001</v>
      </c>
      <c r="AE596">
        <f t="shared" si="495"/>
        <v>-1.4614552785358634</v>
      </c>
      <c r="AF596">
        <f t="shared" si="496"/>
        <v>0.10020738075705002</v>
      </c>
      <c r="AG596">
        <f t="shared" si="473"/>
        <v>37.230601286537379</v>
      </c>
      <c r="AH596">
        <f t="shared" si="474"/>
        <v>-552.96185125940212</v>
      </c>
      <c r="AJ596">
        <f t="shared" si="497"/>
        <v>20000</v>
      </c>
      <c r="AK596">
        <f t="shared" si="498"/>
        <v>148330.92528828001</v>
      </c>
      <c r="AL596">
        <v>1</v>
      </c>
      <c r="AM596">
        <f t="shared" si="499"/>
        <v>367.44306395441401</v>
      </c>
      <c r="AN596">
        <f t="shared" si="475"/>
        <v>403.82924872080628</v>
      </c>
      <c r="AO596">
        <f t="shared" si="476"/>
        <v>-53.331176102184763</v>
      </c>
      <c r="AQ596">
        <f t="shared" si="500"/>
        <v>6.8528818526848322E-4</v>
      </c>
      <c r="AR596">
        <f t="shared" si="501"/>
        <v>-2.6178008677256059</v>
      </c>
      <c r="AT596">
        <f t="shared" si="470"/>
        <v>-1447.5185003548281</v>
      </c>
      <c r="AU596">
        <f t="shared" si="471"/>
        <v>-97.841238577415879</v>
      </c>
      <c r="AV596">
        <f t="shared" si="511"/>
        <v>-3.074102917030908</v>
      </c>
      <c r="AW596">
        <f t="shared" si="512"/>
        <v>297.93167406164252</v>
      </c>
      <c r="AX596">
        <f t="shared" si="513"/>
        <v>-1722.6121589895076</v>
      </c>
      <c r="AY596">
        <f t="shared" si="521"/>
        <v>-1.3995371084187327</v>
      </c>
      <c r="BA596">
        <f t="shared" si="502"/>
        <v>0.82990082523921582</v>
      </c>
      <c r="BB596">
        <f t="shared" si="514"/>
        <v>-1.6194760711480951</v>
      </c>
      <c r="BC596">
        <f t="shared" si="515"/>
        <v>-1.6745658086121753</v>
      </c>
      <c r="BD596">
        <f t="shared" si="503"/>
        <v>-275.9455534600234</v>
      </c>
      <c r="BF596">
        <f t="shared" si="504"/>
        <v>-64.004454489420311</v>
      </c>
      <c r="BG596">
        <f t="shared" si="505"/>
        <v>-193.09398949506428</v>
      </c>
      <c r="BH596">
        <f t="shared" si="516"/>
        <v>-13.093989495064278</v>
      </c>
      <c r="BI596">
        <f t="shared" si="517"/>
        <v>-13.093989495064278</v>
      </c>
      <c r="BJ596">
        <f t="shared" si="506"/>
        <v>0</v>
      </c>
      <c r="BK596">
        <f t="shared" si="518"/>
        <v>0</v>
      </c>
      <c r="BM596">
        <f t="shared" si="519"/>
        <v>-62.384978418272212</v>
      </c>
      <c r="BN596">
        <f t="shared" si="507"/>
        <v>-97.14843603504093</v>
      </c>
      <c r="BQ596" s="66">
        <f t="shared" si="520"/>
        <v>15.282484729137041</v>
      </c>
    </row>
    <row r="597" spans="1:69" x14ac:dyDescent="0.15">
      <c r="A597">
        <f t="shared" si="522"/>
        <v>1915000</v>
      </c>
      <c r="B597">
        <f t="shared" si="508"/>
        <v>1915</v>
      </c>
      <c r="C597">
        <f t="shared" si="477"/>
        <v>8.0040321088499997</v>
      </c>
      <c r="D597">
        <f t="shared" si="478"/>
        <v>1.4455319631302046</v>
      </c>
      <c r="F597">
        <f t="shared" si="479"/>
        <v>6.3124478661004451E-6</v>
      </c>
      <c r="G597">
        <f t="shared" si="480"/>
        <v>8.2294688801410904E-4</v>
      </c>
      <c r="H597">
        <f t="shared" si="481"/>
        <v>-3.1407697031119861</v>
      </c>
      <c r="J597">
        <f t="shared" si="482"/>
        <v>15</v>
      </c>
      <c r="M597">
        <f t="shared" si="483"/>
        <v>4.9766246079253407E-4</v>
      </c>
      <c r="N597">
        <f t="shared" si="484"/>
        <v>-1.5707963250000001</v>
      </c>
      <c r="O597">
        <f t="shared" si="485"/>
        <v>813.98569908031288</v>
      </c>
      <c r="P597">
        <f t="shared" si="486"/>
        <v>1.5695678036738212</v>
      </c>
      <c r="Q597">
        <f t="shared" si="487"/>
        <v>368.40631399164272</v>
      </c>
      <c r="R597">
        <f t="shared" si="488"/>
        <v>1.5680819291583346</v>
      </c>
      <c r="S597">
        <f t="shared" si="489"/>
        <v>0.133281783322685</v>
      </c>
      <c r="T597">
        <f t="shared" si="490"/>
        <v>-1.4371167516375281</v>
      </c>
      <c r="U597">
        <f t="shared" si="491"/>
        <v>6.8228458952001872E-2</v>
      </c>
      <c r="V597">
        <f t="shared" si="492"/>
        <v>-1.5025148213385031</v>
      </c>
      <c r="X597">
        <f t="shared" si="509"/>
        <v>-59.75574069848858</v>
      </c>
      <c r="Y597">
        <f t="shared" si="493"/>
        <v>-175.78436304357226</v>
      </c>
      <c r="Z597">
        <f t="shared" si="510"/>
        <v>4.2156369564277441</v>
      </c>
      <c r="AC597">
        <v>1</v>
      </c>
      <c r="AD597">
        <f t="shared" si="494"/>
        <v>813.9850848186752</v>
      </c>
      <c r="AE597">
        <f t="shared" si="495"/>
        <v>-1.4691168920338482</v>
      </c>
      <c r="AF597">
        <f t="shared" si="496"/>
        <v>0.10046970374332501</v>
      </c>
      <c r="AG597">
        <f t="shared" si="473"/>
        <v>37.03734326767713</v>
      </c>
      <c r="AH597">
        <f t="shared" si="474"/>
        <v>-551.53130312959706</v>
      </c>
      <c r="AJ597">
        <f t="shared" si="497"/>
        <v>20000</v>
      </c>
      <c r="AK597">
        <f t="shared" si="498"/>
        <v>148719.22613982001</v>
      </c>
      <c r="AL597">
        <v>1</v>
      </c>
      <c r="AM597">
        <f t="shared" si="499"/>
        <v>368.40495679199097</v>
      </c>
      <c r="AN597">
        <f t="shared" si="475"/>
        <v>403.82849179764469</v>
      </c>
      <c r="AO597">
        <f t="shared" si="476"/>
        <v>-53.191932266174028</v>
      </c>
      <c r="AQ597">
        <f t="shared" si="500"/>
        <v>6.8171432883758643E-4</v>
      </c>
      <c r="AR597">
        <f t="shared" si="501"/>
        <v>-2.610965879447956</v>
      </c>
      <c r="AT597">
        <f t="shared" si="470"/>
        <v>-1440.004165031238</v>
      </c>
      <c r="AU597">
        <f t="shared" si="471"/>
        <v>-97.079226329452354</v>
      </c>
      <c r="AV597">
        <f t="shared" si="511"/>
        <v>-3.0742785746546639</v>
      </c>
      <c r="AW597">
        <f t="shared" si="512"/>
        <v>298.48398669840975</v>
      </c>
      <c r="AX597">
        <f t="shared" si="513"/>
        <v>-1718.1241226520669</v>
      </c>
      <c r="AY597">
        <f t="shared" si="521"/>
        <v>-1.3987864175387335</v>
      </c>
      <c r="BA597">
        <f t="shared" si="502"/>
        <v>0.82763172993110412</v>
      </c>
      <c r="BB597">
        <f t="shared" si="514"/>
        <v>-1.6432573521552198</v>
      </c>
      <c r="BC597">
        <f t="shared" si="515"/>
        <v>-1.6754921571159305</v>
      </c>
      <c r="BD597">
        <f t="shared" si="503"/>
        <v>-275.99862931970745</v>
      </c>
      <c r="BF597">
        <f t="shared" si="504"/>
        <v>-64.051299640605436</v>
      </c>
      <c r="BG597">
        <f t="shared" si="505"/>
        <v>-193.12859720294676</v>
      </c>
      <c r="BH597">
        <f t="shared" si="516"/>
        <v>-13.128597202946764</v>
      </c>
      <c r="BI597">
        <f t="shared" si="517"/>
        <v>-13.128597202946764</v>
      </c>
      <c r="BJ597">
        <f t="shared" si="506"/>
        <v>0</v>
      </c>
      <c r="BK597">
        <f t="shared" si="518"/>
        <v>0</v>
      </c>
      <c r="BM597">
        <f t="shared" si="519"/>
        <v>-62.408042288450211</v>
      </c>
      <c r="BN597">
        <f t="shared" si="507"/>
        <v>-97.129967883239303</v>
      </c>
      <c r="BQ597" s="66">
        <f t="shared" si="520"/>
        <v>15.258703448129916</v>
      </c>
    </row>
    <row r="598" spans="1:69" x14ac:dyDescent="0.15">
      <c r="A598">
        <f t="shared" si="522"/>
        <v>1920000</v>
      </c>
      <c r="B598">
        <f t="shared" si="508"/>
        <v>1920</v>
      </c>
      <c r="C598">
        <f t="shared" si="477"/>
        <v>8.0246045767989642</v>
      </c>
      <c r="D598">
        <f t="shared" si="478"/>
        <v>1.4458547838131466</v>
      </c>
      <c r="F598">
        <f t="shared" si="479"/>
        <v>6.2796131439989059E-6</v>
      </c>
      <c r="G598">
        <f t="shared" si="480"/>
        <v>8.2080377073318197E-4</v>
      </c>
      <c r="H598">
        <f t="shared" si="481"/>
        <v>-3.1407718462292671</v>
      </c>
      <c r="J598">
        <f t="shared" si="482"/>
        <v>15</v>
      </c>
      <c r="M598">
        <f t="shared" si="483"/>
        <v>4.9636646480088684E-4</v>
      </c>
      <c r="N598">
        <f t="shared" si="484"/>
        <v>-1.5707963250000001</v>
      </c>
      <c r="O598">
        <f t="shared" si="485"/>
        <v>816.11098490839936</v>
      </c>
      <c r="P598">
        <f t="shared" si="486"/>
        <v>1.569571002949576</v>
      </c>
      <c r="Q598">
        <f t="shared" si="487"/>
        <v>369.36820329485852</v>
      </c>
      <c r="R598">
        <f t="shared" si="488"/>
        <v>1.5680889978675938</v>
      </c>
      <c r="S598">
        <f t="shared" si="489"/>
        <v>0.13294083738969126</v>
      </c>
      <c r="T598">
        <f t="shared" si="490"/>
        <v>-1.4374607588601398</v>
      </c>
      <c r="U598">
        <f t="shared" si="491"/>
        <v>6.8051604574505126E-2</v>
      </c>
      <c r="V598">
        <f t="shared" si="492"/>
        <v>-1.5026920877246179</v>
      </c>
      <c r="X598">
        <f t="shared" si="509"/>
        <v>-59.800885348156967</v>
      </c>
      <c r="Y598">
        <f t="shared" si="493"/>
        <v>-175.79526803803395</v>
      </c>
      <c r="Z598">
        <f t="shared" si="510"/>
        <v>4.204731961966047</v>
      </c>
      <c r="AC598">
        <v>1</v>
      </c>
      <c r="AD598">
        <f t="shared" si="494"/>
        <v>816.11037224640006</v>
      </c>
      <c r="AE598">
        <f t="shared" si="495"/>
        <v>-1.4767985358939193</v>
      </c>
      <c r="AF598">
        <f t="shared" si="496"/>
        <v>0.10073202672960001</v>
      </c>
      <c r="AG598">
        <f t="shared" si="473"/>
        <v>36.845583787550289</v>
      </c>
      <c r="AH598">
        <f t="shared" si="474"/>
        <v>-550.10810355638148</v>
      </c>
      <c r="AJ598">
        <f t="shared" si="497"/>
        <v>20000</v>
      </c>
      <c r="AK598">
        <f t="shared" si="498"/>
        <v>149107.52699136001</v>
      </c>
      <c r="AL598">
        <v>1</v>
      </c>
      <c r="AM598">
        <f t="shared" si="499"/>
        <v>369.36684962956798</v>
      </c>
      <c r="AN598">
        <f t="shared" si="475"/>
        <v>403.82774078018429</v>
      </c>
      <c r="AO598">
        <f t="shared" si="476"/>
        <v>-53.053413642487136</v>
      </c>
      <c r="AQ598">
        <f t="shared" si="500"/>
        <v>6.7816835678654263E-4</v>
      </c>
      <c r="AR598">
        <f t="shared" si="501"/>
        <v>-2.6041664900603236</v>
      </c>
      <c r="AT598">
        <f t="shared" ref="AT598:AT626" si="523">-AR598*AH598+AG598*AQ598</f>
        <v>-1432.5481016831509</v>
      </c>
      <c r="AU598">
        <f t="shared" ref="AU598:AU626" si="524">AQ598*AH598+AG598*AR598</f>
        <v>-96.325100514892199</v>
      </c>
      <c r="AV598">
        <f t="shared" si="511"/>
        <v>-3.0744533217040555</v>
      </c>
      <c r="AW598">
        <f t="shared" si="512"/>
        <v>299.0319817463556</v>
      </c>
      <c r="AX598">
        <f t="shared" si="513"/>
        <v>-1713.6593870101697</v>
      </c>
      <c r="AY598">
        <f t="shared" si="521"/>
        <v>-1.3980367394939903</v>
      </c>
      <c r="BA598">
        <f t="shared" si="502"/>
        <v>0.82537408972954818</v>
      </c>
      <c r="BB598">
        <f t="shared" si="514"/>
        <v>-1.6669833736766133</v>
      </c>
      <c r="BC598">
        <f t="shared" si="515"/>
        <v>-1.6764165822100652</v>
      </c>
      <c r="BD598">
        <f t="shared" si="503"/>
        <v>-276.05159497613789</v>
      </c>
      <c r="BF598">
        <f t="shared" si="504"/>
        <v>-64.09802757299812</v>
      </c>
      <c r="BG598">
        <f t="shared" si="505"/>
        <v>-193.16318938825927</v>
      </c>
      <c r="BH598">
        <f t="shared" si="516"/>
        <v>-13.163189388259269</v>
      </c>
      <c r="BI598">
        <f t="shared" si="517"/>
        <v>-13.163189388259269</v>
      </c>
      <c r="BJ598">
        <f t="shared" si="506"/>
        <v>0</v>
      </c>
      <c r="BK598">
        <f t="shared" si="518"/>
        <v>0</v>
      </c>
      <c r="BM598">
        <f t="shared" si="519"/>
        <v>-62.431044199321512</v>
      </c>
      <c r="BN598">
        <f t="shared" si="507"/>
        <v>-97.111594412121406</v>
      </c>
      <c r="BQ598" s="66">
        <f t="shared" si="520"/>
        <v>15.234977426608523</v>
      </c>
    </row>
    <row r="599" spans="1:69" x14ac:dyDescent="0.15">
      <c r="A599">
        <f t="shared" ref="A599:A614" si="525">A598+5000</f>
        <v>1925000</v>
      </c>
      <c r="B599">
        <f t="shared" si="508"/>
        <v>1925</v>
      </c>
      <c r="C599">
        <f t="shared" si="477"/>
        <v>8.0451778767406648</v>
      </c>
      <c r="D599">
        <f t="shared" si="478"/>
        <v>1.4461759534815863</v>
      </c>
      <c r="F599">
        <f t="shared" si="479"/>
        <v>6.2470339465027629E-6</v>
      </c>
      <c r="G599">
        <f t="shared" si="480"/>
        <v>8.1867178673416109E-4</v>
      </c>
      <c r="H599">
        <f t="shared" si="481"/>
        <v>-3.1407739782132662</v>
      </c>
      <c r="J599">
        <f t="shared" si="482"/>
        <v>15</v>
      </c>
      <c r="M599">
        <f t="shared" si="483"/>
        <v>4.9507720125594953E-4</v>
      </c>
      <c r="N599">
        <f t="shared" si="484"/>
        <v>-1.5707963250000001</v>
      </c>
      <c r="O599">
        <f t="shared" si="485"/>
        <v>818.23627074479566</v>
      </c>
      <c r="P599">
        <f t="shared" si="486"/>
        <v>1.569574185605741</v>
      </c>
      <c r="Q599">
        <f t="shared" si="487"/>
        <v>370.33009261643463</v>
      </c>
      <c r="R599">
        <f t="shared" si="488"/>
        <v>1.5680960298565541</v>
      </c>
      <c r="S599">
        <f t="shared" si="489"/>
        <v>0.13260161576997911</v>
      </c>
      <c r="T599">
        <f t="shared" si="490"/>
        <v>-1.4378030105348136</v>
      </c>
      <c r="U599">
        <f t="shared" si="491"/>
        <v>6.7875662555535093E-2</v>
      </c>
      <c r="V599">
        <f t="shared" si="492"/>
        <v>-1.5028684374999248</v>
      </c>
      <c r="X599">
        <f t="shared" si="509"/>
        <v>-59.845913370146633</v>
      </c>
      <c r="Y599">
        <f t="shared" si="493"/>
        <v>-175.80611694350063</v>
      </c>
      <c r="Z599">
        <f t="shared" si="510"/>
        <v>4.1938830564993737</v>
      </c>
      <c r="AC599">
        <v>1</v>
      </c>
      <c r="AD599">
        <f t="shared" si="494"/>
        <v>818.23565967412515</v>
      </c>
      <c r="AE599">
        <f t="shared" si="495"/>
        <v>-1.4845002101160767</v>
      </c>
      <c r="AF599">
        <f t="shared" si="496"/>
        <v>0.10099434971587501</v>
      </c>
      <c r="AG599">
        <f t="shared" si="473"/>
        <v>36.655307416940829</v>
      </c>
      <c r="AH599">
        <f t="shared" si="474"/>
        <v>-548.69219632796501</v>
      </c>
      <c r="AJ599">
        <f t="shared" si="497"/>
        <v>20000</v>
      </c>
      <c r="AK599">
        <f t="shared" si="498"/>
        <v>149495.82784290001</v>
      </c>
      <c r="AL599">
        <v>1</v>
      </c>
      <c r="AM599">
        <f t="shared" si="499"/>
        <v>370.32874246714499</v>
      </c>
      <c r="AN599">
        <f t="shared" si="475"/>
        <v>403.82699560714775</v>
      </c>
      <c r="AO599">
        <f t="shared" si="476"/>
        <v>-52.915614580284419</v>
      </c>
      <c r="AQ599">
        <f t="shared" si="500"/>
        <v>6.7464997978411336E-4</v>
      </c>
      <c r="AR599">
        <f t="shared" si="501"/>
        <v>-2.5974024221688365</v>
      </c>
      <c r="AT599">
        <f t="shared" si="523"/>
        <v>-1425.1497102649873</v>
      </c>
      <c r="AU599">
        <f t="shared" si="524"/>
        <v>-95.578759449265789</v>
      </c>
      <c r="AV599">
        <f t="shared" si="511"/>
        <v>-3.0746271652300776</v>
      </c>
      <c r="AW599">
        <f t="shared" si="512"/>
        <v>299.57570411145196</v>
      </c>
      <c r="AX599">
        <f t="shared" si="513"/>
        <v>-1709.2177712636253</v>
      </c>
      <c r="AY599">
        <f t="shared" si="521"/>
        <v>-1.3972880679822903</v>
      </c>
      <c r="BA599">
        <f t="shared" si="502"/>
        <v>0.82312781684887515</v>
      </c>
      <c r="BB599">
        <f t="shared" si="514"/>
        <v>-1.6906544296044992</v>
      </c>
      <c r="BC599">
        <f t="shared" si="515"/>
        <v>-1.6773390972477873</v>
      </c>
      <c r="BD599">
        <f t="shared" si="503"/>
        <v>-276.10445119439714</v>
      </c>
      <c r="BF599">
        <f t="shared" si="504"/>
        <v>-64.144638916619527</v>
      </c>
      <c r="BG599">
        <f t="shared" si="505"/>
        <v>-193.19776609367355</v>
      </c>
      <c r="BH599">
        <f t="shared" si="516"/>
        <v>-13.19776609367355</v>
      </c>
      <c r="BI599">
        <f t="shared" si="517"/>
        <v>-13.19776609367355</v>
      </c>
      <c r="BJ599">
        <f t="shared" si="506"/>
        <v>0</v>
      </c>
      <c r="BK599">
        <f t="shared" si="518"/>
        <v>0</v>
      </c>
      <c r="BM599">
        <f t="shared" si="519"/>
        <v>-62.453984487015035</v>
      </c>
      <c r="BN599">
        <f t="shared" si="507"/>
        <v>-97.093314899276436</v>
      </c>
      <c r="BQ599" s="66">
        <f t="shared" si="520"/>
        <v>15.211306370680637</v>
      </c>
    </row>
    <row r="600" spans="1:69" x14ac:dyDescent="0.15">
      <c r="A600">
        <f t="shared" si="525"/>
        <v>1930000</v>
      </c>
      <c r="B600">
        <f t="shared" si="508"/>
        <v>1930</v>
      </c>
      <c r="C600">
        <f t="shared" si="477"/>
        <v>8.0657520023086171</v>
      </c>
      <c r="D600">
        <f t="shared" si="478"/>
        <v>1.4464954847032381</v>
      </c>
      <c r="F600">
        <f t="shared" si="479"/>
        <v>6.2147076290951366E-6</v>
      </c>
      <c r="G600">
        <f t="shared" si="480"/>
        <v>8.1655084948683134E-4</v>
      </c>
      <c r="H600">
        <f t="shared" si="481"/>
        <v>-3.1407760991505134</v>
      </c>
      <c r="J600">
        <f t="shared" si="482"/>
        <v>15</v>
      </c>
      <c r="M600">
        <f t="shared" si="483"/>
        <v>4.9379461783300663E-4</v>
      </c>
      <c r="N600">
        <f t="shared" si="484"/>
        <v>-1.5707963250000001</v>
      </c>
      <c r="O600">
        <f t="shared" si="485"/>
        <v>820.36155658943733</v>
      </c>
      <c r="P600">
        <f t="shared" si="486"/>
        <v>1.5695773517714844</v>
      </c>
      <c r="Q600">
        <f t="shared" si="487"/>
        <v>371.2919819562282</v>
      </c>
      <c r="R600">
        <f t="shared" si="488"/>
        <v>1.5681030254106032</v>
      </c>
      <c r="S600">
        <f t="shared" si="489"/>
        <v>0.13226410553499693</v>
      </c>
      <c r="T600">
        <f t="shared" si="490"/>
        <v>-1.438143519986224</v>
      </c>
      <c r="U600">
        <f t="shared" si="491"/>
        <v>6.7700625869552583E-2</v>
      </c>
      <c r="V600">
        <f t="shared" si="492"/>
        <v>-1.5030438777446367</v>
      </c>
      <c r="X600">
        <f t="shared" si="509"/>
        <v>-59.890825363564886</v>
      </c>
      <c r="Y600">
        <f t="shared" si="493"/>
        <v>-175.81691019021471</v>
      </c>
      <c r="Z600">
        <f t="shared" si="510"/>
        <v>4.1830898097852867</v>
      </c>
      <c r="AC600">
        <v>1</v>
      </c>
      <c r="AD600">
        <f t="shared" si="494"/>
        <v>820.36094710185012</v>
      </c>
      <c r="AE600">
        <f t="shared" si="495"/>
        <v>-1.4922219147003202</v>
      </c>
      <c r="AF600">
        <f t="shared" si="496"/>
        <v>0.10125667270215001</v>
      </c>
      <c r="AG600">
        <f t="shared" si="473"/>
        <v>36.466498924393498</v>
      </c>
      <c r="AH600">
        <f t="shared" si="474"/>
        <v>-547.2835258016429</v>
      </c>
      <c r="AJ600">
        <f t="shared" si="497"/>
        <v>20000</v>
      </c>
      <c r="AK600">
        <f t="shared" si="498"/>
        <v>149884.12869444001</v>
      </c>
      <c r="AL600">
        <v>1</v>
      </c>
      <c r="AM600">
        <f t="shared" si="499"/>
        <v>371.290635304722</v>
      </c>
      <c r="AN600">
        <f t="shared" si="475"/>
        <v>403.8262562180501</v>
      </c>
      <c r="AO600">
        <f t="shared" si="476"/>
        <v>-52.778529487282036</v>
      </c>
      <c r="AQ600">
        <f t="shared" si="500"/>
        <v>6.7115891224201244E-4</v>
      </c>
      <c r="AR600">
        <f t="shared" si="501"/>
        <v>-2.5906734012541679</v>
      </c>
      <c r="AT600">
        <f t="shared" si="523"/>
        <v>-1417.8083984231641</v>
      </c>
      <c r="AU600">
        <f t="shared" si="524"/>
        <v>-94.84010301615497</v>
      </c>
      <c r="AV600">
        <f t="shared" si="511"/>
        <v>-3.0748001122112281</v>
      </c>
      <c r="AW600">
        <f t="shared" si="512"/>
        <v>300.11519811710917</v>
      </c>
      <c r="AX600">
        <f t="shared" si="513"/>
        <v>-1704.7990964760743</v>
      </c>
      <c r="AY600">
        <f t="shared" si="521"/>
        <v>-1.3965403967699959</v>
      </c>
      <c r="BA600">
        <f t="shared" si="502"/>
        <v>0.82089282439903799</v>
      </c>
      <c r="BB600">
        <f t="shared" si="514"/>
        <v>-1.7142708115810634</v>
      </c>
      <c r="BC600">
        <f t="shared" si="515"/>
        <v>-1.6782597154412322</v>
      </c>
      <c r="BD600">
        <f t="shared" si="503"/>
        <v>-276.15719873148475</v>
      </c>
      <c r="BF600">
        <f t="shared" si="504"/>
        <v>-64.191134296485572</v>
      </c>
      <c r="BG600">
        <f t="shared" si="505"/>
        <v>-193.23232736106996</v>
      </c>
      <c r="BH600">
        <f t="shared" si="516"/>
        <v>-13.232327361069963</v>
      </c>
      <c r="BI600">
        <f t="shared" si="517"/>
        <v>-13.232327361069963</v>
      </c>
      <c r="BJ600">
        <f t="shared" si="506"/>
        <v>0</v>
      </c>
      <c r="BK600">
        <f t="shared" si="518"/>
        <v>0</v>
      </c>
      <c r="BM600">
        <f t="shared" si="519"/>
        <v>-62.476863484904506</v>
      </c>
      <c r="BN600">
        <f t="shared" si="507"/>
        <v>-97.075128629585237</v>
      </c>
      <c r="BQ600" s="66">
        <f t="shared" si="520"/>
        <v>15.187689988704074</v>
      </c>
    </row>
    <row r="601" spans="1:69" x14ac:dyDescent="0.15">
      <c r="A601">
        <f t="shared" si="525"/>
        <v>1935000</v>
      </c>
      <c r="B601">
        <f t="shared" si="508"/>
        <v>1935</v>
      </c>
      <c r="C601">
        <f t="shared" si="477"/>
        <v>8.0863269472008685</v>
      </c>
      <c r="D601">
        <f t="shared" si="478"/>
        <v>1.446813389919253</v>
      </c>
      <c r="F601">
        <f t="shared" si="479"/>
        <v>6.1826315813822389E-6</v>
      </c>
      <c r="G601">
        <f t="shared" si="480"/>
        <v>8.1444087335537461E-4</v>
      </c>
      <c r="H601">
        <f t="shared" si="481"/>
        <v>-3.140778209126645</v>
      </c>
      <c r="J601">
        <f t="shared" si="482"/>
        <v>15</v>
      </c>
      <c r="M601">
        <f t="shared" si="483"/>
        <v>4.9251866274816684E-4</v>
      </c>
      <c r="N601">
        <f t="shared" si="484"/>
        <v>-1.5707963250000001</v>
      </c>
      <c r="O601">
        <f t="shared" si="485"/>
        <v>822.48684244226013</v>
      </c>
      <c r="P601">
        <f t="shared" si="486"/>
        <v>1.5695805015746385</v>
      </c>
      <c r="Q601">
        <f t="shared" si="487"/>
        <v>372.25387131409815</v>
      </c>
      <c r="R601">
        <f t="shared" si="488"/>
        <v>1.56810998481218</v>
      </c>
      <c r="S601">
        <f t="shared" si="489"/>
        <v>0.13192829388389582</v>
      </c>
      <c r="T601">
        <f t="shared" si="490"/>
        <v>-1.4384823004053484</v>
      </c>
      <c r="U601">
        <f t="shared" si="491"/>
        <v>6.7526487562798873E-2</v>
      </c>
      <c r="V601">
        <f t="shared" si="492"/>
        <v>-1.5032184154663457</v>
      </c>
      <c r="X601">
        <f t="shared" si="509"/>
        <v>-59.935621922928902</v>
      </c>
      <c r="Y601">
        <f t="shared" si="493"/>
        <v>-175.82764820404327</v>
      </c>
      <c r="Z601">
        <f t="shared" si="510"/>
        <v>4.1723517959567289</v>
      </c>
      <c r="AC601">
        <v>1</v>
      </c>
      <c r="AD601">
        <f t="shared" si="494"/>
        <v>822.48623452957509</v>
      </c>
      <c r="AE601">
        <f t="shared" si="495"/>
        <v>-1.49996364964665</v>
      </c>
      <c r="AF601">
        <f t="shared" si="496"/>
        <v>0.10151899568842501</v>
      </c>
      <c r="AG601">
        <f t="shared" si="473"/>
        <v>36.279143273184523</v>
      </c>
      <c r="AH601">
        <f t="shared" si="474"/>
        <v>-545.88203689664897</v>
      </c>
      <c r="AJ601">
        <f t="shared" si="497"/>
        <v>20000</v>
      </c>
      <c r="AK601">
        <f t="shared" si="498"/>
        <v>150272.42954598001</v>
      </c>
      <c r="AL601">
        <v>1</v>
      </c>
      <c r="AM601">
        <f t="shared" si="499"/>
        <v>372.25252814229901</v>
      </c>
      <c r="AN601">
        <f t="shared" si="475"/>
        <v>403.8255225531874</v>
      </c>
      <c r="AO601">
        <f t="shared" si="476"/>
        <v>-52.642152828995386</v>
      </c>
      <c r="AQ601">
        <f t="shared" si="500"/>
        <v>6.6769487225695084E-4</v>
      </c>
      <c r="AR601">
        <f t="shared" si="501"/>
        <v>-2.5839791556343998</v>
      </c>
      <c r="AT601">
        <f t="shared" si="523"/>
        <v>-1410.5235813782558</v>
      </c>
      <c r="AU601">
        <f t="shared" si="524"/>
        <v>-94.109032639075835</v>
      </c>
      <c r="AV601">
        <f t="shared" si="511"/>
        <v>-3.0749721695544352</v>
      </c>
      <c r="AW601">
        <f t="shared" si="512"/>
        <v>300.6505075132269</v>
      </c>
      <c r="AX601">
        <f t="shared" si="513"/>
        <v>-1700.4031855510641</v>
      </c>
      <c r="AY601">
        <f t="shared" si="521"/>
        <v>-1.3957937196911427</v>
      </c>
      <c r="BA601">
        <f t="shared" si="502"/>
        <v>0.81866902637426386</v>
      </c>
      <c r="BB601">
        <f t="shared" si="514"/>
        <v>-1.7378328090209543</v>
      </c>
      <c r="BC601">
        <f t="shared" si="515"/>
        <v>-1.6791784498632925</v>
      </c>
      <c r="BD601">
        <f t="shared" si="503"/>
        <v>-276.20983833642231</v>
      </c>
      <c r="BF601">
        <f t="shared" si="504"/>
        <v>-64.237514332659686</v>
      </c>
      <c r="BG601">
        <f t="shared" si="505"/>
        <v>-193.26687323155124</v>
      </c>
      <c r="BH601">
        <f t="shared" si="516"/>
        <v>-13.266873231551244</v>
      </c>
      <c r="BI601">
        <f t="shared" si="517"/>
        <v>-13.266873231551244</v>
      </c>
      <c r="BJ601">
        <f t="shared" si="506"/>
        <v>0</v>
      </c>
      <c r="BK601">
        <f t="shared" si="518"/>
        <v>0</v>
      </c>
      <c r="BM601">
        <f t="shared" si="519"/>
        <v>-62.499681523638735</v>
      </c>
      <c r="BN601">
        <f t="shared" si="507"/>
        <v>-97.057034895128922</v>
      </c>
      <c r="BQ601" s="66">
        <f t="shared" si="520"/>
        <v>15.164127991264182</v>
      </c>
    </row>
    <row r="602" spans="1:69" x14ac:dyDescent="0.15">
      <c r="A602">
        <f t="shared" si="525"/>
        <v>1940000</v>
      </c>
      <c r="B602">
        <f t="shared" si="508"/>
        <v>1940</v>
      </c>
      <c r="C602">
        <f t="shared" si="477"/>
        <v>8.106902705179202</v>
      </c>
      <c r="D602">
        <f t="shared" si="478"/>
        <v>1.447129681445799</v>
      </c>
      <c r="F602">
        <f t="shared" si="479"/>
        <v>6.1508032265663695E-6</v>
      </c>
      <c r="G602">
        <f t="shared" si="480"/>
        <v>8.1234177358684189E-4</v>
      </c>
      <c r="H602">
        <f t="shared" si="481"/>
        <v>-3.1407803082264132</v>
      </c>
      <c r="J602">
        <f t="shared" si="482"/>
        <v>15</v>
      </c>
      <c r="M602">
        <f t="shared" si="483"/>
        <v>4.9124928475139317E-4</v>
      </c>
      <c r="N602">
        <f t="shared" si="484"/>
        <v>-1.5707963250000001</v>
      </c>
      <c r="O602">
        <f t="shared" si="485"/>
        <v>824.61212830320096</v>
      </c>
      <c r="P602">
        <f t="shared" si="486"/>
        <v>1.5695836351417176</v>
      </c>
      <c r="Q602">
        <f t="shared" si="487"/>
        <v>373.21576068990464</v>
      </c>
      <c r="R602">
        <f t="shared" si="488"/>
        <v>1.5681169083408109</v>
      </c>
      <c r="S602">
        <f t="shared" si="489"/>
        <v>0.13159416814197245</v>
      </c>
      <c r="T602">
        <f t="shared" si="490"/>
        <v>-1.4388193648511294</v>
      </c>
      <c r="U602">
        <f t="shared" si="491"/>
        <v>6.7353240752383303E-2</v>
      </c>
      <c r="V602">
        <f t="shared" si="492"/>
        <v>-1.5033920576009501</v>
      </c>
      <c r="X602">
        <f t="shared" si="509"/>
        <v>-59.980303638212348</v>
      </c>
      <c r="Y602">
        <f t="shared" si="493"/>
        <v>-175.83833140653346</v>
      </c>
      <c r="Z602">
        <f t="shared" si="510"/>
        <v>4.1616685934665441</v>
      </c>
      <c r="AC602">
        <v>1</v>
      </c>
      <c r="AD602">
        <f t="shared" si="494"/>
        <v>824.61152195730017</v>
      </c>
      <c r="AE602">
        <f t="shared" si="495"/>
        <v>-1.5077254149550658</v>
      </c>
      <c r="AF602">
        <f t="shared" si="496"/>
        <v>0.10178131867470001</v>
      </c>
      <c r="AG602">
        <f t="shared" si="473"/>
        <v>36.093225618346509</v>
      </c>
      <c r="AH602">
        <f t="shared" si="474"/>
        <v>-544.48767508711626</v>
      </c>
      <c r="AJ602">
        <f t="shared" si="497"/>
        <v>20000</v>
      </c>
      <c r="AK602">
        <f t="shared" si="498"/>
        <v>150660.73039752</v>
      </c>
      <c r="AL602">
        <v>1</v>
      </c>
      <c r="AM602">
        <f t="shared" si="499"/>
        <v>373.21442097987602</v>
      </c>
      <c r="AN602">
        <f t="shared" si="475"/>
        <v>403.82479455362358</v>
      </c>
      <c r="AO602">
        <f t="shared" si="476"/>
        <v>-52.506479127994403</v>
      </c>
      <c r="AQ602">
        <f t="shared" si="500"/>
        <v>6.6425758155372642E-4</v>
      </c>
      <c r="AR602">
        <f t="shared" si="501"/>
        <v>-2.5773194164284585</v>
      </c>
      <c r="AT602">
        <f t="shared" si="523"/>
        <v>-1403.2946818092548</v>
      </c>
      <c r="AU602">
        <f t="shared" si="524"/>
        <v>-93.385451253936679</v>
      </c>
      <c r="AV602">
        <f t="shared" si="511"/>
        <v>-3.0751433440959692</v>
      </c>
      <c r="AW602">
        <f t="shared" si="512"/>
        <v>301.18167548507842</v>
      </c>
      <c r="AX602">
        <f t="shared" si="513"/>
        <v>-1696.0298632084789</v>
      </c>
      <c r="AY602">
        <f t="shared" si="521"/>
        <v>-1.3950480306465545</v>
      </c>
      <c r="BA602">
        <f t="shared" si="502"/>
        <v>0.8164563376418823</v>
      </c>
      <c r="BB602">
        <f t="shared" si="514"/>
        <v>-1.7613407091334199</v>
      </c>
      <c r="BC602">
        <f t="shared" si="515"/>
        <v>-1.6800953134494148</v>
      </c>
      <c r="BD602">
        <f t="shared" si="503"/>
        <v>-276.26237075035641</v>
      </c>
      <c r="BF602">
        <f t="shared" si="504"/>
        <v>-64.283779640304843</v>
      </c>
      <c r="BG602">
        <f t="shared" si="505"/>
        <v>-193.30140374545539</v>
      </c>
      <c r="BH602">
        <f t="shared" si="516"/>
        <v>-13.301403745455389</v>
      </c>
      <c r="BI602">
        <f t="shared" si="517"/>
        <v>-13.301403745455389</v>
      </c>
      <c r="BJ602">
        <f t="shared" si="506"/>
        <v>0</v>
      </c>
      <c r="BK602">
        <f t="shared" si="518"/>
        <v>0</v>
      </c>
      <c r="BM602">
        <f t="shared" si="519"/>
        <v>-62.522438931171422</v>
      </c>
      <c r="BN602">
        <f t="shared" si="507"/>
        <v>-97.039032995099006</v>
      </c>
      <c r="BQ602" s="66">
        <f t="shared" si="520"/>
        <v>15.140620091151717</v>
      </c>
    </row>
    <row r="603" spans="1:69" x14ac:dyDescent="0.15">
      <c r="A603">
        <f t="shared" si="525"/>
        <v>1945000</v>
      </c>
      <c r="B603">
        <f t="shared" si="508"/>
        <v>1945</v>
      </c>
      <c r="C603">
        <f t="shared" si="477"/>
        <v>8.1274792700683189</v>
      </c>
      <c r="D603">
        <f t="shared" si="478"/>
        <v>1.4474443714756176</v>
      </c>
      <c r="F603">
        <f t="shared" si="479"/>
        <v>6.1192200209283905E-6</v>
      </c>
      <c r="G603">
        <f t="shared" si="480"/>
        <v>8.1025346629980696E-4</v>
      </c>
      <c r="H603">
        <f t="shared" si="481"/>
        <v>-3.1407823965337003</v>
      </c>
      <c r="J603">
        <f t="shared" si="482"/>
        <v>15</v>
      </c>
      <c r="M603">
        <f t="shared" si="483"/>
        <v>4.8998643311964148E-4</v>
      </c>
      <c r="N603">
        <f t="shared" si="484"/>
        <v>-1.5707963250000001</v>
      </c>
      <c r="O603">
        <f t="shared" si="485"/>
        <v>826.7374141721973</v>
      </c>
      <c r="P603">
        <f t="shared" si="486"/>
        <v>1.5695867525979355</v>
      </c>
      <c r="Q603">
        <f t="shared" si="487"/>
        <v>374.17765008350926</v>
      </c>
      <c r="R603">
        <f t="shared" si="488"/>
        <v>1.5681237962731482</v>
      </c>
      <c r="S603">
        <f t="shared" si="489"/>
        <v>0.13126171575913428</v>
      </c>
      <c r="T603">
        <f t="shared" si="490"/>
        <v>-1.4391547262521118</v>
      </c>
      <c r="U603">
        <f t="shared" si="491"/>
        <v>6.7180878625385007E-2</v>
      </c>
      <c r="V603">
        <f t="shared" si="492"/>
        <v>-1.5035648110135669</v>
      </c>
      <c r="X603">
        <f t="shared" si="509"/>
        <v>-60.024871094891417</v>
      </c>
      <c r="Y603">
        <f t="shared" si="493"/>
        <v>-175.84896021496675</v>
      </c>
      <c r="Z603">
        <f t="shared" si="510"/>
        <v>4.1510397850332481</v>
      </c>
      <c r="AC603">
        <v>1</v>
      </c>
      <c r="AD603">
        <f t="shared" si="494"/>
        <v>826.73680938502503</v>
      </c>
      <c r="AE603">
        <f t="shared" si="495"/>
        <v>-1.515507210625568</v>
      </c>
      <c r="AF603">
        <f t="shared" si="496"/>
        <v>0.10204364166097502</v>
      </c>
      <c r="AG603">
        <f t="shared" si="473"/>
        <v>35.908731303745682</v>
      </c>
      <c r="AH603">
        <f t="shared" si="474"/>
        <v>-543.10038639513903</v>
      </c>
      <c r="AJ603">
        <f t="shared" si="497"/>
        <v>20000</v>
      </c>
      <c r="AK603">
        <f t="shared" si="498"/>
        <v>151049.03124906</v>
      </c>
      <c r="AL603">
        <v>1</v>
      </c>
      <c r="AM603">
        <f t="shared" si="499"/>
        <v>374.17631381745298</v>
      </c>
      <c r="AN603">
        <f t="shared" si="475"/>
        <v>403.82407216117923</v>
      </c>
      <c r="AO603">
        <f t="shared" si="476"/>
        <v>-52.371502963170137</v>
      </c>
      <c r="AQ603">
        <f t="shared" si="500"/>
        <v>6.6084676542933459E-4</v>
      </c>
      <c r="AR603">
        <f t="shared" si="501"/>
        <v>-2.5706939175201118</v>
      </c>
      <c r="AT603">
        <f t="shared" si="523"/>
        <v>-1396.1211297398736</v>
      </c>
      <c r="AU603">
        <f t="shared" si="524"/>
        <v>-92.669263282055709</v>
      </c>
      <c r="AV603">
        <f t="shared" si="511"/>
        <v>-3.0753136426023469</v>
      </c>
      <c r="AW603">
        <f t="shared" si="512"/>
        <v>301.70874466203713</v>
      </c>
      <c r="AX603">
        <f t="shared" si="513"/>
        <v>-1691.6789559613358</v>
      </c>
      <c r="AY603">
        <f t="shared" si="521"/>
        <v>-1.3943033236029669</v>
      </c>
      <c r="BA603">
        <f t="shared" si="502"/>
        <v>0.81425467393131012</v>
      </c>
      <c r="BB603">
        <f t="shared" si="514"/>
        <v>-1.7847947969442925</v>
      </c>
      <c r="BC603">
        <f t="shared" si="515"/>
        <v>-1.6810103189993799</v>
      </c>
      <c r="BD603">
        <f t="shared" si="503"/>
        <v>-276.31479670666033</v>
      </c>
      <c r="BF603">
        <f t="shared" si="504"/>
        <v>-64.329930829734892</v>
      </c>
      <c r="BG603">
        <f t="shared" si="505"/>
        <v>-193.33591894236932</v>
      </c>
      <c r="BH603">
        <f t="shared" si="516"/>
        <v>-13.335918942369318</v>
      </c>
      <c r="BI603">
        <f t="shared" si="517"/>
        <v>-13.335918942369318</v>
      </c>
      <c r="BJ603">
        <f t="shared" si="506"/>
        <v>0</v>
      </c>
      <c r="BK603">
        <f t="shared" si="518"/>
        <v>0</v>
      </c>
      <c r="BM603">
        <f t="shared" si="519"/>
        <v>-62.545136032790595</v>
      </c>
      <c r="BN603">
        <f t="shared" si="507"/>
        <v>-97.021122235708972</v>
      </c>
      <c r="BQ603" s="66">
        <f t="shared" si="520"/>
        <v>15.117166003340845</v>
      </c>
    </row>
    <row r="604" spans="1:69" x14ac:dyDescent="0.15">
      <c r="A604">
        <f t="shared" si="525"/>
        <v>1950000</v>
      </c>
      <c r="B604">
        <f t="shared" si="508"/>
        <v>1950</v>
      </c>
      <c r="C604">
        <f t="shared" si="477"/>
        <v>8.1480566357550614</v>
      </c>
      <c r="D604">
        <f t="shared" si="478"/>
        <v>1.4477574720795592</v>
      </c>
      <c r="F604">
        <f t="shared" si="479"/>
        <v>6.087879453319459E-6</v>
      </c>
      <c r="G604">
        <f t="shared" si="480"/>
        <v>8.0817586847319121E-4</v>
      </c>
      <c r="H604">
        <f t="shared" si="481"/>
        <v>-3.1407844741315269</v>
      </c>
      <c r="J604">
        <f t="shared" si="482"/>
        <v>15</v>
      </c>
      <c r="M604">
        <f t="shared" si="483"/>
        <v>4.8873005765010403E-4</v>
      </c>
      <c r="N604">
        <f t="shared" si="484"/>
        <v>-1.5707963250000001</v>
      </c>
      <c r="O604">
        <f t="shared" si="485"/>
        <v>828.86270004918708</v>
      </c>
      <c r="P604">
        <f t="shared" si="486"/>
        <v>1.569589854067222</v>
      </c>
      <c r="Q604">
        <f t="shared" si="487"/>
        <v>375.13953949477525</v>
      </c>
      <c r="R604">
        <f t="shared" si="488"/>
        <v>1.5681306488830076</v>
      </c>
      <c r="S604">
        <f t="shared" si="489"/>
        <v>0.1309309243083871</v>
      </c>
      <c r="T604">
        <f t="shared" si="490"/>
        <v>-1.4394883974080583</v>
      </c>
      <c r="U604">
        <f t="shared" si="491"/>
        <v>6.7009394437967967E-2</v>
      </c>
      <c r="V604">
        <f t="shared" si="492"/>
        <v>-1.503736682499432</v>
      </c>
      <c r="X604">
        <f t="shared" si="509"/>
        <v>-60.069324873990354</v>
      </c>
      <c r="Y604">
        <f t="shared" si="493"/>
        <v>-175.85953504241269</v>
      </c>
      <c r="Z604">
        <f t="shared" si="510"/>
        <v>4.1404649575873123</v>
      </c>
      <c r="AC604">
        <v>1</v>
      </c>
      <c r="AD604">
        <f t="shared" si="494"/>
        <v>828.86209681275022</v>
      </c>
      <c r="AE604">
        <f t="shared" si="495"/>
        <v>-1.5233090366581565</v>
      </c>
      <c r="AF604">
        <f t="shared" si="496"/>
        <v>0.10230596464725002</v>
      </c>
      <c r="AG604">
        <f t="shared" si="473"/>
        <v>35.725645859211404</v>
      </c>
      <c r="AH604">
        <f t="shared" si="474"/>
        <v>-541.72011738394292</v>
      </c>
      <c r="AJ604">
        <f t="shared" si="497"/>
        <v>20000</v>
      </c>
      <c r="AK604">
        <f t="shared" si="498"/>
        <v>151437.3321006</v>
      </c>
      <c r="AL604">
        <v>1</v>
      </c>
      <c r="AM604">
        <f t="shared" si="499"/>
        <v>375.13820665502999</v>
      </c>
      <c r="AN604">
        <f t="shared" si="475"/>
        <v>403.82335531841989</v>
      </c>
      <c r="AO604">
        <f t="shared" si="476"/>
        <v>-52.237218969012815</v>
      </c>
      <c r="AQ604">
        <f t="shared" si="500"/>
        <v>6.5746215269808328E-4</v>
      </c>
      <c r="AR604">
        <f t="shared" si="501"/>
        <v>-2.5641023955225251</v>
      </c>
      <c r="AT604">
        <f t="shared" si="523"/>
        <v>-1389.0023624268783</v>
      </c>
      <c r="AU604">
        <f t="shared" si="524"/>
        <v>-91.96037460372844</v>
      </c>
      <c r="AV604">
        <f t="shared" si="511"/>
        <v>-3.0754830717712123</v>
      </c>
      <c r="AW604">
        <f t="shared" si="512"/>
        <v>302.23175712614426</v>
      </c>
      <c r="AX604">
        <f t="shared" si="513"/>
        <v>-1687.3502920929395</v>
      </c>
      <c r="AY604">
        <f t="shared" si="521"/>
        <v>-1.3935595925921704</v>
      </c>
      <c r="BA604">
        <f t="shared" si="502"/>
        <v>0.81206395182321278</v>
      </c>
      <c r="BB604">
        <f t="shared" si="514"/>
        <v>-1.8081953553175913</v>
      </c>
      <c r="BC604">
        <f t="shared" si="515"/>
        <v>-1.6819234791790418</v>
      </c>
      <c r="BD604">
        <f t="shared" si="503"/>
        <v>-276.36711693103416</v>
      </c>
      <c r="BF604">
        <f t="shared" si="504"/>
        <v>-64.37596850646527</v>
      </c>
      <c r="BG604">
        <f t="shared" si="505"/>
        <v>-193.37041886114093</v>
      </c>
      <c r="BH604">
        <f t="shared" si="516"/>
        <v>-13.370418861140934</v>
      </c>
      <c r="BI604">
        <f t="shared" si="517"/>
        <v>-13.370418861140934</v>
      </c>
      <c r="BJ604">
        <f t="shared" si="506"/>
        <v>0</v>
      </c>
      <c r="BK604">
        <f t="shared" si="518"/>
        <v>0</v>
      </c>
      <c r="BM604">
        <f t="shared" si="519"/>
        <v>-62.567773151147684</v>
      </c>
      <c r="BN604">
        <f t="shared" si="507"/>
        <v>-97.003301930106744</v>
      </c>
      <c r="BQ604" s="66">
        <f t="shared" si="520"/>
        <v>15.093765444967547</v>
      </c>
    </row>
    <row r="605" spans="1:69" x14ac:dyDescent="0.15">
      <c r="A605">
        <f t="shared" si="525"/>
        <v>1955000</v>
      </c>
      <c r="B605">
        <f t="shared" si="508"/>
        <v>1955</v>
      </c>
      <c r="C605">
        <f t="shared" si="477"/>
        <v>8.168634796187634</v>
      </c>
      <c r="D605">
        <f t="shared" si="478"/>
        <v>1.4480689952080936</v>
      </c>
      <c r="F605">
        <f t="shared" si="479"/>
        <v>6.0567790446618783E-6</v>
      </c>
      <c r="G605">
        <f t="shared" si="480"/>
        <v>8.0610889793526199E-4</v>
      </c>
      <c r="H605">
        <f t="shared" si="481"/>
        <v>-3.1407865411020648</v>
      </c>
      <c r="J605">
        <f t="shared" si="482"/>
        <v>15</v>
      </c>
      <c r="M605">
        <f t="shared" si="483"/>
        <v>4.8748010865355646E-4</v>
      </c>
      <c r="N605">
        <f t="shared" si="484"/>
        <v>-1.5707963250000001</v>
      </c>
      <c r="O605">
        <f t="shared" si="485"/>
        <v>830.98798593410902</v>
      </c>
      <c r="P605">
        <f t="shared" si="486"/>
        <v>1.5695929396722383</v>
      </c>
      <c r="Q605">
        <f t="shared" si="487"/>
        <v>376.10142892356697</v>
      </c>
      <c r="R605">
        <f t="shared" si="488"/>
        <v>1.5681374664414025</v>
      </c>
      <c r="S605">
        <f t="shared" si="489"/>
        <v>0.13060178148434426</v>
      </c>
      <c r="T605">
        <f t="shared" si="490"/>
        <v>-1.4398203909915368</v>
      </c>
      <c r="U605">
        <f t="shared" si="491"/>
        <v>6.683878151450974E-2</v>
      </c>
      <c r="V605">
        <f t="shared" si="492"/>
        <v>-1.503907678784786</v>
      </c>
      <c r="X605">
        <f t="shared" si="509"/>
        <v>-60.113665552126236</v>
      </c>
      <c r="Y605">
        <f t="shared" si="493"/>
        <v>-175.87005629778182</v>
      </c>
      <c r="Z605">
        <f t="shared" si="510"/>
        <v>4.1299437022181849</v>
      </c>
      <c r="AC605">
        <v>1</v>
      </c>
      <c r="AD605">
        <f t="shared" si="494"/>
        <v>830.98738424047508</v>
      </c>
      <c r="AE605">
        <f t="shared" si="495"/>
        <v>-1.5311308930528313</v>
      </c>
      <c r="AF605">
        <f t="shared" si="496"/>
        <v>0.10256828763352502</v>
      </c>
      <c r="AG605">
        <f t="shared" si="473"/>
        <v>35.543954997715979</v>
      </c>
      <c r="AH605">
        <f t="shared" si="474"/>
        <v>-540.34681515115176</v>
      </c>
      <c r="AJ605">
        <f t="shared" si="497"/>
        <v>20000</v>
      </c>
      <c r="AK605">
        <f t="shared" si="498"/>
        <v>151825.63295214</v>
      </c>
      <c r="AL605">
        <v>1</v>
      </c>
      <c r="AM605">
        <f t="shared" si="499"/>
        <v>376.100099492607</v>
      </c>
      <c r="AN605">
        <f t="shared" si="475"/>
        <v>403.82264396864474</v>
      </c>
      <c r="AO605">
        <f t="shared" si="476"/>
        <v>-52.103621834900778</v>
      </c>
      <c r="AQ605">
        <f t="shared" si="500"/>
        <v>6.5410347563768707E-4</v>
      </c>
      <c r="AR605">
        <f t="shared" si="501"/>
        <v>-2.5575445897433564</v>
      </c>
      <c r="AT605">
        <f t="shared" si="523"/>
        <v>-1381.9378242503797</v>
      </c>
      <c r="AU605">
        <f t="shared" si="524"/>
        <v>-91.25869253232996</v>
      </c>
      <c r="AV605">
        <f t="shared" si="511"/>
        <v>-3.0756516382322139</v>
      </c>
      <c r="AW605">
        <f t="shared" si="512"/>
        <v>302.75075442052474</v>
      </c>
      <c r="AX605">
        <f t="shared" si="513"/>
        <v>-1683.0437016343772</v>
      </c>
      <c r="AY605">
        <f t="shared" si="521"/>
        <v>-1.3928168317101608</v>
      </c>
      <c r="BA605">
        <f t="shared" si="502"/>
        <v>0.80988408873881934</v>
      </c>
      <c r="BB605">
        <f t="shared" si="514"/>
        <v>-1.8315426649769524</v>
      </c>
      <c r="BC605">
        <f t="shared" si="515"/>
        <v>-1.6828348065220531</v>
      </c>
      <c r="BD605">
        <f t="shared" si="503"/>
        <v>-276.41933214160326</v>
      </c>
      <c r="BF605">
        <f t="shared" si="504"/>
        <v>-64.421893271263016</v>
      </c>
      <c r="BG605">
        <f t="shared" si="505"/>
        <v>-193.40490353989219</v>
      </c>
      <c r="BH605">
        <f t="shared" si="516"/>
        <v>-13.404903539892189</v>
      </c>
      <c r="BI605">
        <f t="shared" si="517"/>
        <v>-13.404903539892189</v>
      </c>
      <c r="BJ605">
        <f t="shared" si="506"/>
        <v>0</v>
      </c>
      <c r="BK605">
        <f t="shared" si="518"/>
        <v>0</v>
      </c>
      <c r="BM605">
        <f t="shared" si="519"/>
        <v>-62.590350606286066</v>
      </c>
      <c r="BN605">
        <f t="shared" si="507"/>
        <v>-96.985571398288954</v>
      </c>
      <c r="BQ605" s="66">
        <f t="shared" si="520"/>
        <v>15.070418135308186</v>
      </c>
    </row>
    <row r="606" spans="1:69" x14ac:dyDescent="0.15">
      <c r="A606">
        <f t="shared" si="525"/>
        <v>1960000</v>
      </c>
      <c r="B606">
        <f t="shared" si="508"/>
        <v>1960</v>
      </c>
      <c r="C606">
        <f t="shared" si="477"/>
        <v>8.1892137453748379</v>
      </c>
      <c r="D606">
        <f t="shared" si="478"/>
        <v>1.4483789526927993</v>
      </c>
      <c r="F606">
        <f t="shared" si="479"/>
        <v>6.025916347458816E-6</v>
      </c>
      <c r="G606">
        <f t="shared" si="480"/>
        <v>8.0405247335279878E-4</v>
      </c>
      <c r="H606">
        <f t="shared" si="481"/>
        <v>-3.1407885975266474</v>
      </c>
      <c r="J606">
        <f t="shared" si="482"/>
        <v>15</v>
      </c>
      <c r="M606">
        <f t="shared" si="483"/>
        <v>4.8623653694780753E-4</v>
      </c>
      <c r="N606">
        <f t="shared" si="484"/>
        <v>-1.5707963250000001</v>
      </c>
      <c r="O606">
        <f t="shared" si="485"/>
        <v>833.11327182690241</v>
      </c>
      <c r="P606">
        <f t="shared" si="486"/>
        <v>1.5695960095343948</v>
      </c>
      <c r="Q606">
        <f t="shared" si="487"/>
        <v>377.06331836975045</v>
      </c>
      <c r="R606">
        <f t="shared" si="488"/>
        <v>1.5681442492165814</v>
      </c>
      <c r="S606">
        <f t="shared" si="489"/>
        <v>0.13027427510175704</v>
      </c>
      <c r="T606">
        <f t="shared" si="490"/>
        <v>-1.4401507195494891</v>
      </c>
      <c r="U606">
        <f t="shared" si="491"/>
        <v>6.6669033246743004E-2</v>
      </c>
      <c r="V606">
        <f t="shared" si="492"/>
        <v>-1.5040778065277449</v>
      </c>
      <c r="X606">
        <f t="shared" si="509"/>
        <v>-60.157893701553377</v>
      </c>
      <c r="Y606">
        <f t="shared" si="493"/>
        <v>-175.88052438587766</v>
      </c>
      <c r="Z606">
        <f t="shared" si="510"/>
        <v>4.1194756141223365</v>
      </c>
      <c r="AC606">
        <v>1</v>
      </c>
      <c r="AD606">
        <f t="shared" si="494"/>
        <v>833.11267166820016</v>
      </c>
      <c r="AE606">
        <f t="shared" si="495"/>
        <v>-1.5389727798095922</v>
      </c>
      <c r="AF606">
        <f t="shared" si="496"/>
        <v>0.10283061061980002</v>
      </c>
      <c r="AG606">
        <f t="shared" si="473"/>
        <v>35.363644612604411</v>
      </c>
      <c r="AH606">
        <f t="shared" si="474"/>
        <v>-538.98042732215868</v>
      </c>
      <c r="AJ606">
        <f t="shared" si="497"/>
        <v>20000</v>
      </c>
      <c r="AK606">
        <f t="shared" si="498"/>
        <v>152213.93380368</v>
      </c>
      <c r="AL606">
        <v>1</v>
      </c>
      <c r="AM606">
        <f t="shared" si="499"/>
        <v>377.06199233018395</v>
      </c>
      <c r="AN606">
        <f t="shared" si="475"/>
        <v>403.82193805587508</v>
      </c>
      <c r="AO606">
        <f t="shared" si="476"/>
        <v>-51.970706304400551</v>
      </c>
      <c r="AQ606">
        <f t="shared" si="500"/>
        <v>6.5077046993632407E-4</v>
      </c>
      <c r="AR606">
        <f t="shared" si="501"/>
        <v>-2.5510202421503902</v>
      </c>
      <c r="AT606">
        <f t="shared" si="523"/>
        <v>-1374.9269666060707</v>
      </c>
      <c r="AU606">
        <f t="shared" si="524"/>
        <v>-90.564125788941368</v>
      </c>
      <c r="AV606">
        <f t="shared" si="511"/>
        <v>-3.0758193485478604</v>
      </c>
      <c r="AW606">
        <f t="shared" si="512"/>
        <v>303.26577755765027</v>
      </c>
      <c r="AX606">
        <f t="shared" si="513"/>
        <v>-1678.7590163423633</v>
      </c>
      <c r="AY606">
        <f t="shared" si="521"/>
        <v>-1.3920750351163083</v>
      </c>
      <c r="BA606">
        <f t="shared" si="502"/>
        <v>0.80771500292940446</v>
      </c>
      <c r="BB606">
        <f t="shared" si="514"/>
        <v>-1.8548370045267206</v>
      </c>
      <c r="BC606">
        <f t="shared" si="515"/>
        <v>-1.6837443134315522</v>
      </c>
      <c r="BD606">
        <f t="shared" si="503"/>
        <v>-276.47144304901508</v>
      </c>
      <c r="BF606">
        <f t="shared" si="504"/>
        <v>-64.467705720196093</v>
      </c>
      <c r="BG606">
        <f t="shared" si="505"/>
        <v>-193.4393730160312</v>
      </c>
      <c r="BH606">
        <f t="shared" si="516"/>
        <v>-13.439373016031197</v>
      </c>
      <c r="BI606">
        <f t="shared" si="517"/>
        <v>-13.439373016031197</v>
      </c>
      <c r="BJ606">
        <f t="shared" si="506"/>
        <v>0</v>
      </c>
      <c r="BK606">
        <f t="shared" si="518"/>
        <v>0</v>
      </c>
      <c r="BM606">
        <f t="shared" si="519"/>
        <v>-62.612868715669372</v>
      </c>
      <c r="BN606">
        <f t="shared" si="507"/>
        <v>-96.967929967016133</v>
      </c>
      <c r="BQ606" s="66">
        <f t="shared" si="520"/>
        <v>15.047123795758417</v>
      </c>
    </row>
    <row r="607" spans="1:69" x14ac:dyDescent="0.15">
      <c r="A607">
        <f t="shared" si="525"/>
        <v>1965000</v>
      </c>
      <c r="B607">
        <f t="shared" si="508"/>
        <v>1965</v>
      </c>
      <c r="C607">
        <f t="shared" si="477"/>
        <v>8.2097934773853094</v>
      </c>
      <c r="D607">
        <f t="shared" si="478"/>
        <v>1.4486873562478308</v>
      </c>
      <c r="F607">
        <f t="shared" si="479"/>
        <v>5.9952889453127737E-6</v>
      </c>
      <c r="G607">
        <f t="shared" si="480"/>
        <v>8.0200651422042456E-4</v>
      </c>
      <c r="H607">
        <f t="shared" si="481"/>
        <v>-3.1407906434857797</v>
      </c>
      <c r="J607">
        <f t="shared" si="482"/>
        <v>15</v>
      </c>
      <c r="M607">
        <f t="shared" si="483"/>
        <v>4.8499929385124825E-4</v>
      </c>
      <c r="N607">
        <f t="shared" si="484"/>
        <v>-1.5707963250000001</v>
      </c>
      <c r="O607">
        <f t="shared" si="485"/>
        <v>835.2385577275071</v>
      </c>
      <c r="P607">
        <f t="shared" si="486"/>
        <v>1.5695990637738655</v>
      </c>
      <c r="Q607">
        <f t="shared" si="487"/>
        <v>378.02520783319278</v>
      </c>
      <c r="R607">
        <f t="shared" si="488"/>
        <v>1.5681509974740626</v>
      </c>
      <c r="S607">
        <f t="shared" si="489"/>
        <v>0.12994839309406647</v>
      </c>
      <c r="T607">
        <f t="shared" si="490"/>
        <v>-1.4404793955047734</v>
      </c>
      <c r="U607">
        <f t="shared" si="491"/>
        <v>6.6500143092910233E-2</v>
      </c>
      <c r="V607">
        <f t="shared" si="492"/>
        <v>-1.5042470723191601</v>
      </c>
      <c r="X607">
        <f t="shared" si="509"/>
        <v>-60.202009890207087</v>
      </c>
      <c r="Y607">
        <f t="shared" si="493"/>
        <v>-175.89093970744798</v>
      </c>
      <c r="Z607">
        <f t="shared" si="510"/>
        <v>4.1090602925520159</v>
      </c>
      <c r="AC607">
        <v>1</v>
      </c>
      <c r="AD607">
        <f t="shared" si="494"/>
        <v>835.23795909592513</v>
      </c>
      <c r="AE607">
        <f t="shared" si="495"/>
        <v>-1.5468346969284394</v>
      </c>
      <c r="AF607">
        <f t="shared" si="496"/>
        <v>0.10309293360607502</v>
      </c>
      <c r="AG607">
        <f t="shared" si="473"/>
        <v>35.184700774872702</v>
      </c>
      <c r="AH607">
        <f t="shared" si="474"/>
        <v>-537.6209020435906</v>
      </c>
      <c r="AJ607">
        <f t="shared" si="497"/>
        <v>20000</v>
      </c>
      <c r="AK607">
        <f t="shared" si="498"/>
        <v>152602.23465522</v>
      </c>
      <c r="AL607">
        <v>1</v>
      </c>
      <c r="AM607">
        <f t="shared" si="499"/>
        <v>378.02388516776097</v>
      </c>
      <c r="AN607">
        <f t="shared" si="475"/>
        <v>403.82123752484353</v>
      </c>
      <c r="AO607">
        <f t="shared" si="476"/>
        <v>-51.838467174577303</v>
      </c>
      <c r="AQ607">
        <f t="shared" si="500"/>
        <v>6.4746287464063381E-4</v>
      </c>
      <c r="AR607">
        <f t="shared" si="501"/>
        <v>-2.5445290973376911</v>
      </c>
      <c r="AT607">
        <f t="shared" si="523"/>
        <v>-1367.9692477993458</v>
      </c>
      <c r="AU607">
        <f t="shared" si="524"/>
        <v>-89.876584477487626</v>
      </c>
      <c r="AV607">
        <f t="shared" si="511"/>
        <v>-3.0759862092143706</v>
      </c>
      <c r="AW607">
        <f t="shared" si="512"/>
        <v>303.77686702745626</v>
      </c>
      <c r="AX607">
        <f t="shared" si="513"/>
        <v>-1674.4960696774119</v>
      </c>
      <c r="AY607">
        <f t="shared" si="521"/>
        <v>-1.3913341970325346</v>
      </c>
      <c r="BA607">
        <f t="shared" si="502"/>
        <v>0.805556613465923</v>
      </c>
      <c r="BB607">
        <f t="shared" si="514"/>
        <v>-1.8780786504728328</v>
      </c>
      <c r="BC607">
        <f t="shared" si="515"/>
        <v>-1.684652012181836</v>
      </c>
      <c r="BD607">
        <f t="shared" si="503"/>
        <v>-276.52345035653508</v>
      </c>
      <c r="BF607">
        <f t="shared" si="504"/>
        <v>-64.513406444682161</v>
      </c>
      <c r="BG607">
        <f t="shared" si="505"/>
        <v>-193.47382732626434</v>
      </c>
      <c r="BH607">
        <f t="shared" si="516"/>
        <v>-13.473827326264342</v>
      </c>
      <c r="BI607">
        <f t="shared" si="517"/>
        <v>-13.473827326264342</v>
      </c>
      <c r="BJ607">
        <f t="shared" si="506"/>
        <v>0</v>
      </c>
      <c r="BK607">
        <f t="shared" si="518"/>
        <v>0</v>
      </c>
      <c r="BM607">
        <f t="shared" si="519"/>
        <v>-62.635327794209331</v>
      </c>
      <c r="BN607">
        <f t="shared" si="507"/>
        <v>-96.950376969729277</v>
      </c>
      <c r="BQ607" s="66">
        <f t="shared" si="520"/>
        <v>15.023882149812305</v>
      </c>
    </row>
    <row r="608" spans="1:69" x14ac:dyDescent="0.15">
      <c r="A608">
        <f t="shared" si="525"/>
        <v>1970000</v>
      </c>
      <c r="B608">
        <f t="shared" si="508"/>
        <v>1970</v>
      </c>
      <c r="C608">
        <f t="shared" si="477"/>
        <v>8.2303739863467964</v>
      </c>
      <c r="D608">
        <f t="shared" si="478"/>
        <v>1.4489942174713644</v>
      </c>
      <c r="F608">
        <f t="shared" si="479"/>
        <v>5.9648944524525825E-6</v>
      </c>
      <c r="G608">
        <f t="shared" si="480"/>
        <v>7.9997094085009965E-4</v>
      </c>
      <c r="H608">
        <f t="shared" si="481"/>
        <v>-3.14079267905915</v>
      </c>
      <c r="J608">
        <f t="shared" si="482"/>
        <v>15</v>
      </c>
      <c r="M608">
        <f t="shared" si="483"/>
        <v>4.8376833117649886E-4</v>
      </c>
      <c r="N608">
        <f t="shared" si="484"/>
        <v>-1.5707963250000001</v>
      </c>
      <c r="O608">
        <f t="shared" si="485"/>
        <v>837.36384363586376</v>
      </c>
      <c r="P608">
        <f t="shared" si="486"/>
        <v>1.5696021025096047</v>
      </c>
      <c r="Q608">
        <f t="shared" si="487"/>
        <v>378.9870973137626</v>
      </c>
      <c r="R608">
        <f t="shared" si="488"/>
        <v>1.5681577114766689</v>
      </c>
      <c r="S608">
        <f t="shared" si="489"/>
        <v>0.1296241235119755</v>
      </c>
      <c r="T608">
        <f t="shared" si="490"/>
        <v>-1.4408064311576856</v>
      </c>
      <c r="U608">
        <f t="shared" si="491"/>
        <v>6.6332104576930895E-2</v>
      </c>
      <c r="V608">
        <f t="shared" si="492"/>
        <v>-1.5044154826834646</v>
      </c>
      <c r="X608">
        <f t="shared" si="509"/>
        <v>-60.2460146817469</v>
      </c>
      <c r="Y608">
        <f t="shared" si="493"/>
        <v>-175.90130265923534</v>
      </c>
      <c r="Z608">
        <f t="shared" si="510"/>
        <v>4.0986973407646587</v>
      </c>
      <c r="AC608">
        <v>1</v>
      </c>
      <c r="AD608">
        <f t="shared" si="494"/>
        <v>837.36324652364999</v>
      </c>
      <c r="AE608">
        <f t="shared" si="495"/>
        <v>-1.554716644409373</v>
      </c>
      <c r="AF608">
        <f t="shared" si="496"/>
        <v>0.10335525659235002</v>
      </c>
      <c r="AG608">
        <f t="shared" si="473"/>
        <v>35.007109730493951</v>
      </c>
      <c r="AH608">
        <f t="shared" si="474"/>
        <v>-536.2681879768727</v>
      </c>
      <c r="AJ608">
        <f t="shared" si="497"/>
        <v>20000</v>
      </c>
      <c r="AK608">
        <f t="shared" si="498"/>
        <v>152990.53550676</v>
      </c>
      <c r="AL608">
        <v>1</v>
      </c>
      <c r="AM608">
        <f t="shared" si="499"/>
        <v>378.98577800533803</v>
      </c>
      <c r="AN608">
        <f t="shared" si="475"/>
        <v>403.82054232098307</v>
      </c>
      <c r="AO608">
        <f t="shared" si="476"/>
        <v>-51.706899295316042</v>
      </c>
      <c r="AQ608">
        <f t="shared" si="500"/>
        <v>6.4418043210463858E-4</v>
      </c>
      <c r="AR608">
        <f t="shared" si="501"/>
        <v>-2.5380709024922763</v>
      </c>
      <c r="AT608">
        <f t="shared" si="523"/>
        <v>-1361.0641329412861</v>
      </c>
      <c r="AU608">
        <f t="shared" si="524"/>
        <v>-89.195980060375845</v>
      </c>
      <c r="AV608">
        <f t="shared" si="511"/>
        <v>-3.0761522266625039</v>
      </c>
      <c r="AW608">
        <f t="shared" si="512"/>
        <v>304.28406280531442</v>
      </c>
      <c r="AX608">
        <f t="shared" si="513"/>
        <v>-1670.2546967823464</v>
      </c>
      <c r="AY608">
        <f t="shared" si="521"/>
        <v>-1.3905943117425061</v>
      </c>
      <c r="BA608">
        <f t="shared" si="502"/>
        <v>0.80340884022879966</v>
      </c>
      <c r="BB608">
        <f t="shared" si="514"/>
        <v>-1.9012678772434353</v>
      </c>
      <c r="BC608">
        <f t="shared" si="515"/>
        <v>-1.6855579149199977</v>
      </c>
      <c r="BD608">
        <f t="shared" si="503"/>
        <v>-276.57535476014039</v>
      </c>
      <c r="BF608">
        <f t="shared" si="504"/>
        <v>-64.558996031536665</v>
      </c>
      <c r="BG608">
        <f t="shared" si="505"/>
        <v>-193.50826650660801</v>
      </c>
      <c r="BH608">
        <f t="shared" si="516"/>
        <v>-13.50826650660801</v>
      </c>
      <c r="BI608">
        <f t="shared" si="517"/>
        <v>-13.50826650660801</v>
      </c>
      <c r="BJ608">
        <f t="shared" si="506"/>
        <v>0</v>
      </c>
      <c r="BK608">
        <f t="shared" si="518"/>
        <v>0</v>
      </c>
      <c r="BM608">
        <f t="shared" si="519"/>
        <v>-62.657728154293224</v>
      </c>
      <c r="BN608">
        <f t="shared" si="507"/>
        <v>-96.932911746467639</v>
      </c>
      <c r="BQ608" s="66">
        <f t="shared" si="520"/>
        <v>15.000692923041701</v>
      </c>
    </row>
    <row r="609" spans="1:69" x14ac:dyDescent="0.15">
      <c r="A609">
        <f t="shared" si="525"/>
        <v>1975000</v>
      </c>
      <c r="B609">
        <f t="shared" si="508"/>
        <v>1975</v>
      </c>
      <c r="C609">
        <f t="shared" si="477"/>
        <v>8.2509552664454073</v>
      </c>
      <c r="D609">
        <f t="shared" si="478"/>
        <v>1.4492995478470214</v>
      </c>
      <c r="F609">
        <f t="shared" si="479"/>
        <v>5.9347305132687807E-6</v>
      </c>
      <c r="G609">
        <f t="shared" si="480"/>
        <v>7.9794567436077544E-4</v>
      </c>
      <c r="H609">
        <f t="shared" si="481"/>
        <v>-3.1407947043256392</v>
      </c>
      <c r="J609">
        <f t="shared" si="482"/>
        <v>15</v>
      </c>
      <c r="M609">
        <f t="shared" si="483"/>
        <v>4.8254360122415335E-4</v>
      </c>
      <c r="N609">
        <f t="shared" si="484"/>
        <v>-1.5707963250000001</v>
      </c>
      <c r="O609">
        <f t="shared" si="485"/>
        <v>839.48912955191327</v>
      </c>
      <c r="P609">
        <f t="shared" si="486"/>
        <v>1.5696051258593622</v>
      </c>
      <c r="Q609">
        <f t="shared" si="487"/>
        <v>379.94898681132986</v>
      </c>
      <c r="R609">
        <f t="shared" si="488"/>
        <v>1.5681643914845613</v>
      </c>
      <c r="S609">
        <f t="shared" si="489"/>
        <v>0.12930145452204164</v>
      </c>
      <c r="T609">
        <f t="shared" si="490"/>
        <v>-1.4411318386874579</v>
      </c>
      <c r="U609">
        <f t="shared" si="491"/>
        <v>6.6164911287581202E-2</v>
      </c>
      <c r="V609">
        <f t="shared" si="492"/>
        <v>-1.5045830440795056</v>
      </c>
      <c r="X609">
        <f t="shared" si="509"/>
        <v>-60.289908635599232</v>
      </c>
      <c r="Y609">
        <f t="shared" si="493"/>
        <v>-175.91161363402679</v>
      </c>
      <c r="Z609">
        <f t="shared" si="510"/>
        <v>4.0883863659732071</v>
      </c>
      <c r="AC609">
        <v>1</v>
      </c>
      <c r="AD609">
        <f t="shared" si="494"/>
        <v>839.48853395137519</v>
      </c>
      <c r="AE609">
        <f t="shared" si="495"/>
        <v>-1.5626186222523926</v>
      </c>
      <c r="AF609">
        <f t="shared" si="496"/>
        <v>0.103617579578625</v>
      </c>
      <c r="AG609">
        <f t="shared" si="473"/>
        <v>34.830857897791248</v>
      </c>
      <c r="AH609">
        <f t="shared" si="474"/>
        <v>-534.92223429188641</v>
      </c>
      <c r="AJ609">
        <f t="shared" si="497"/>
        <v>20000</v>
      </c>
      <c r="AK609">
        <f t="shared" si="498"/>
        <v>153378.8363583</v>
      </c>
      <c r="AL609">
        <v>1</v>
      </c>
      <c r="AM609">
        <f t="shared" si="499"/>
        <v>379.94767084291499</v>
      </c>
      <c r="AN609">
        <f t="shared" si="475"/>
        <v>403.81985239041688</v>
      </c>
      <c r="AO609">
        <f t="shared" si="476"/>
        <v>-51.575997568653072</v>
      </c>
      <c r="AQ609">
        <f t="shared" si="500"/>
        <v>6.4092288793956816E-4</v>
      </c>
      <c r="AR609">
        <f t="shared" si="501"/>
        <v>-2.5316454073612942</v>
      </c>
      <c r="AT609">
        <f t="shared" si="523"/>
        <v>-1354.2110938464632</v>
      </c>
      <c r="AU609">
        <f t="shared" si="524"/>
        <v>-88.522225334622519</v>
      </c>
      <c r="AV609">
        <f t="shared" si="511"/>
        <v>-3.0763174072583834</v>
      </c>
      <c r="AW609">
        <f t="shared" si="512"/>
        <v>304.78740435986265</v>
      </c>
      <c r="AX609">
        <f t="shared" si="513"/>
        <v>-1666.0347344611318</v>
      </c>
      <c r="AY609">
        <f t="shared" si="521"/>
        <v>-1.3898553735908377</v>
      </c>
      <c r="BA609">
        <f t="shared" si="502"/>
        <v>0.80127160389787233</v>
      </c>
      <c r="BB609">
        <f t="shared" si="514"/>
        <v>-1.9244049572092319</v>
      </c>
      <c r="BC609">
        <f t="shared" si="515"/>
        <v>-1.6864620336675458</v>
      </c>
      <c r="BD609">
        <f t="shared" si="503"/>
        <v>-276.62715694861276</v>
      </c>
      <c r="BF609">
        <f t="shared" si="504"/>
        <v>-64.604475063020274</v>
      </c>
      <c r="BG609">
        <f t="shared" si="505"/>
        <v>-193.54269059240045</v>
      </c>
      <c r="BH609">
        <f t="shared" si="516"/>
        <v>-13.542690592400447</v>
      </c>
      <c r="BI609">
        <f t="shared" si="517"/>
        <v>-13.542690592400447</v>
      </c>
      <c r="BJ609">
        <f t="shared" si="506"/>
        <v>0</v>
      </c>
      <c r="BK609">
        <f t="shared" si="518"/>
        <v>0</v>
      </c>
      <c r="BM609">
        <f t="shared" si="519"/>
        <v>-62.680070105811041</v>
      </c>
      <c r="BN609">
        <f t="shared" si="507"/>
        <v>-96.915533643787711</v>
      </c>
      <c r="BQ609" s="66">
        <f t="shared" si="520"/>
        <v>14.977555843075905</v>
      </c>
    </row>
    <row r="610" spans="1:69" x14ac:dyDescent="0.15">
      <c r="A610">
        <f t="shared" si="525"/>
        <v>1980000</v>
      </c>
      <c r="B610">
        <f t="shared" si="508"/>
        <v>1980</v>
      </c>
      <c r="C610">
        <f t="shared" si="477"/>
        <v>8.2715373119248987</v>
      </c>
      <c r="D610">
        <f t="shared" si="478"/>
        <v>1.4496033587452735</v>
      </c>
      <c r="F610">
        <f t="shared" si="479"/>
        <v>5.9047948018571837E-6</v>
      </c>
      <c r="G610">
        <f t="shared" si="480"/>
        <v>7.9593063666820473E-4</v>
      </c>
      <c r="H610">
        <f t="shared" si="481"/>
        <v>-3.1407967193633319</v>
      </c>
      <c r="J610">
        <f t="shared" si="482"/>
        <v>15</v>
      </c>
      <c r="M610">
        <f t="shared" si="483"/>
        <v>4.8132505677661754E-4</v>
      </c>
      <c r="N610">
        <f t="shared" si="484"/>
        <v>-1.5707963250000001</v>
      </c>
      <c r="O610">
        <f t="shared" si="485"/>
        <v>841.61441547559753</v>
      </c>
      <c r="P610">
        <f t="shared" si="486"/>
        <v>1.5696081339396979</v>
      </c>
      <c r="Q610">
        <f t="shared" si="487"/>
        <v>380.9108763257658</v>
      </c>
      <c r="R610">
        <f t="shared" si="488"/>
        <v>1.5681710377552733</v>
      </c>
      <c r="S610">
        <f t="shared" si="489"/>
        <v>0.1289803744052897</v>
      </c>
      <c r="T610">
        <f t="shared" si="490"/>
        <v>-1.4414556301537362</v>
      </c>
      <c r="U610">
        <f t="shared" si="491"/>
        <v>6.5998556877686021E-2</v>
      </c>
      <c r="V610">
        <f t="shared" si="492"/>
        <v>-1.5047497629013664</v>
      </c>
      <c r="X610">
        <f t="shared" si="509"/>
        <v>-60.333692306999581</v>
      </c>
      <c r="Y610">
        <f t="shared" si="493"/>
        <v>-175.92187302070309</v>
      </c>
      <c r="Z610">
        <f t="shared" si="510"/>
        <v>4.0781269792969113</v>
      </c>
      <c r="AC610">
        <v>1</v>
      </c>
      <c r="AD610">
        <f t="shared" si="494"/>
        <v>841.61382137910005</v>
      </c>
      <c r="AE610">
        <f t="shared" si="495"/>
        <v>-1.5705406304574985</v>
      </c>
      <c r="AF610">
        <f t="shared" si="496"/>
        <v>0.1038799025649</v>
      </c>
      <c r="AG610">
        <f t="shared" si="473"/>
        <v>34.655931864856242</v>
      </c>
      <c r="AH610">
        <f t="shared" si="474"/>
        <v>-533.58299066071891</v>
      </c>
      <c r="AJ610">
        <f t="shared" si="497"/>
        <v>20000</v>
      </c>
      <c r="AK610">
        <f t="shared" si="498"/>
        <v>153767.13720984</v>
      </c>
      <c r="AL610">
        <v>1</v>
      </c>
      <c r="AM610">
        <f t="shared" si="499"/>
        <v>380.909563680492</v>
      </c>
      <c r="AN610">
        <f t="shared" si="475"/>
        <v>403.81916767994727</v>
      </c>
      <c r="AO610">
        <f t="shared" si="476"/>
        <v>-51.445756948117449</v>
      </c>
      <c r="AQ610">
        <f t="shared" si="500"/>
        <v>6.3768999096457048E-4</v>
      </c>
      <c r="AR610">
        <f t="shared" si="501"/>
        <v>-2.5252523642196993</v>
      </c>
      <c r="AT610">
        <f t="shared" si="523"/>
        <v>-1347.4096089325203</v>
      </c>
      <c r="AU610">
        <f t="shared" si="524"/>
        <v>-87.85523440845833</v>
      </c>
      <c r="AV610">
        <f t="shared" si="511"/>
        <v>-3.076481757304304</v>
      </c>
      <c r="AW610">
        <f t="shared" si="512"/>
        <v>305.28693066069741</v>
      </c>
      <c r="AX610">
        <f t="shared" si="513"/>
        <v>-1661.8360211580216</v>
      </c>
      <c r="AY610">
        <f t="shared" si="521"/>
        <v>-1.3891173769823082</v>
      </c>
      <c r="BA610">
        <f t="shared" si="502"/>
        <v>0.79914482594248104</v>
      </c>
      <c r="BB610">
        <f t="shared" si="514"/>
        <v>-1.9474901607036212</v>
      </c>
      <c r="BC610">
        <f t="shared" si="515"/>
        <v>-1.6873643803219958</v>
      </c>
      <c r="BD610">
        <f t="shared" si="503"/>
        <v>-276.67885760362958</v>
      </c>
      <c r="BF610">
        <f t="shared" si="504"/>
        <v>-64.649844116885788</v>
      </c>
      <c r="BG610">
        <f t="shared" si="505"/>
        <v>-193.5770996183129</v>
      </c>
      <c r="BH610">
        <f t="shared" si="516"/>
        <v>-13.5770996183129</v>
      </c>
      <c r="BI610">
        <f t="shared" si="517"/>
        <v>-13.5770996183129</v>
      </c>
      <c r="BJ610">
        <f t="shared" si="506"/>
        <v>0</v>
      </c>
      <c r="BK610">
        <f t="shared" si="518"/>
        <v>0</v>
      </c>
      <c r="BM610">
        <f t="shared" si="519"/>
        <v>-62.702353956182179</v>
      </c>
      <c r="BN610">
        <f t="shared" si="507"/>
        <v>-96.89824201468339</v>
      </c>
      <c r="BQ610" s="66">
        <f t="shared" si="520"/>
        <v>14.954470639581515</v>
      </c>
    </row>
    <row r="611" spans="1:69" x14ac:dyDescent="0.15">
      <c r="A611">
        <f t="shared" si="525"/>
        <v>1985000</v>
      </c>
      <c r="B611">
        <f t="shared" si="508"/>
        <v>1985</v>
      </c>
      <c r="C611">
        <f t="shared" si="477"/>
        <v>8.2921201170859682</v>
      </c>
      <c r="D611">
        <f t="shared" si="478"/>
        <v>1.4499056614248245</v>
      </c>
      <c r="F611">
        <f t="shared" si="479"/>
        <v>5.8750850215705051E-6</v>
      </c>
      <c r="G611">
        <f t="shared" si="480"/>
        <v>7.9392575047490673E-4</v>
      </c>
      <c r="H611">
        <f t="shared" si="481"/>
        <v>-3.1407987242495254</v>
      </c>
      <c r="J611">
        <f t="shared" si="482"/>
        <v>15</v>
      </c>
      <c r="M611">
        <f t="shared" si="483"/>
        <v>4.801126510920417E-4</v>
      </c>
      <c r="N611">
        <f t="shared" si="484"/>
        <v>-1.5707963250000001</v>
      </c>
      <c r="O611">
        <f t="shared" si="485"/>
        <v>843.7397014068589</v>
      </c>
      <c r="P611">
        <f t="shared" si="486"/>
        <v>1.5696111268659978</v>
      </c>
      <c r="Q611">
        <f t="shared" si="487"/>
        <v>381.87276585694286</v>
      </c>
      <c r="R611">
        <f t="shared" si="488"/>
        <v>1.5681776505437433</v>
      </c>
      <c r="S611">
        <f t="shared" si="489"/>
        <v>0.12866087155584402</v>
      </c>
      <c r="T611">
        <f t="shared" si="490"/>
        <v>-1.4417778174980356</v>
      </c>
      <c r="U611">
        <f t="shared" si="491"/>
        <v>6.5833035063322873E-2</v>
      </c>
      <c r="V611">
        <f t="shared" si="492"/>
        <v>-1.5049156454791734</v>
      </c>
      <c r="X611">
        <f t="shared" si="509"/>
        <v>-60.377366247034139</v>
      </c>
      <c r="Y611">
        <f t="shared" si="493"/>
        <v>-175.9320812042867</v>
      </c>
      <c r="Z611">
        <f t="shared" si="510"/>
        <v>4.0679187957132967</v>
      </c>
      <c r="AC611">
        <v>1</v>
      </c>
      <c r="AD611">
        <f t="shared" si="494"/>
        <v>843.73910880682513</v>
      </c>
      <c r="AE611">
        <f t="shared" si="495"/>
        <v>-1.5784826690246905</v>
      </c>
      <c r="AF611">
        <f t="shared" si="496"/>
        <v>0.104142225551175</v>
      </c>
      <c r="AG611">
        <f t="shared" si="473"/>
        <v>34.482318387012846</v>
      </c>
      <c r="AH611">
        <f t="shared" si="474"/>
        <v>-532.250407251507</v>
      </c>
      <c r="AJ611">
        <f t="shared" si="497"/>
        <v>20000</v>
      </c>
      <c r="AK611">
        <f t="shared" si="498"/>
        <v>154155.43806138</v>
      </c>
      <c r="AL611">
        <v>1</v>
      </c>
      <c r="AM611">
        <f t="shared" si="499"/>
        <v>381.87145651806901</v>
      </c>
      <c r="AN611">
        <f t="shared" si="475"/>
        <v>403.81848813704539</v>
      </c>
      <c r="AO611">
        <f t="shared" si="476"/>
        <v>-51.316172438082496</v>
      </c>
      <c r="AQ611">
        <f t="shared" si="500"/>
        <v>6.344814931582909E-4</v>
      </c>
      <c r="AR611">
        <f t="shared" si="501"/>
        <v>-2.5188915278384147</v>
      </c>
      <c r="AT611">
        <f t="shared" si="523"/>
        <v>-1340.659163121509</v>
      </c>
      <c r="AU611">
        <f t="shared" si="524"/>
        <v>-87.194922678400488</v>
      </c>
      <c r="AV611">
        <f t="shared" si="511"/>
        <v>-3.0766452830395306</v>
      </c>
      <c r="AW611">
        <f t="shared" si="512"/>
        <v>305.78268018592848</v>
      </c>
      <c r="AX611">
        <f t="shared" si="513"/>
        <v>-1657.6583969370208</v>
      </c>
      <c r="AY611">
        <f t="shared" si="521"/>
        <v>-1.3883803163810908</v>
      </c>
      <c r="BA611">
        <f t="shared" si="502"/>
        <v>0.79702842861170797</v>
      </c>
      <c r="BB611">
        <f t="shared" si="514"/>
        <v>-1.9705237560425395</v>
      </c>
      <c r="BC611">
        <f t="shared" si="515"/>
        <v>-1.6882649666584397</v>
      </c>
      <c r="BD611">
        <f t="shared" si="503"/>
        <v>-276.73045739985389</v>
      </c>
      <c r="BF611">
        <f t="shared" si="504"/>
        <v>-64.69510376642441</v>
      </c>
      <c r="BG611">
        <f t="shared" si="505"/>
        <v>-193.61149361836112</v>
      </c>
      <c r="BH611">
        <f t="shared" si="516"/>
        <v>-13.611493618361123</v>
      </c>
      <c r="BI611">
        <f t="shared" si="517"/>
        <v>-13.611493618361123</v>
      </c>
      <c r="BJ611">
        <f t="shared" si="506"/>
        <v>0</v>
      </c>
      <c r="BK611">
        <f t="shared" si="518"/>
        <v>0</v>
      </c>
      <c r="BM611">
        <f t="shared" si="519"/>
        <v>-62.724580010381857</v>
      </c>
      <c r="BN611">
        <f t="shared" si="507"/>
        <v>-96.881036218507248</v>
      </c>
      <c r="BQ611" s="66">
        <f t="shared" si="520"/>
        <v>14.931437044242596</v>
      </c>
    </row>
    <row r="612" spans="1:69" x14ac:dyDescent="0.15">
      <c r="A612">
        <f t="shared" si="525"/>
        <v>1990000</v>
      </c>
      <c r="B612">
        <f t="shared" si="508"/>
        <v>1990</v>
      </c>
      <c r="C612">
        <f t="shared" si="477"/>
        <v>8.3127036762855546</v>
      </c>
      <c r="D612">
        <f t="shared" si="478"/>
        <v>1.4502064670339743</v>
      </c>
      <c r="F612">
        <f t="shared" si="479"/>
        <v>5.8455989045778482E-6</v>
      </c>
      <c r="G612">
        <f t="shared" si="480"/>
        <v>7.9193093926028125E-4</v>
      </c>
      <c r="H612">
        <f t="shared" si="481"/>
        <v>-3.1408007190607399</v>
      </c>
      <c r="J612">
        <f t="shared" si="482"/>
        <v>15</v>
      </c>
      <c r="M612">
        <f t="shared" si="483"/>
        <v>4.7890633789834307E-4</v>
      </c>
      <c r="N612">
        <f t="shared" si="484"/>
        <v>-1.5707963250000001</v>
      </c>
      <c r="O612">
        <f t="shared" si="485"/>
        <v>845.8649873456402</v>
      </c>
      <c r="P612">
        <f t="shared" si="486"/>
        <v>1.5696141047524883</v>
      </c>
      <c r="Q612">
        <f t="shared" si="487"/>
        <v>382.83465540473497</v>
      </c>
      <c r="R612">
        <f t="shared" si="488"/>
        <v>1.5681842301023479</v>
      </c>
      <c r="S612">
        <f t="shared" si="489"/>
        <v>0.12834293447958026</v>
      </c>
      <c r="T612">
        <f t="shared" si="490"/>
        <v>-1.442098412545175</v>
      </c>
      <c r="U612">
        <f t="shared" si="491"/>
        <v>6.5668339623037697E-2</v>
      </c>
      <c r="V612">
        <f t="shared" si="492"/>
        <v>-1.5050806980798943</v>
      </c>
      <c r="X612">
        <f t="shared" si="509"/>
        <v>-60.420931002680895</v>
      </c>
      <c r="Y612">
        <f t="shared" si="493"/>
        <v>-175.94223856598967</v>
      </c>
      <c r="Z612">
        <f t="shared" si="510"/>
        <v>4.057761434010331</v>
      </c>
      <c r="AC612">
        <v>1</v>
      </c>
      <c r="AD612">
        <f t="shared" si="494"/>
        <v>845.8643962345501</v>
      </c>
      <c r="AE612">
        <f t="shared" si="495"/>
        <v>-1.586444737953969</v>
      </c>
      <c r="AF612">
        <f t="shared" si="496"/>
        <v>0.10440454853745</v>
      </c>
      <c r="AG612">
        <f t="shared" si="473"/>
        <v>34.310004384324813</v>
      </c>
      <c r="AH612">
        <f t="shared" si="474"/>
        <v>-530.92443472236823</v>
      </c>
      <c r="AJ612">
        <f t="shared" si="497"/>
        <v>20000</v>
      </c>
      <c r="AK612">
        <f t="shared" si="498"/>
        <v>154543.73891292</v>
      </c>
      <c r="AL612">
        <v>1</v>
      </c>
      <c r="AM612">
        <f t="shared" si="499"/>
        <v>382.83334935564596</v>
      </c>
      <c r="AN612">
        <f t="shared" si="475"/>
        <v>403.81781370984203</v>
      </c>
      <c r="AO612">
        <f t="shared" si="476"/>
        <v>-51.187239093127232</v>
      </c>
      <c r="AQ612">
        <f t="shared" si="500"/>
        <v>6.3129714961130084E-4</v>
      </c>
      <c r="AR612">
        <f t="shared" si="501"/>
        <v>-2.5125626554529776</v>
      </c>
      <c r="AT612">
        <f t="shared" si="523"/>
        <v>-1333.9592477429337</v>
      </c>
      <c r="AU612">
        <f t="shared" si="524"/>
        <v>-86.541206806781688</v>
      </c>
      <c r="AV612">
        <f t="shared" si="511"/>
        <v>-3.0768079906410795</v>
      </c>
      <c r="AW612">
        <f t="shared" si="512"/>
        <v>306.27469092960308</v>
      </c>
      <c r="AX612">
        <f t="shared" si="513"/>
        <v>-1653.5017034616601</v>
      </c>
      <c r="AY612">
        <f t="shared" si="521"/>
        <v>-1.3876441863099904</v>
      </c>
      <c r="BA612">
        <f t="shared" si="502"/>
        <v>0.79492233492475572</v>
      </c>
      <c r="BB612">
        <f t="shared" si="514"/>
        <v>-1.9935060095441277</v>
      </c>
      <c r="BC612">
        <f t="shared" si="515"/>
        <v>-1.689163804331089</v>
      </c>
      <c r="BD612">
        <f t="shared" si="503"/>
        <v>-276.78195700502295</v>
      </c>
      <c r="BF612">
        <f t="shared" si="504"/>
        <v>-64.740254580511277</v>
      </c>
      <c r="BG612">
        <f t="shared" si="505"/>
        <v>-193.64587262591596</v>
      </c>
      <c r="BH612">
        <f t="shared" si="516"/>
        <v>-13.645872625915956</v>
      </c>
      <c r="BI612">
        <f t="shared" si="517"/>
        <v>-13.645872625915956</v>
      </c>
      <c r="BJ612">
        <f t="shared" si="506"/>
        <v>0</v>
      </c>
      <c r="BK612">
        <f t="shared" si="518"/>
        <v>0</v>
      </c>
      <c r="BM612">
        <f t="shared" si="519"/>
        <v>-62.746748570967142</v>
      </c>
      <c r="BN612">
        <f t="shared" si="507"/>
        <v>-96.863915620893053</v>
      </c>
      <c r="BQ612" s="66">
        <f t="shared" si="520"/>
        <v>14.908454790741008</v>
      </c>
    </row>
    <row r="613" spans="1:69" x14ac:dyDescent="0.15">
      <c r="A613">
        <f t="shared" si="525"/>
        <v>1995000</v>
      </c>
      <c r="B613">
        <f t="shared" si="508"/>
        <v>1995</v>
      </c>
      <c r="C613">
        <f t="shared" si="477"/>
        <v>8.3332879839361329</v>
      </c>
      <c r="D613">
        <f t="shared" si="478"/>
        <v>1.4505057866119606</v>
      </c>
      <c r="F613">
        <f t="shared" si="479"/>
        <v>5.8163342114319023E-6</v>
      </c>
      <c r="G613">
        <f t="shared" si="480"/>
        <v>7.8994612727087442E-4</v>
      </c>
      <c r="H613">
        <f t="shared" si="481"/>
        <v>-3.1408027038727293</v>
      </c>
      <c r="J613">
        <f t="shared" si="482"/>
        <v>15</v>
      </c>
      <c r="M613">
        <f t="shared" si="483"/>
        <v>4.7770607138731972E-4</v>
      </c>
      <c r="N613">
        <f t="shared" si="484"/>
        <v>-1.5707963250000001</v>
      </c>
      <c r="O613">
        <f t="shared" si="485"/>
        <v>847.99027329188471</v>
      </c>
      <c r="P613">
        <f t="shared" si="486"/>
        <v>1.5696170677122501</v>
      </c>
      <c r="Q613">
        <f t="shared" si="487"/>
        <v>383.79654496901708</v>
      </c>
      <c r="R613">
        <f t="shared" si="488"/>
        <v>1.5681907766809331</v>
      </c>
      <c r="S613">
        <f t="shared" si="489"/>
        <v>0.12802655179279607</v>
      </c>
      <c r="T613">
        <f t="shared" si="490"/>
        <v>-1.4424174270046906</v>
      </c>
      <c r="U613">
        <f t="shared" si="491"/>
        <v>6.5504464397072235E-2</v>
      </c>
      <c r="V613">
        <f t="shared" si="492"/>
        <v>-1.5052449269081212</v>
      </c>
      <c r="X613">
        <f t="shared" si="509"/>
        <v>-60.464387116850332</v>
      </c>
      <c r="Y613">
        <f t="shared" si="493"/>
        <v>-175.95234548326036</v>
      </c>
      <c r="Z613">
        <f t="shared" si="510"/>
        <v>4.0476545167396409</v>
      </c>
      <c r="AC613">
        <v>1</v>
      </c>
      <c r="AD613">
        <f t="shared" si="494"/>
        <v>847.98968366227507</v>
      </c>
      <c r="AE613">
        <f t="shared" si="495"/>
        <v>-1.5944268372453334</v>
      </c>
      <c r="AF613">
        <f t="shared" si="496"/>
        <v>0.104666871523725</v>
      </c>
      <c r="AG613">
        <f t="shared" si="473"/>
        <v>34.138976939146595</v>
      </c>
      <c r="AH613">
        <f t="shared" si="474"/>
        <v>-529.6050242154223</v>
      </c>
      <c r="AJ613">
        <f t="shared" si="497"/>
        <v>20000</v>
      </c>
      <c r="AK613">
        <f t="shared" si="498"/>
        <v>154932.03976446</v>
      </c>
      <c r="AL613">
        <v>1</v>
      </c>
      <c r="AM613">
        <f t="shared" si="499"/>
        <v>383.79524219322298</v>
      </c>
      <c r="AN613">
        <f t="shared" si="475"/>
        <v>403.81714434711688</v>
      </c>
      <c r="AO613">
        <f t="shared" si="476"/>
        <v>-51.05895201740703</v>
      </c>
      <c r="AQ613">
        <f t="shared" si="500"/>
        <v>6.2813671847936146E-4</v>
      </c>
      <c r="AR613">
        <f t="shared" si="501"/>
        <v>-2.5062655067326518</v>
      </c>
      <c r="AT613">
        <f t="shared" si="523"/>
        <v>-1327.3093604384769</v>
      </c>
      <c r="AU613">
        <f t="shared" si="524"/>
        <v>-85.894004699725414</v>
      </c>
      <c r="AV613">
        <f t="shared" si="511"/>
        <v>-3.0769698862244956</v>
      </c>
      <c r="AW613">
        <f t="shared" si="512"/>
        <v>306.76300040899724</v>
      </c>
      <c r="AX613">
        <f t="shared" si="513"/>
        <v>-1649.3657839750622</v>
      </c>
      <c r="AY613">
        <f t="shared" si="521"/>
        <v>-1.3869089813496969</v>
      </c>
      <c r="BA613">
        <f t="shared" si="502"/>
        <v>0.79282646866147211</v>
      </c>
      <c r="BB613">
        <f t="shared" si="514"/>
        <v>-2.0164371855481051</v>
      </c>
      <c r="BC613">
        <f t="shared" si="515"/>
        <v>-1.6900609048747988</v>
      </c>
      <c r="BD613">
        <f t="shared" si="503"/>
        <v>-276.83335708003511</v>
      </c>
      <c r="BF613">
        <f t="shared" si="504"/>
        <v>-64.78529712365075</v>
      </c>
      <c r="BG613">
        <f t="shared" si="505"/>
        <v>-193.68023667371455</v>
      </c>
      <c r="BH613">
        <f t="shared" si="516"/>
        <v>-13.680236673714546</v>
      </c>
      <c r="BI613">
        <f t="shared" si="517"/>
        <v>-13.680236673714546</v>
      </c>
      <c r="BJ613">
        <f t="shared" si="506"/>
        <v>0</v>
      </c>
      <c r="BK613">
        <f t="shared" si="518"/>
        <v>0</v>
      </c>
      <c r="BM613">
        <f t="shared" si="519"/>
        <v>-62.768859938102651</v>
      </c>
      <c r="BN613">
        <f t="shared" si="507"/>
        <v>-96.846879593679461</v>
      </c>
      <c r="BQ613" s="66">
        <f t="shared" si="520"/>
        <v>14.88552361473703</v>
      </c>
    </row>
    <row r="614" spans="1:69" x14ac:dyDescent="0.15">
      <c r="A614">
        <f t="shared" si="525"/>
        <v>2000000</v>
      </c>
      <c r="B614">
        <f t="shared" si="508"/>
        <v>2000</v>
      </c>
      <c r="C614">
        <f t="shared" si="477"/>
        <v>8.3538730345050585</v>
      </c>
      <c r="D614">
        <f t="shared" si="478"/>
        <v>1.4508036310902848</v>
      </c>
      <c r="F614">
        <f t="shared" si="479"/>
        <v>5.7872887306437315E-6</v>
      </c>
      <c r="G614">
        <f t="shared" si="480"/>
        <v>7.8797123951078864E-4</v>
      </c>
      <c r="H614">
        <f t="shared" si="481"/>
        <v>-3.1408046787604893</v>
      </c>
      <c r="J614">
        <f t="shared" si="482"/>
        <v>15</v>
      </c>
      <c r="M614">
        <f t="shared" si="483"/>
        <v>4.7651180620885135E-4</v>
      </c>
      <c r="N614">
        <f t="shared" si="484"/>
        <v>-1.5707963250000001</v>
      </c>
      <c r="O614">
        <f t="shared" si="485"/>
        <v>850.1155592455367</v>
      </c>
      <c r="P614">
        <f t="shared" si="486"/>
        <v>1.5696200158572338</v>
      </c>
      <c r="Q614">
        <f t="shared" si="487"/>
        <v>384.75843454966559</v>
      </c>
      <c r="R614">
        <f t="shared" si="488"/>
        <v>1.5681972905268473</v>
      </c>
      <c r="S614">
        <f t="shared" si="489"/>
        <v>0.12771171222090072</v>
      </c>
      <c r="T614">
        <f t="shared" si="490"/>
        <v>-1.4427348724722295</v>
      </c>
      <c r="U614">
        <f t="shared" si="491"/>
        <v>6.5341403286602873E-2</v>
      </c>
      <c r="V614">
        <f t="shared" si="492"/>
        <v>-1.5054083381068448</v>
      </c>
      <c r="X614">
        <f t="shared" si="509"/>
        <v>-60.507735128425431</v>
      </c>
      <c r="Y614">
        <f t="shared" si="493"/>
        <v>-175.96240232982962</v>
      </c>
      <c r="Z614">
        <f t="shared" si="510"/>
        <v>4.0375976701703848</v>
      </c>
      <c r="AC614">
        <v>1</v>
      </c>
      <c r="AD614">
        <f t="shared" si="494"/>
        <v>850.11497109000015</v>
      </c>
      <c r="AE614">
        <f t="shared" si="495"/>
        <v>-1.6024289668987843</v>
      </c>
      <c r="AF614">
        <f t="shared" si="496"/>
        <v>0.10492919451</v>
      </c>
      <c r="AG614">
        <f t="shared" si="473"/>
        <v>33.969223293716375</v>
      </c>
      <c r="AH614">
        <f t="shared" si="474"/>
        <v>-528.29212735089789</v>
      </c>
      <c r="AJ614">
        <f t="shared" si="497"/>
        <v>20000</v>
      </c>
      <c r="AK614">
        <f t="shared" si="498"/>
        <v>155320.340616</v>
      </c>
      <c r="AL614">
        <v>1</v>
      </c>
      <c r="AM614">
        <f t="shared" si="499"/>
        <v>384.75713503079999</v>
      </c>
      <c r="AN614">
        <f t="shared" si="475"/>
        <v>403.81647999828897</v>
      </c>
      <c r="AO614">
        <f t="shared" si="476"/>
        <v>-50.931306364034093</v>
      </c>
      <c r="AQ614">
        <f t="shared" si="500"/>
        <v>6.2499996093750242E-4</v>
      </c>
      <c r="AR614">
        <f t="shared" si="501"/>
        <v>-2.4999998437500097</v>
      </c>
      <c r="AT614">
        <f t="shared" si="523"/>
        <v>-1320.7090050683732</v>
      </c>
      <c r="AU614">
        <f t="shared" si="524"/>
        <v>-85.253235485558037</v>
      </c>
      <c r="AV614">
        <f t="shared" si="511"/>
        <v>-3.0771309758446126</v>
      </c>
      <c r="AW614">
        <f t="shared" si="512"/>
        <v>307.24764567177982</v>
      </c>
      <c r="AX614">
        <f t="shared" si="513"/>
        <v>-1645.2504832803154</v>
      </c>
      <c r="AY614">
        <f t="shared" si="521"/>
        <v>-1.3861746961380472</v>
      </c>
      <c r="BA614">
        <f t="shared" si="502"/>
        <v>0.79074075435301128</v>
      </c>
      <c r="BB614">
        <f t="shared" si="514"/>
        <v>-2.0393175464349431</v>
      </c>
      <c r="BC614">
        <f t="shared" si="515"/>
        <v>-1.6909562797065654</v>
      </c>
      <c r="BD614">
        <f t="shared" si="503"/>
        <v>-276.88465827903622</v>
      </c>
      <c r="BF614">
        <f t="shared" si="504"/>
        <v>-64.830231956020796</v>
      </c>
      <c r="BG614">
        <f t="shared" si="505"/>
        <v>-193.71458579387067</v>
      </c>
      <c r="BH614">
        <f t="shared" si="516"/>
        <v>-13.714585793870668</v>
      </c>
      <c r="BI614">
        <f t="shared" si="517"/>
        <v>-13.714585793870668</v>
      </c>
      <c r="BJ614">
        <f t="shared" si="506"/>
        <v>0</v>
      </c>
      <c r="BK614">
        <f t="shared" si="518"/>
        <v>0</v>
      </c>
      <c r="BM614">
        <f t="shared" si="519"/>
        <v>-62.790914409585845</v>
      </c>
      <c r="BN614">
        <f t="shared" si="507"/>
        <v>-96.82992751483448</v>
      </c>
      <c r="BQ614" s="66">
        <f t="shared" si="520"/>
        <v>14.862643253850191</v>
      </c>
    </row>
    <row r="615" spans="1:69" x14ac:dyDescent="0.15">
      <c r="A615">
        <f>A614+250000</f>
        <v>2250000</v>
      </c>
      <c r="B615">
        <f t="shared" si="508"/>
        <v>2250</v>
      </c>
      <c r="C615">
        <f t="shared" si="477"/>
        <v>9.3839646878390788</v>
      </c>
      <c r="D615">
        <f t="shared" ref="D615:D626" si="526">ATAN(A615/Fesr)</f>
        <v>1.4640288307424687</v>
      </c>
      <c r="F615">
        <f t="shared" si="479"/>
        <v>4.5726672305580162E-6</v>
      </c>
      <c r="G615">
        <f t="shared" ref="G615:G626" si="527">-ATAN(A615*Fo/(Q*(Fo^2-A615^2)))</f>
        <v>7.0041804536612586E-4</v>
      </c>
      <c r="H615">
        <f t="shared" si="481"/>
        <v>-3.1408922319546342</v>
      </c>
      <c r="J615">
        <f t="shared" si="482"/>
        <v>15</v>
      </c>
      <c r="M615">
        <f t="shared" ref="M615:M626" si="528">1/(2*Pi*_Rfb1*(Cc1ea_u+Cc2ea_u)*A615)</f>
        <v>4.2356604996342343E-4</v>
      </c>
      <c r="N615">
        <f t="shared" si="484"/>
        <v>-1.5707963250000001</v>
      </c>
      <c r="O615">
        <f t="shared" ref="O615:O626" si="529">SQRT(1+(A615/Fz1_u)^2)</f>
        <v>956.3798652812095</v>
      </c>
      <c r="P615">
        <f t="shared" si="486"/>
        <v>1.5697507169713119</v>
      </c>
      <c r="Q615">
        <f t="shared" ref="Q615:Q626" si="530">SQRT(1+(A615/Fz2_u)^2)</f>
        <v>432.85293203793998</v>
      </c>
      <c r="R615">
        <f t="shared" si="488"/>
        <v>1.5684860712426489</v>
      </c>
      <c r="S615">
        <f t="shared" ref="S615:S626" si="531">1/SQRT(1+(A615/Fp1_u)^2)</f>
        <v>0.11371632258297923</v>
      </c>
      <c r="T615">
        <f t="shared" si="490"/>
        <v>-1.4568334817062401</v>
      </c>
      <c r="U615">
        <f t="shared" si="491"/>
        <v>5.8107287231806797E-2</v>
      </c>
      <c r="V615">
        <f t="shared" si="492"/>
        <v>-1.5126562903214649</v>
      </c>
      <c r="X615">
        <f t="shared" ref="X615:X626" si="532">20*LOG(C615*J615*O615*Q615*F615*M615*S615*U615)</f>
        <v>-62.548148808383786</v>
      </c>
      <c r="Y615">
        <f t="shared" ref="Y615:Y626" si="533">(180/Pi)*(D615+H615+N615+P615+R615+T615+V615)</f>
        <v>-176.40870397524762</v>
      </c>
      <c r="Z615">
        <f t="shared" si="510"/>
        <v>3.5912960247523813</v>
      </c>
      <c r="AC615">
        <v>1</v>
      </c>
      <c r="AD615">
        <f t="shared" si="494"/>
        <v>956.37934247625014</v>
      </c>
      <c r="AE615">
        <f t="shared" si="495"/>
        <v>-2.0280741612312734</v>
      </c>
      <c r="AF615">
        <f t="shared" si="496"/>
        <v>0.11804534382375002</v>
      </c>
      <c r="AG615">
        <f t="shared" si="473"/>
        <v>26.863952052710165</v>
      </c>
      <c r="AH615">
        <f t="shared" si="474"/>
        <v>-470.00656891216278</v>
      </c>
      <c r="AJ615">
        <f t="shared" si="497"/>
        <v>20000</v>
      </c>
      <c r="AK615">
        <f t="shared" si="498"/>
        <v>174735.38319300002</v>
      </c>
      <c r="AL615">
        <v>1</v>
      </c>
      <c r="AM615">
        <f t="shared" si="499"/>
        <v>432.85177690964997</v>
      </c>
      <c r="AN615">
        <f t="shared" si="475"/>
        <v>403.78869824066595</v>
      </c>
      <c r="AO615">
        <f t="shared" si="476"/>
        <v>-45.272336506659855</v>
      </c>
      <c r="AQ615">
        <f t="shared" si="500"/>
        <v>4.9382713610730193E-4</v>
      </c>
      <c r="AR615">
        <f t="shared" si="501"/>
        <v>-2.2222221124828585</v>
      </c>
      <c r="AT615">
        <f t="shared" si="523"/>
        <v>-1044.4457243002998</v>
      </c>
      <c r="AU615">
        <f t="shared" si="524"/>
        <v>-59.929770278089322</v>
      </c>
      <c r="AV615">
        <f t="shared" si="511"/>
        <v>-3.084276004721382</v>
      </c>
      <c r="AW615">
        <f t="shared" si="512"/>
        <v>327.50874431967458</v>
      </c>
      <c r="AX615">
        <f t="shared" si="513"/>
        <v>-1462.7468139351745</v>
      </c>
      <c r="AY615">
        <f t="shared" si="521"/>
        <v>-1.3505293006313672</v>
      </c>
      <c r="BA615">
        <f t="shared" si="502"/>
        <v>0.69792493072975481</v>
      </c>
      <c r="BB615">
        <f t="shared" si="514"/>
        <v>-3.1238257573683166</v>
      </c>
      <c r="BC615">
        <f t="shared" si="515"/>
        <v>-1.7337467040900147</v>
      </c>
      <c r="BD615">
        <f t="shared" si="503"/>
        <v>-279.33636900258301</v>
      </c>
      <c r="BF615">
        <f t="shared" si="504"/>
        <v>-66.950881332144661</v>
      </c>
      <c r="BG615">
        <f t="shared" si="505"/>
        <v>-195.41356482177676</v>
      </c>
      <c r="BH615">
        <f t="shared" si="516"/>
        <v>-15.41356482177676</v>
      </c>
      <c r="BI615">
        <f t="shared" si="517"/>
        <v>-15.41356482177676</v>
      </c>
      <c r="BJ615">
        <f t="shared" si="506"/>
        <v>0</v>
      </c>
      <c r="BK615">
        <f t="shared" si="518"/>
        <v>0</v>
      </c>
      <c r="BM615">
        <f t="shared" si="519"/>
        <v>-63.827055574776338</v>
      </c>
      <c r="BN615">
        <f t="shared" si="507"/>
        <v>-96.077195819193733</v>
      </c>
      <c r="BQ615" s="66">
        <f t="shared" si="520"/>
        <v>13.778135042916819</v>
      </c>
    </row>
    <row r="616" spans="1:69" x14ac:dyDescent="0.15">
      <c r="A616">
        <f t="shared" ref="A616:A626" si="534">A615+250000</f>
        <v>2500000</v>
      </c>
      <c r="B616">
        <f t="shared" si="508"/>
        <v>2500</v>
      </c>
      <c r="C616">
        <f t="shared" si="477"/>
        <v>10.415372853730947</v>
      </c>
      <c r="D616">
        <f t="shared" si="526"/>
        <v>1.4746362752870159</v>
      </c>
      <c r="F616">
        <f t="shared" si="479"/>
        <v>3.7038573589191717E-6</v>
      </c>
      <c r="G616">
        <f t="shared" si="527"/>
        <v>6.3037570380268353E-4</v>
      </c>
      <c r="H616">
        <f t="shared" si="481"/>
        <v>-3.1409622742961973</v>
      </c>
      <c r="J616">
        <f t="shared" si="482"/>
        <v>15</v>
      </c>
      <c r="M616">
        <f t="shared" si="528"/>
        <v>3.8120944496708111E-4</v>
      </c>
      <c r="N616">
        <f t="shared" si="484"/>
        <v>-1.5707963250000001</v>
      </c>
      <c r="O616">
        <f t="shared" si="529"/>
        <v>1062.6441843869882</v>
      </c>
      <c r="P616">
        <f t="shared" si="486"/>
        <v>1.56985527788851</v>
      </c>
      <c r="Q616">
        <f t="shared" si="530"/>
        <v>480.94745840422456</v>
      </c>
      <c r="R616">
        <f t="shared" si="488"/>
        <v>1.5687170960950365</v>
      </c>
      <c r="S616">
        <f t="shared" si="531"/>
        <v>0.10247065121538106</v>
      </c>
      <c r="T616">
        <f t="shared" si="490"/>
        <v>-1.468145495261209</v>
      </c>
      <c r="U616">
        <f t="shared" si="491"/>
        <v>5.2313341405919318E-2</v>
      </c>
      <c r="V616">
        <f t="shared" si="492"/>
        <v>-1.518459095094036</v>
      </c>
      <c r="X616">
        <f t="shared" si="532"/>
        <v>-64.374371068692653</v>
      </c>
      <c r="Y616">
        <f t="shared" si="533"/>
        <v>-176.76633451143269</v>
      </c>
      <c r="Z616">
        <f t="shared" si="510"/>
        <v>3.2336654885673113</v>
      </c>
      <c r="AC616">
        <v>1</v>
      </c>
      <c r="AD616">
        <f t="shared" si="494"/>
        <v>1062.6437138625001</v>
      </c>
      <c r="AE616">
        <f t="shared" si="495"/>
        <v>-2.5037952607793503</v>
      </c>
      <c r="AF616">
        <f t="shared" si="496"/>
        <v>0.13116149313750003</v>
      </c>
      <c r="AG616">
        <f t="shared" ref="AG616:AG626" si="535">AC616*AE616/(AE616^2+AF616^2)+AD616*AF616/(AE616^2+AF616^2)</f>
        <v>21.773769619390698</v>
      </c>
      <c r="AH616">
        <f t="shared" ref="AH616:AH626" si="536">AD616*AE616/(AE616^2+AF616^2)-AC616*AF616/(AE616^2+AF616^2)</f>
        <v>-423.27256159040388</v>
      </c>
      <c r="AJ616">
        <f t="shared" si="497"/>
        <v>20000</v>
      </c>
      <c r="AK616">
        <f t="shared" si="498"/>
        <v>194150.42577</v>
      </c>
      <c r="AL616">
        <v>1</v>
      </c>
      <c r="AM616">
        <f t="shared" si="499"/>
        <v>480.94641878849995</v>
      </c>
      <c r="AN616">
        <f t="shared" ref="AN616:AN626" si="537">AJ616*AL616/(AL616^2+AM616^2)+AK616*AM616/(AL616^2+AM616^2)</f>
        <v>403.76882606453512</v>
      </c>
      <c r="AO616">
        <f t="shared" ref="AO616:AO626" si="538">AK616*AL616/(AL616^2+AM616^2)-AJ616*AM616/(AL616^2+AM616^2)</f>
        <v>-40.745144174892097</v>
      </c>
      <c r="AQ616">
        <f t="shared" si="500"/>
        <v>3.9999998400000063E-4</v>
      </c>
      <c r="AR616">
        <f t="shared" si="501"/>
        <v>-1.9999999200000032</v>
      </c>
      <c r="AT616">
        <f t="shared" si="523"/>
        <v>-846.53637981150484</v>
      </c>
      <c r="AU616">
        <f t="shared" si="524"/>
        <v>-43.7168465147437</v>
      </c>
      <c r="AV616">
        <f t="shared" si="511"/>
        <v>-3.0899964707979857</v>
      </c>
      <c r="AW616">
        <f t="shared" si="512"/>
        <v>341.99445092859133</v>
      </c>
      <c r="AX616">
        <f t="shared" si="513"/>
        <v>-1316.6668768286575</v>
      </c>
      <c r="AY616">
        <f t="shared" si="521"/>
        <v>-1.3166694040929812</v>
      </c>
      <c r="BA616">
        <f t="shared" si="502"/>
        <v>0.62311899053433406</v>
      </c>
      <c r="BB616">
        <f t="shared" si="514"/>
        <v>-4.1085802546803798</v>
      </c>
      <c r="BC616">
        <f t="shared" si="515"/>
        <v>-1.7733270667050045</v>
      </c>
      <c r="BD616">
        <f t="shared" si="503"/>
        <v>-281.60415673461063</v>
      </c>
      <c r="BF616">
        <f t="shared" si="504"/>
        <v>-68.86017358128322</v>
      </c>
      <c r="BG616">
        <f t="shared" si="505"/>
        <v>-197.07760387985164</v>
      </c>
      <c r="BH616">
        <f t="shared" si="516"/>
        <v>-17.077603879851637</v>
      </c>
      <c r="BI616">
        <f t="shared" si="517"/>
        <v>-17.077603879851637</v>
      </c>
      <c r="BJ616">
        <f t="shared" si="506"/>
        <v>0</v>
      </c>
      <c r="BK616">
        <f t="shared" si="518"/>
        <v>0</v>
      </c>
      <c r="BM616">
        <f t="shared" si="519"/>
        <v>-64.751593326602844</v>
      </c>
      <c r="BN616">
        <f t="shared" si="507"/>
        <v>-95.473447145241011</v>
      </c>
      <c r="BQ616" s="66">
        <f t="shared" si="520"/>
        <v>12.793380545604755</v>
      </c>
    </row>
    <row r="617" spans="1:69" x14ac:dyDescent="0.15">
      <c r="A617">
        <f t="shared" si="534"/>
        <v>2750000</v>
      </c>
      <c r="B617">
        <f t="shared" si="508"/>
        <v>2750</v>
      </c>
      <c r="C617">
        <f t="shared" si="477"/>
        <v>11.44774169587631</v>
      </c>
      <c r="D617">
        <f t="shared" si="526"/>
        <v>1.4833313764946721</v>
      </c>
      <c r="F617">
        <f t="shared" si="479"/>
        <v>3.0610372453523724E-6</v>
      </c>
      <c r="G617">
        <f t="shared" si="527"/>
        <v>5.7306846042193705E-4</v>
      </c>
      <c r="H617">
        <f t="shared" si="481"/>
        <v>-3.1410195815395783</v>
      </c>
      <c r="J617">
        <f t="shared" si="482"/>
        <v>15</v>
      </c>
      <c r="M617">
        <f t="shared" si="528"/>
        <v>3.4655404087916464E-4</v>
      </c>
      <c r="N617">
        <f t="shared" si="484"/>
        <v>-1.5707963250000001</v>
      </c>
      <c r="O617">
        <f t="shared" si="529"/>
        <v>1168.9085129983009</v>
      </c>
      <c r="P617">
        <f t="shared" si="486"/>
        <v>1.569940827745262</v>
      </c>
      <c r="Q617">
        <f t="shared" si="530"/>
        <v>529.04200577273139</v>
      </c>
      <c r="R617">
        <f t="shared" si="488"/>
        <v>1.5689061165950051</v>
      </c>
      <c r="S617">
        <f t="shared" si="531"/>
        <v>9.3240134509658415E-2</v>
      </c>
      <c r="T617">
        <f t="shared" si="490"/>
        <v>-1.4774205603510644</v>
      </c>
      <c r="U617">
        <f t="shared" si="491"/>
        <v>4.7568881142950693E-2</v>
      </c>
      <c r="V617">
        <f t="shared" si="492"/>
        <v>-1.5232094875614919</v>
      </c>
      <c r="X617">
        <f t="shared" si="532"/>
        <v>-66.027056650735133</v>
      </c>
      <c r="Y617">
        <f t="shared" si="533"/>
        <v>-177.05929317446524</v>
      </c>
      <c r="Z617">
        <f t="shared" si="510"/>
        <v>2.940706825534761</v>
      </c>
      <c r="AC617">
        <v>1</v>
      </c>
      <c r="AD617">
        <f t="shared" si="494"/>
        <v>1168.9080852487502</v>
      </c>
      <c r="AE617">
        <f t="shared" si="495"/>
        <v>-3.0295922655430148</v>
      </c>
      <c r="AF617">
        <f t="shared" si="496"/>
        <v>0.14427764245125002</v>
      </c>
      <c r="AG617">
        <f t="shared" si="535"/>
        <v>18.00340185649241</v>
      </c>
      <c r="AH617">
        <f t="shared" si="536"/>
        <v>-384.97279324937381</v>
      </c>
      <c r="AJ617">
        <f t="shared" si="497"/>
        <v>20000</v>
      </c>
      <c r="AK617">
        <f t="shared" si="498"/>
        <v>213565.46834700002</v>
      </c>
      <c r="AL617">
        <v>1</v>
      </c>
      <c r="AM617">
        <f t="shared" si="499"/>
        <v>529.04106066734994</v>
      </c>
      <c r="AN617">
        <f t="shared" si="537"/>
        <v>403.75412287565325</v>
      </c>
      <c r="AO617">
        <f t="shared" si="538"/>
        <v>-37.041067951143511</v>
      </c>
      <c r="AQ617">
        <f t="shared" si="500"/>
        <v>3.3057850146847931E-4</v>
      </c>
      <c r="AR617">
        <f t="shared" si="501"/>
        <v>-1.8181817580766362</v>
      </c>
      <c r="AT617">
        <f t="shared" si="523"/>
        <v>-699.94455850421275</v>
      </c>
      <c r="AU617">
        <f t="shared" si="524"/>
        <v>-32.86072056789606</v>
      </c>
      <c r="AV617">
        <f t="shared" si="511"/>
        <v>-3.0946794952262082</v>
      </c>
      <c r="AW617">
        <f t="shared" si="512"/>
        <v>352.70850350355568</v>
      </c>
      <c r="AX617">
        <f t="shared" si="513"/>
        <v>-1197.1010567884875</v>
      </c>
      <c r="AY617">
        <f t="shared" si="521"/>
        <v>-1.2842683023391135</v>
      </c>
      <c r="BA617">
        <f t="shared" si="502"/>
        <v>0.56147972456028239</v>
      </c>
      <c r="BB617">
        <f t="shared" si="514"/>
        <v>-5.0133184361563385</v>
      </c>
      <c r="BC617">
        <f t="shared" si="515"/>
        <v>-1.8104111928870947</v>
      </c>
      <c r="BD617">
        <f t="shared" si="503"/>
        <v>-283.72892065420291</v>
      </c>
      <c r="BF617">
        <f t="shared" si="504"/>
        <v>-70.599724545479916</v>
      </c>
      <c r="BG617">
        <f t="shared" si="505"/>
        <v>-198.70745866042182</v>
      </c>
      <c r="BH617">
        <f t="shared" si="516"/>
        <v>-18.707458660421821</v>
      </c>
      <c r="BI617">
        <f t="shared" si="517"/>
        <v>-18.707458660421821</v>
      </c>
      <c r="BJ617">
        <f t="shared" si="506"/>
        <v>0</v>
      </c>
      <c r="BK617">
        <f t="shared" si="518"/>
        <v>0</v>
      </c>
      <c r="BM617">
        <f t="shared" si="519"/>
        <v>-65.58640610932359</v>
      </c>
      <c r="BN617">
        <f t="shared" si="507"/>
        <v>-94.97853800621894</v>
      </c>
      <c r="BQ617" s="66">
        <f t="shared" si="520"/>
        <v>11.888642364128799</v>
      </c>
    </row>
    <row r="618" spans="1:69" x14ac:dyDescent="0.15">
      <c r="A618">
        <f t="shared" si="534"/>
        <v>3000000</v>
      </c>
      <c r="B618">
        <f t="shared" si="508"/>
        <v>3000</v>
      </c>
      <c r="C618">
        <f t="shared" si="477"/>
        <v>12.480832825673902</v>
      </c>
      <c r="D618">
        <f t="shared" si="526"/>
        <v>1.4905874928041059</v>
      </c>
      <c r="F618">
        <f t="shared" si="479"/>
        <v>2.5721203636053048E-6</v>
      </c>
      <c r="G618">
        <f t="shared" si="527"/>
        <v>5.2531250354658193E-4</v>
      </c>
      <c r="H618">
        <f t="shared" si="481"/>
        <v>-3.1410673374964535</v>
      </c>
      <c r="J618">
        <f t="shared" si="482"/>
        <v>15</v>
      </c>
      <c r="M618">
        <f t="shared" si="528"/>
        <v>3.1767453747256759E-4</v>
      </c>
      <c r="N618">
        <f t="shared" si="484"/>
        <v>-1.5707963250000001</v>
      </c>
      <c r="O618">
        <f t="shared" si="529"/>
        <v>1275.1728487387666</v>
      </c>
      <c r="P618">
        <f t="shared" si="486"/>
        <v>1.5700121193021743</v>
      </c>
      <c r="Q618">
        <f t="shared" si="530"/>
        <v>577.13656889292315</v>
      </c>
      <c r="R618">
        <f t="shared" si="488"/>
        <v>1.5690636337820638</v>
      </c>
      <c r="S618">
        <f t="shared" si="531"/>
        <v>8.5529526254123495E-2</v>
      </c>
      <c r="T618">
        <f t="shared" si="490"/>
        <v>-1.4851621767420906</v>
      </c>
      <c r="U618">
        <f t="shared" si="491"/>
        <v>4.3612689658253323E-2</v>
      </c>
      <c r="V618">
        <f t="shared" si="492"/>
        <v>-1.5271697995819462</v>
      </c>
      <c r="X618">
        <f t="shared" si="532"/>
        <v>-67.536297860127576</v>
      </c>
      <c r="Y618">
        <f t="shared" si="533"/>
        <v>-177.30364588413022</v>
      </c>
      <c r="Z618">
        <f t="shared" si="510"/>
        <v>2.6963541158697808</v>
      </c>
      <c r="AC618">
        <v>1</v>
      </c>
      <c r="AD618">
        <f t="shared" si="494"/>
        <v>1275.1724566350001</v>
      </c>
      <c r="AE618">
        <f t="shared" si="495"/>
        <v>-3.6054651755222644</v>
      </c>
      <c r="AF618">
        <f t="shared" si="496"/>
        <v>0.15739379176500001</v>
      </c>
      <c r="AG618">
        <f t="shared" si="535"/>
        <v>15.133327979665939</v>
      </c>
      <c r="AH618">
        <f t="shared" si="536"/>
        <v>-353.0170179990406</v>
      </c>
      <c r="AJ618">
        <f t="shared" si="497"/>
        <v>20000</v>
      </c>
      <c r="AK618">
        <f t="shared" si="498"/>
        <v>232980.510924</v>
      </c>
      <c r="AL618">
        <v>1</v>
      </c>
      <c r="AM618">
        <f t="shared" si="499"/>
        <v>577.13570254619992</v>
      </c>
      <c r="AN618">
        <f t="shared" si="537"/>
        <v>403.74293987991911</v>
      </c>
      <c r="AO618">
        <f t="shared" si="538"/>
        <v>-33.954331665266182</v>
      </c>
      <c r="AQ618">
        <f t="shared" si="500"/>
        <v>2.7777777006172862E-4</v>
      </c>
      <c r="AR618">
        <f t="shared" si="501"/>
        <v>-1.6666666203703717</v>
      </c>
      <c r="AT618">
        <f t="shared" si="523"/>
        <v>-588.35747661958783</v>
      </c>
      <c r="AU618">
        <f t="shared" si="524"/>
        <v>-25.320272878879834</v>
      </c>
      <c r="AV618">
        <f t="shared" si="511"/>
        <v>-3.0985836672044416</v>
      </c>
      <c r="AW618">
        <f t="shared" si="512"/>
        <v>360.85529079133352</v>
      </c>
      <c r="AX618">
        <f t="shared" si="513"/>
        <v>-1097.4341798428025</v>
      </c>
      <c r="AY618">
        <f t="shared" si="521"/>
        <v>-1.2531157376347331</v>
      </c>
      <c r="BA618">
        <f t="shared" si="502"/>
        <v>0.50976620546382512</v>
      </c>
      <c r="BB618">
        <f t="shared" si="514"/>
        <v>-5.8525791822413069</v>
      </c>
      <c r="BC618">
        <f t="shared" si="515"/>
        <v>-1.8454679295697085</v>
      </c>
      <c r="BD618">
        <f t="shared" si="503"/>
        <v>-285.7375237119133</v>
      </c>
      <c r="BF618">
        <f t="shared" si="504"/>
        <v>-72.200056924650141</v>
      </c>
      <c r="BG618">
        <f t="shared" si="505"/>
        <v>-200.30305309224926</v>
      </c>
      <c r="BH618">
        <f t="shared" si="516"/>
        <v>-20.303053092249257</v>
      </c>
      <c r="BI618">
        <f t="shared" si="517"/>
        <v>-20.303053092249257</v>
      </c>
      <c r="BJ618">
        <f t="shared" si="506"/>
        <v>0</v>
      </c>
      <c r="BK618">
        <f t="shared" si="518"/>
        <v>0</v>
      </c>
      <c r="BM618">
        <f t="shared" si="519"/>
        <v>-66.347477742408827</v>
      </c>
      <c r="BN618">
        <f t="shared" si="507"/>
        <v>-94.565529380335974</v>
      </c>
      <c r="BQ618" s="66">
        <f t="shared" si="520"/>
        <v>11.04938161804383</v>
      </c>
    </row>
    <row r="619" spans="1:69" x14ac:dyDescent="0.15">
      <c r="A619">
        <f t="shared" si="534"/>
        <v>3250000</v>
      </c>
      <c r="B619">
        <f t="shared" si="508"/>
        <v>3250</v>
      </c>
      <c r="C619">
        <f t="shared" si="477"/>
        <v>13.514480602042315</v>
      </c>
      <c r="D619">
        <f t="shared" si="526"/>
        <v>1.4967339324469626</v>
      </c>
      <c r="F619">
        <f t="shared" si="479"/>
        <v>2.1916283827853653E-6</v>
      </c>
      <c r="G619">
        <f t="shared" si="527"/>
        <v>4.8490366851309581E-4</v>
      </c>
      <c r="H619">
        <f t="shared" si="481"/>
        <v>-3.1411077463314871</v>
      </c>
      <c r="J619">
        <f t="shared" si="482"/>
        <v>15</v>
      </c>
      <c r="M619">
        <f t="shared" si="528"/>
        <v>2.932380345900624E-4</v>
      </c>
      <c r="N619">
        <f t="shared" si="484"/>
        <v>-1.5707963250000001</v>
      </c>
      <c r="O619">
        <f t="shared" si="529"/>
        <v>1381.4371899631965</v>
      </c>
      <c r="P619">
        <f t="shared" si="486"/>
        <v>1.5700724429335093</v>
      </c>
      <c r="Q619">
        <f t="shared" si="530"/>
        <v>625.23114412980647</v>
      </c>
      <c r="R619">
        <f t="shared" si="488"/>
        <v>1.5691969176231997</v>
      </c>
      <c r="S619">
        <f t="shared" si="531"/>
        <v>7.8993084479851844E-2</v>
      </c>
      <c r="T619">
        <f t="shared" si="490"/>
        <v>-1.4917208591876847</v>
      </c>
      <c r="U619">
        <f t="shared" si="491"/>
        <v>4.0263532266774975E-2</v>
      </c>
      <c r="V619">
        <f t="shared" si="492"/>
        <v>-1.5305219076995926</v>
      </c>
      <c r="X619">
        <f t="shared" si="532"/>
        <v>-68.924989487341733</v>
      </c>
      <c r="Y619">
        <f t="shared" si="533"/>
        <v>-177.51054966935851</v>
      </c>
      <c r="Z619">
        <f t="shared" si="510"/>
        <v>2.489450330641489</v>
      </c>
      <c r="AC619">
        <v>1</v>
      </c>
      <c r="AD619">
        <f t="shared" si="494"/>
        <v>1381.4368280212502</v>
      </c>
      <c r="AE619">
        <f t="shared" si="495"/>
        <v>-4.231413990717102</v>
      </c>
      <c r="AF619">
        <f t="shared" si="496"/>
        <v>0.17050994107875003</v>
      </c>
      <c r="AG619">
        <f t="shared" si="535"/>
        <v>12.89829919944671</v>
      </c>
      <c r="AH619">
        <f t="shared" si="536"/>
        <v>-325.95192595442444</v>
      </c>
      <c r="AJ619">
        <f t="shared" si="497"/>
        <v>20000</v>
      </c>
      <c r="AK619">
        <f t="shared" si="498"/>
        <v>252395.55350100002</v>
      </c>
      <c r="AL619">
        <v>1</v>
      </c>
      <c r="AM619">
        <f t="shared" si="499"/>
        <v>625.23034442505002</v>
      </c>
      <c r="AN619">
        <f t="shared" si="537"/>
        <v>403.73423687080543</v>
      </c>
      <c r="AO619">
        <f t="shared" si="538"/>
        <v>-31.342473918391708</v>
      </c>
      <c r="AQ619">
        <f t="shared" si="500"/>
        <v>2.3668638493049978E-4</v>
      </c>
      <c r="AR619">
        <f t="shared" si="501"/>
        <v>-1.5384615020482484</v>
      </c>
      <c r="AT619">
        <f t="shared" si="523"/>
        <v>-501.46143674755399</v>
      </c>
      <c r="AU619">
        <f t="shared" si="524"/>
        <v>-19.920685143263793</v>
      </c>
      <c r="AV619">
        <f t="shared" si="511"/>
        <v>-3.1018882722032441</v>
      </c>
      <c r="AW619">
        <f t="shared" si="512"/>
        <v>367.19413309201803</v>
      </c>
      <c r="AX619">
        <f t="shared" si="513"/>
        <v>-1013.081980574833</v>
      </c>
      <c r="AY619">
        <f t="shared" si="521"/>
        <v>-1.2230712908589967</v>
      </c>
      <c r="BA619">
        <f t="shared" si="502"/>
        <v>0.46572835120393663</v>
      </c>
      <c r="BB619">
        <f t="shared" si="514"/>
        <v>-6.6373464718951904</v>
      </c>
      <c r="BC619">
        <f t="shared" si="515"/>
        <v>-1.8788169813442475</v>
      </c>
      <c r="BD619">
        <f t="shared" si="503"/>
        <v>-287.64828363154101</v>
      </c>
      <c r="BF619">
        <f t="shared" si="504"/>
        <v>-73.684195782849415</v>
      </c>
      <c r="BG619">
        <f t="shared" si="505"/>
        <v>-201.86396321661209</v>
      </c>
      <c r="BH619">
        <f t="shared" si="516"/>
        <v>-21.863963216612092</v>
      </c>
      <c r="BI619">
        <f t="shared" si="517"/>
        <v>-21.863963216612092</v>
      </c>
      <c r="BJ619">
        <f t="shared" si="506"/>
        <v>0</v>
      </c>
      <c r="BK619">
        <f t="shared" si="518"/>
        <v>0</v>
      </c>
      <c r="BM619">
        <f t="shared" si="519"/>
        <v>-67.046849310954229</v>
      </c>
      <c r="BN619">
        <f t="shared" si="507"/>
        <v>-94.215679585071086</v>
      </c>
      <c r="BQ619" s="66">
        <f t="shared" si="520"/>
        <v>10.264614328389946</v>
      </c>
    </row>
    <row r="620" spans="1:69" x14ac:dyDescent="0.15">
      <c r="A620">
        <f t="shared" si="534"/>
        <v>3500000</v>
      </c>
      <c r="B620">
        <f t="shared" si="508"/>
        <v>3500</v>
      </c>
      <c r="C620">
        <f t="shared" si="477"/>
        <v>14.548566379447209</v>
      </c>
      <c r="D620">
        <f t="shared" si="526"/>
        <v>1.5020067927488856</v>
      </c>
      <c r="F620">
        <f t="shared" si="479"/>
        <v>1.8897198420512329E-6</v>
      </c>
      <c r="G620">
        <f t="shared" si="527"/>
        <v>4.5026755889426655E-4</v>
      </c>
      <c r="H620">
        <f t="shared" si="481"/>
        <v>-3.1411423824411058</v>
      </c>
      <c r="J620">
        <f t="shared" si="482"/>
        <v>15</v>
      </c>
      <c r="M620">
        <f t="shared" si="528"/>
        <v>2.7229246069077219E-4</v>
      </c>
      <c r="N620">
        <f t="shared" si="484"/>
        <v>-1.5707963250000001</v>
      </c>
      <c r="O620">
        <f t="shared" si="529"/>
        <v>1487.7015354964565</v>
      </c>
      <c r="P620">
        <f t="shared" si="486"/>
        <v>1.5701241489074347</v>
      </c>
      <c r="Q620">
        <f t="shared" si="530"/>
        <v>673.32572888695358</v>
      </c>
      <c r="R620">
        <f t="shared" si="488"/>
        <v>1.56931116096101</v>
      </c>
      <c r="S620">
        <f t="shared" si="531"/>
        <v>7.3382267013969854E-2</v>
      </c>
      <c r="T620">
        <f t="shared" si="490"/>
        <v>-1.497348039613263</v>
      </c>
      <c r="U620">
        <f t="shared" si="491"/>
        <v>3.7391741107940017E-2</v>
      </c>
      <c r="V620">
        <f t="shared" si="492"/>
        <v>-1.5333958670378767</v>
      </c>
      <c r="X620">
        <f t="shared" si="532"/>
        <v>-70.210953351617519</v>
      </c>
      <c r="Y620">
        <f t="shared" si="533"/>
        <v>-177.68799276554353</v>
      </c>
      <c r="Z620">
        <f t="shared" si="510"/>
        <v>2.3120072344564733</v>
      </c>
      <c r="AC620">
        <v>1</v>
      </c>
      <c r="AD620">
        <f t="shared" si="494"/>
        <v>1487.7011994075001</v>
      </c>
      <c r="AE620">
        <f t="shared" si="495"/>
        <v>-4.9074387111275257</v>
      </c>
      <c r="AF620">
        <f t="shared" si="496"/>
        <v>0.18362609039250002</v>
      </c>
      <c r="AG620">
        <f t="shared" si="535"/>
        <v>11.123976905437278</v>
      </c>
      <c r="AH620">
        <f t="shared" si="536"/>
        <v>-302.73603695753457</v>
      </c>
      <c r="AJ620">
        <f t="shared" si="497"/>
        <v>20000</v>
      </c>
      <c r="AK620">
        <f t="shared" si="498"/>
        <v>271810.59607800003</v>
      </c>
      <c r="AL620">
        <v>1</v>
      </c>
      <c r="AM620">
        <f t="shared" si="499"/>
        <v>673.3249863039</v>
      </c>
      <c r="AN620">
        <f t="shared" si="537"/>
        <v>403.72733129399205</v>
      </c>
      <c r="AO620">
        <f t="shared" si="538"/>
        <v>-29.103736037298013</v>
      </c>
      <c r="AQ620">
        <f t="shared" si="500"/>
        <v>2.0408162848813003E-4</v>
      </c>
      <c r="AR620">
        <f t="shared" si="501"/>
        <v>-1.4285713994169102</v>
      </c>
      <c r="AT620">
        <f t="shared" si="523"/>
        <v>-432.47777377103245</v>
      </c>
      <c r="AU620">
        <f t="shared" si="524"/>
        <v>-15.953178118306258</v>
      </c>
      <c r="AV620">
        <f t="shared" si="511"/>
        <v>-3.1047215145783498</v>
      </c>
      <c r="AW620">
        <f t="shared" si="512"/>
        <v>372.22301635931666</v>
      </c>
      <c r="AX620">
        <f t="shared" si="513"/>
        <v>-940.76750359560879</v>
      </c>
      <c r="AY620">
        <f t="shared" si="521"/>
        <v>-1.1940378878343119</v>
      </c>
      <c r="BA620">
        <f t="shared" si="502"/>
        <v>0.42775521596618044</v>
      </c>
      <c r="BB620">
        <f t="shared" si="514"/>
        <v>-7.3760937209964448</v>
      </c>
      <c r="BC620">
        <f t="shared" si="515"/>
        <v>-1.9106836267440379</v>
      </c>
      <c r="BD620">
        <f t="shared" si="503"/>
        <v>-289.47410792227527</v>
      </c>
      <c r="BF620">
        <f t="shared" si="504"/>
        <v>-75.069916078041842</v>
      </c>
      <c r="BG620">
        <f t="shared" si="505"/>
        <v>-203.38965936864105</v>
      </c>
      <c r="BH620">
        <f t="shared" si="516"/>
        <v>-23.389659368641048</v>
      </c>
      <c r="BI620">
        <f t="shared" si="517"/>
        <v>-23.389659368641048</v>
      </c>
      <c r="BJ620">
        <f t="shared" si="506"/>
        <v>0</v>
      </c>
      <c r="BK620">
        <f t="shared" si="518"/>
        <v>0</v>
      </c>
      <c r="BM620">
        <f t="shared" si="519"/>
        <v>-67.693822357045391</v>
      </c>
      <c r="BN620">
        <f t="shared" si="507"/>
        <v>-93.915551446365782</v>
      </c>
      <c r="BQ620" s="66">
        <f t="shared" si="520"/>
        <v>9.525867079288691</v>
      </c>
    </row>
    <row r="621" spans="1:69" x14ac:dyDescent="0.15">
      <c r="A621">
        <f t="shared" si="534"/>
        <v>3750000</v>
      </c>
      <c r="B621">
        <f t="shared" si="508"/>
        <v>3750</v>
      </c>
      <c r="C621">
        <f t="shared" si="477"/>
        <v>15.58300296108006</v>
      </c>
      <c r="D621">
        <f t="shared" si="526"/>
        <v>1.5065797166325821</v>
      </c>
      <c r="F621">
        <f t="shared" si="479"/>
        <v>1.6461555653183051E-6</v>
      </c>
      <c r="G621">
        <f t="shared" si="527"/>
        <v>4.2024962126703335E-4</v>
      </c>
      <c r="H621">
        <f t="shared" si="481"/>
        <v>-3.1411724003787334</v>
      </c>
      <c r="J621">
        <f t="shared" si="482"/>
        <v>15</v>
      </c>
      <c r="M621">
        <f t="shared" si="528"/>
        <v>2.5413962997805406E-4</v>
      </c>
      <c r="N621">
        <f t="shared" si="484"/>
        <v>-1.5707963250000001</v>
      </c>
      <c r="O621">
        <f t="shared" si="529"/>
        <v>1593.9658844767807</v>
      </c>
      <c r="P621">
        <f t="shared" si="486"/>
        <v>1.5701689607544207</v>
      </c>
      <c r="Q621">
        <f t="shared" si="530"/>
        <v>721.42032126031597</v>
      </c>
      <c r="R621">
        <f t="shared" si="488"/>
        <v>1.5694101718852447</v>
      </c>
      <c r="S621">
        <f t="shared" si="531"/>
        <v>6.851389642319998E-2</v>
      </c>
      <c r="T621">
        <f t="shared" si="490"/>
        <v>-1.5022287143625817</v>
      </c>
      <c r="U621">
        <f t="shared" si="491"/>
        <v>3.4902103275998353E-2</v>
      </c>
      <c r="V621">
        <f t="shared" si="492"/>
        <v>-1.5358871335925719</v>
      </c>
      <c r="X621">
        <f t="shared" si="532"/>
        <v>-71.408333206077273</v>
      </c>
      <c r="Y621">
        <f t="shared" si="533"/>
        <v>-177.84184411403405</v>
      </c>
      <c r="Z621">
        <f t="shared" si="510"/>
        <v>2.1581558859659538</v>
      </c>
      <c r="AC621">
        <v>1</v>
      </c>
      <c r="AD621">
        <f t="shared" si="494"/>
        <v>1593.9655707937502</v>
      </c>
      <c r="AE621">
        <f t="shared" si="495"/>
        <v>-5.6335393367535369</v>
      </c>
      <c r="AF621">
        <f t="shared" si="496"/>
        <v>0.19674223970625002</v>
      </c>
      <c r="AG621">
        <f t="shared" si="535"/>
        <v>9.6919664229561331</v>
      </c>
      <c r="AH621">
        <f t="shared" si="536"/>
        <v>-282.6036451411382</v>
      </c>
      <c r="AJ621">
        <f t="shared" si="497"/>
        <v>20000</v>
      </c>
      <c r="AK621">
        <f t="shared" si="498"/>
        <v>291225.63865500002</v>
      </c>
      <c r="AL621">
        <v>1</v>
      </c>
      <c r="AM621">
        <f t="shared" si="499"/>
        <v>721.41962818274999</v>
      </c>
      <c r="AN621">
        <f t="shared" si="537"/>
        <v>403.72176022345536</v>
      </c>
      <c r="AO621">
        <f t="shared" si="538"/>
        <v>-27.16349469051654</v>
      </c>
      <c r="AQ621">
        <f t="shared" si="500"/>
        <v>1.77777774617284E-4</v>
      </c>
      <c r="AR621">
        <f t="shared" si="501"/>
        <v>-1.33333330962963</v>
      </c>
      <c r="AT621">
        <f t="shared" si="523"/>
        <v>-376.80313047320897</v>
      </c>
      <c r="AU621">
        <f t="shared" si="524"/>
        <v>-12.972862314671271</v>
      </c>
      <c r="AV621">
        <f t="shared" si="511"/>
        <v>-3.107177493095401</v>
      </c>
      <c r="AW621">
        <f t="shared" si="512"/>
        <v>376.27955034731787</v>
      </c>
      <c r="AX621">
        <f t="shared" si="513"/>
        <v>-878.08622316989045</v>
      </c>
      <c r="AY621">
        <f t="shared" si="521"/>
        <v>-1.1659460248717843</v>
      </c>
      <c r="BA621">
        <f t="shared" si="502"/>
        <v>0.39466293723987189</v>
      </c>
      <c r="BB621">
        <f t="shared" si="514"/>
        <v>-8.0754731248881821</v>
      </c>
      <c r="BC621">
        <f t="shared" si="515"/>
        <v>-1.9412314682236167</v>
      </c>
      <c r="BD621">
        <f t="shared" si="503"/>
        <v>-291.22437031428979</v>
      </c>
      <c r="BF621">
        <f t="shared" si="504"/>
        <v>-76.371207387952609</v>
      </c>
      <c r="BG621">
        <f t="shared" si="505"/>
        <v>-204.87963242292352</v>
      </c>
      <c r="BH621">
        <f t="shared" si="516"/>
        <v>-24.879632422923521</v>
      </c>
      <c r="BI621">
        <f t="shared" si="517"/>
        <v>-24.879632422923521</v>
      </c>
      <c r="BJ621">
        <f t="shared" si="506"/>
        <v>0</v>
      </c>
      <c r="BK621">
        <f t="shared" si="518"/>
        <v>0</v>
      </c>
      <c r="BM621">
        <f t="shared" si="519"/>
        <v>-68.295734263064432</v>
      </c>
      <c r="BN621">
        <f t="shared" si="507"/>
        <v>-93.655262108633721</v>
      </c>
      <c r="BQ621" s="66">
        <f t="shared" si="520"/>
        <v>8.8264876753969563</v>
      </c>
    </row>
    <row r="622" spans="1:69" x14ac:dyDescent="0.15">
      <c r="A622">
        <f t="shared" si="534"/>
        <v>4000000</v>
      </c>
      <c r="B622">
        <f t="shared" si="508"/>
        <v>4000</v>
      </c>
      <c r="C622">
        <f t="shared" si="477"/>
        <v>16.61772483544372</v>
      </c>
      <c r="D622">
        <f t="shared" si="526"/>
        <v>1.5105832389667202</v>
      </c>
      <c r="F622">
        <f t="shared" si="479"/>
        <v>1.4468161371876259E-6</v>
      </c>
      <c r="G622">
        <f t="shared" si="527"/>
        <v>3.939839429283085E-4</v>
      </c>
      <c r="H622">
        <f t="shared" si="481"/>
        <v>-3.1411986660570719</v>
      </c>
      <c r="J622">
        <f t="shared" si="482"/>
        <v>15</v>
      </c>
      <c r="M622">
        <f t="shared" si="528"/>
        <v>2.3825590310442568E-4</v>
      </c>
      <c r="N622">
        <f t="shared" si="484"/>
        <v>-1.5707963250000001</v>
      </c>
      <c r="O622">
        <f t="shared" si="529"/>
        <v>1700.2302362578446</v>
      </c>
      <c r="P622">
        <f t="shared" si="486"/>
        <v>1.5702081711226064</v>
      </c>
      <c r="Q622">
        <f t="shared" si="530"/>
        <v>769.51491982185576</v>
      </c>
      <c r="R622">
        <f t="shared" si="488"/>
        <v>1.5694968064663104</v>
      </c>
      <c r="S622">
        <f t="shared" si="531"/>
        <v>6.4250041405131714E-2</v>
      </c>
      <c r="T622">
        <f t="shared" si="490"/>
        <v>-1.5065019983165882</v>
      </c>
      <c r="U622">
        <f t="shared" si="491"/>
        <v>3.2723135424364093E-2</v>
      </c>
      <c r="V622">
        <f t="shared" si="492"/>
        <v>-1.5380673485461693</v>
      </c>
      <c r="X622">
        <f t="shared" si="532"/>
        <v>-72.528541247710379</v>
      </c>
      <c r="Y622">
        <f t="shared" si="533"/>
        <v>-177.97651195980313</v>
      </c>
      <c r="Z622">
        <f t="shared" si="510"/>
        <v>2.0234880401968667</v>
      </c>
      <c r="AC622">
        <v>1</v>
      </c>
      <c r="AD622">
        <f t="shared" si="494"/>
        <v>1700.2299421800003</v>
      </c>
      <c r="AE622">
        <f t="shared" si="495"/>
        <v>-6.4097158675951373</v>
      </c>
      <c r="AF622">
        <f t="shared" si="496"/>
        <v>0.20985838902000001</v>
      </c>
      <c r="AG622">
        <f t="shared" si="535"/>
        <v>8.5195865981693952</v>
      </c>
      <c r="AH622">
        <f t="shared" si="536"/>
        <v>-264.97930182022731</v>
      </c>
      <c r="AJ622">
        <f t="shared" si="497"/>
        <v>20000</v>
      </c>
      <c r="AK622">
        <f t="shared" si="498"/>
        <v>310640.681232</v>
      </c>
      <c r="AL622">
        <v>1</v>
      </c>
      <c r="AM622">
        <f t="shared" si="499"/>
        <v>769.51427006159997</v>
      </c>
      <c r="AN622">
        <f t="shared" si="537"/>
        <v>403.71720070808891</v>
      </c>
      <c r="AO622">
        <f t="shared" si="538"/>
        <v>-25.465782197545494</v>
      </c>
      <c r="AQ622">
        <f t="shared" si="500"/>
        <v>1.562499975585938E-4</v>
      </c>
      <c r="AR622">
        <f t="shared" si="501"/>
        <v>-1.2499999804687503</v>
      </c>
      <c r="AT622">
        <f t="shared" si="523"/>
        <v>-331.22279091452208</v>
      </c>
      <c r="AU622">
        <f t="shared" si="524"/>
        <v>-10.69088609657606</v>
      </c>
      <c r="AV622">
        <f t="shared" si="511"/>
        <v>-3.1093268310140072</v>
      </c>
      <c r="AW622">
        <f t="shared" si="512"/>
        <v>379.59918546554775</v>
      </c>
      <c r="AX622">
        <f t="shared" si="513"/>
        <v>-823.23389177339527</v>
      </c>
      <c r="AY622">
        <f t="shared" si="521"/>
        <v>-1.1387440264856428</v>
      </c>
      <c r="BA622">
        <f t="shared" si="502"/>
        <v>0.36556172625073868</v>
      </c>
      <c r="BB622">
        <f t="shared" si="514"/>
        <v>-8.740785610417765</v>
      </c>
      <c r="BC622">
        <f t="shared" si="515"/>
        <v>-1.9705828045283644</v>
      </c>
      <c r="BD622">
        <f t="shared" si="503"/>
        <v>-292.90607800954257</v>
      </c>
      <c r="BF622">
        <f t="shared" si="504"/>
        <v>-77.599262279593788</v>
      </c>
      <c r="BG622">
        <f t="shared" si="505"/>
        <v>-206.33346009749826</v>
      </c>
      <c r="BH622">
        <f t="shared" si="516"/>
        <v>-26.333460097498261</v>
      </c>
      <c r="BI622">
        <f t="shared" si="517"/>
        <v>-26.333460097498261</v>
      </c>
      <c r="BJ622">
        <f t="shared" si="506"/>
        <v>0</v>
      </c>
      <c r="BK622">
        <f t="shared" si="518"/>
        <v>0</v>
      </c>
      <c r="BM622">
        <f t="shared" si="519"/>
        <v>-68.858476669176028</v>
      </c>
      <c r="BN622">
        <f t="shared" si="507"/>
        <v>-93.427382087955706</v>
      </c>
      <c r="BQ622" s="66">
        <f t="shared" si="520"/>
        <v>8.1611751898673717</v>
      </c>
    </row>
    <row r="623" spans="1:69" x14ac:dyDescent="0.15">
      <c r="A623">
        <f>A622+250000</f>
        <v>4250000</v>
      </c>
      <c r="B623">
        <f t="shared" si="508"/>
        <v>4250</v>
      </c>
      <c r="C623">
        <f t="shared" si="477"/>
        <v>17.652681834827838</v>
      </c>
      <c r="D623">
        <f t="shared" si="526"/>
        <v>1.514117368465151</v>
      </c>
      <c r="F623">
        <f t="shared" si="479"/>
        <v>1.2816085543720273E-6</v>
      </c>
      <c r="G623">
        <f t="shared" si="527"/>
        <v>3.7080835680443461E-4</v>
      </c>
      <c r="H623">
        <f t="shared" si="481"/>
        <v>-3.1412218416431958</v>
      </c>
      <c r="J623">
        <f t="shared" si="482"/>
        <v>15</v>
      </c>
      <c r="M623">
        <f t="shared" si="528"/>
        <v>2.2424084998063596E-4</v>
      </c>
      <c r="N623">
        <f t="shared" si="484"/>
        <v>-1.5707963250000001</v>
      </c>
      <c r="O623">
        <f t="shared" si="529"/>
        <v>1806.4945903454009</v>
      </c>
      <c r="P623">
        <f t="shared" si="486"/>
        <v>1.5702427685078053</v>
      </c>
      <c r="Q623">
        <f t="shared" si="530"/>
        <v>817.6095234795439</v>
      </c>
      <c r="R623">
        <f t="shared" si="488"/>
        <v>1.5695732487599634</v>
      </c>
      <c r="S623">
        <f t="shared" si="531"/>
        <v>6.0484884297317625E-2</v>
      </c>
      <c r="T623">
        <f t="shared" si="490"/>
        <v>-1.5102745017859802</v>
      </c>
      <c r="U623">
        <f t="shared" si="491"/>
        <v>3.0800128154714085E-2</v>
      </c>
      <c r="V623">
        <f t="shared" si="492"/>
        <v>-1.5399913268140344</v>
      </c>
      <c r="X623">
        <f t="shared" si="532"/>
        <v>-73.580918682745164</v>
      </c>
      <c r="Y623">
        <f t="shared" si="533"/>
        <v>-178.09537137536029</v>
      </c>
      <c r="Z623">
        <f t="shared" si="510"/>
        <v>1.9046286246397131</v>
      </c>
      <c r="AC623">
        <v>1</v>
      </c>
      <c r="AD623">
        <f t="shared" si="494"/>
        <v>1806.4943135662504</v>
      </c>
      <c r="AE623">
        <f t="shared" si="495"/>
        <v>-7.2359683036523226</v>
      </c>
      <c r="AF623">
        <f t="shared" si="496"/>
        <v>0.22297453833375</v>
      </c>
      <c r="AG623">
        <f t="shared" si="535"/>
        <v>7.5476846990714144</v>
      </c>
      <c r="AH623">
        <f t="shared" si="536"/>
        <v>-249.42223297799904</v>
      </c>
      <c r="AJ623">
        <f t="shared" si="497"/>
        <v>20000</v>
      </c>
      <c r="AK623">
        <f t="shared" si="498"/>
        <v>330055.72380900005</v>
      </c>
      <c r="AL623">
        <v>1</v>
      </c>
      <c r="AM623">
        <f t="shared" si="499"/>
        <v>817.60891194044996</v>
      </c>
      <c r="AN623">
        <f t="shared" si="537"/>
        <v>403.71342189170321</v>
      </c>
      <c r="AO623">
        <f t="shared" si="538"/>
        <v>-23.967799631244208</v>
      </c>
      <c r="AQ623">
        <f t="shared" si="500"/>
        <v>1.3840830258258404E-4</v>
      </c>
      <c r="AR623">
        <f t="shared" si="501"/>
        <v>-1.1764705719519644</v>
      </c>
      <c r="AT623">
        <f t="shared" si="523"/>
        <v>-293.436872426935</v>
      </c>
      <c r="AU623">
        <f t="shared" si="524"/>
        <v>-8.9141510427224784</v>
      </c>
      <c r="AV623">
        <f t="shared" si="511"/>
        <v>-3.1112235648377413</v>
      </c>
      <c r="AW623">
        <f t="shared" si="512"/>
        <v>382.35018531195573</v>
      </c>
      <c r="AX623">
        <f t="shared" si="513"/>
        <v>-774.83026150788942</v>
      </c>
      <c r="AY623">
        <f t="shared" si="521"/>
        <v>-1.1123918554303962</v>
      </c>
      <c r="BA623">
        <f t="shared" si="502"/>
        <v>0.33976957759506216</v>
      </c>
      <c r="BB623">
        <f t="shared" si="514"/>
        <v>-9.3763101946882585</v>
      </c>
      <c r="BC623">
        <f t="shared" si="515"/>
        <v>-1.9988317094073451</v>
      </c>
      <c r="BD623">
        <f t="shared" si="503"/>
        <v>-294.5246210368241</v>
      </c>
      <c r="BF623">
        <f t="shared" si="504"/>
        <v>-78.763163188273012</v>
      </c>
      <c r="BG623">
        <f t="shared" si="505"/>
        <v>-207.75084028330983</v>
      </c>
      <c r="BH623">
        <f t="shared" si="516"/>
        <v>-27.750840283309827</v>
      </c>
      <c r="BI623">
        <f t="shared" si="517"/>
        <v>-27.750840283309827</v>
      </c>
      <c r="BJ623">
        <f t="shared" si="506"/>
        <v>0</v>
      </c>
      <c r="BK623">
        <f t="shared" si="518"/>
        <v>0</v>
      </c>
      <c r="BM623">
        <f t="shared" si="519"/>
        <v>-69.386852993584739</v>
      </c>
      <c r="BN623">
        <f t="shared" si="507"/>
        <v>-93.226219246485712</v>
      </c>
      <c r="BQ623" s="66">
        <f t="shared" si="520"/>
        <v>7.5256506055968782</v>
      </c>
    </row>
    <row r="624" spans="1:69" x14ac:dyDescent="0.15">
      <c r="A624">
        <f t="shared" si="534"/>
        <v>4500000</v>
      </c>
      <c r="B624">
        <f t="shared" si="508"/>
        <v>4500</v>
      </c>
      <c r="C624">
        <f t="shared" si="477"/>
        <v>18.68783489466993</v>
      </c>
      <c r="D624">
        <f t="shared" si="526"/>
        <v>1.5172600099901654</v>
      </c>
      <c r="F624">
        <f t="shared" si="479"/>
        <v>1.1431630334854809E-6</v>
      </c>
      <c r="G624">
        <f t="shared" si="527"/>
        <v>3.5020784499549534E-4</v>
      </c>
      <c r="H624">
        <f t="shared" si="481"/>
        <v>-3.1412424421550047</v>
      </c>
      <c r="J624">
        <f t="shared" si="482"/>
        <v>15</v>
      </c>
      <c r="M624">
        <f t="shared" si="528"/>
        <v>2.1178302498171172E-4</v>
      </c>
      <c r="N624">
        <f t="shared" si="484"/>
        <v>-1.5707963250000001</v>
      </c>
      <c r="O624">
        <f t="shared" si="529"/>
        <v>1912.7589463550335</v>
      </c>
      <c r="P624">
        <f t="shared" si="486"/>
        <v>1.5702735217402086</v>
      </c>
      <c r="Q624">
        <f t="shared" si="530"/>
        <v>865.70413138402307</v>
      </c>
      <c r="R624">
        <f t="shared" si="488"/>
        <v>1.5696411974774604</v>
      </c>
      <c r="S624">
        <f t="shared" si="531"/>
        <v>5.713590411277001E-2</v>
      </c>
      <c r="T624">
        <f t="shared" si="490"/>
        <v>-1.5136292901226951</v>
      </c>
      <c r="U624">
        <f t="shared" si="491"/>
        <v>2.9090500521456564E-2</v>
      </c>
      <c r="V624">
        <f t="shared" si="492"/>
        <v>-1.5417017217024764</v>
      </c>
      <c r="X624">
        <f t="shared" si="532"/>
        <v>-74.573208067232201</v>
      </c>
      <c r="Y624">
        <f t="shared" si="533"/>
        <v>-178.20105001806058</v>
      </c>
      <c r="Z624">
        <f t="shared" si="510"/>
        <v>1.7989499819394155</v>
      </c>
      <c r="AC624">
        <v>1</v>
      </c>
      <c r="AD624">
        <f t="shared" si="494"/>
        <v>1912.7586849525003</v>
      </c>
      <c r="AE624">
        <f t="shared" si="495"/>
        <v>-8.1122966449250935</v>
      </c>
      <c r="AF624">
        <f t="shared" si="496"/>
        <v>0.23609068764750005</v>
      </c>
      <c r="AG624">
        <f t="shared" si="535"/>
        <v>6.7330383732261598</v>
      </c>
      <c r="AH624">
        <f t="shared" si="536"/>
        <v>-235.58915076023519</v>
      </c>
      <c r="AJ624">
        <f t="shared" si="497"/>
        <v>20000</v>
      </c>
      <c r="AK624">
        <f t="shared" si="498"/>
        <v>349470.76638600003</v>
      </c>
      <c r="AL624">
        <v>1</v>
      </c>
      <c r="AM624">
        <f t="shared" si="499"/>
        <v>865.70355381929994</v>
      </c>
      <c r="AN624">
        <f t="shared" si="537"/>
        <v>403.71025520569344</v>
      </c>
      <c r="AO624">
        <f t="shared" si="538"/>
        <v>-22.636258865219677</v>
      </c>
      <c r="AQ624">
        <f t="shared" si="500"/>
        <v>1.234567885992989E-4</v>
      </c>
      <c r="AR624">
        <f t="shared" si="501"/>
        <v>-1.1111110973936902</v>
      </c>
      <c r="AT624">
        <f t="shared" si="523"/>
        <v>-261.76488859595736</v>
      </c>
      <c r="AU624">
        <f t="shared" si="524"/>
        <v>-7.5102387356508391</v>
      </c>
      <c r="AV624">
        <f t="shared" si="511"/>
        <v>-3.1129097424414072</v>
      </c>
      <c r="AW624">
        <f t="shared" si="512"/>
        <v>384.65538757677876</v>
      </c>
      <c r="AX624">
        <f t="shared" si="513"/>
        <v>-731.80146774734169</v>
      </c>
      <c r="AY624">
        <f t="shared" si="521"/>
        <v>-1.0868570958680372</v>
      </c>
      <c r="BA624">
        <f t="shared" si="502"/>
        <v>0.31675463709146295</v>
      </c>
      <c r="BB624">
        <f t="shared" si="514"/>
        <v>-9.985540371921612</v>
      </c>
      <c r="BC624">
        <f t="shared" si="515"/>
        <v>-2.0260526465733699</v>
      </c>
      <c r="BD624">
        <f t="shared" si="503"/>
        <v>-296.08426585261032</v>
      </c>
      <c r="BF624">
        <f t="shared" si="504"/>
        <v>-79.870371976676822</v>
      </c>
      <c r="BG624">
        <f t="shared" si="505"/>
        <v>-209.13160532536818</v>
      </c>
      <c r="BH624">
        <f t="shared" si="516"/>
        <v>-29.131605325368184</v>
      </c>
      <c r="BI624">
        <f t="shared" si="517"/>
        <v>-29.131605325368184</v>
      </c>
      <c r="BJ624">
        <f t="shared" si="506"/>
        <v>0</v>
      </c>
      <c r="BK624">
        <f t="shared" si="518"/>
        <v>0</v>
      </c>
      <c r="BM624">
        <f t="shared" si="519"/>
        <v>-69.884831604755206</v>
      </c>
      <c r="BN624">
        <f t="shared" si="507"/>
        <v>-93.047339472757884</v>
      </c>
      <c r="BQ624" s="66">
        <f t="shared" si="520"/>
        <v>6.9164204283635247</v>
      </c>
    </row>
    <row r="625" spans="1:69" x14ac:dyDescent="0.15">
      <c r="A625">
        <f t="shared" si="534"/>
        <v>4750000</v>
      </c>
      <c r="B625">
        <f t="shared" si="508"/>
        <v>4750</v>
      </c>
      <c r="C625">
        <f t="shared" si="477"/>
        <v>19.723153144790775</v>
      </c>
      <c r="D625">
        <f t="shared" si="526"/>
        <v>1.5200727464927424</v>
      </c>
      <c r="F625">
        <f t="shared" si="479"/>
        <v>1.0259966234691634E-6</v>
      </c>
      <c r="G625">
        <f t="shared" si="527"/>
        <v>3.3177581503644331E-4</v>
      </c>
      <c r="H625">
        <f t="shared" si="481"/>
        <v>-3.1412608741849639</v>
      </c>
      <c r="J625">
        <f t="shared" si="482"/>
        <v>15</v>
      </c>
      <c r="M625">
        <f t="shared" si="528"/>
        <v>2.0063654998267428E-4</v>
      </c>
      <c r="N625">
        <f t="shared" si="484"/>
        <v>-1.5707963250000001</v>
      </c>
      <c r="O625">
        <f t="shared" si="529"/>
        <v>2019.0233039832572</v>
      </c>
      <c r="P625">
        <f t="shared" si="486"/>
        <v>1.5703010377910935</v>
      </c>
      <c r="Q625">
        <f t="shared" si="530"/>
        <v>913.79874286474853</v>
      </c>
      <c r="R625">
        <f t="shared" si="488"/>
        <v>1.5697019937074388</v>
      </c>
      <c r="S625">
        <f t="shared" si="531"/>
        <v>5.413780900247786E-2</v>
      </c>
      <c r="T625">
        <f t="shared" si="490"/>
        <v>-1.5166320374136708</v>
      </c>
      <c r="U625">
        <f t="shared" si="491"/>
        <v>2.756061681456495E-2</v>
      </c>
      <c r="V625">
        <f t="shared" si="492"/>
        <v>-1.5432322196700352</v>
      </c>
      <c r="X625">
        <f t="shared" si="532"/>
        <v>-75.511898293118492</v>
      </c>
      <c r="Y625">
        <f t="shared" si="533"/>
        <v>-178.29562406505218</v>
      </c>
      <c r="Z625">
        <f t="shared" si="510"/>
        <v>1.7043759349478194</v>
      </c>
      <c r="AC625">
        <v>1</v>
      </c>
      <c r="AD625">
        <f t="shared" si="494"/>
        <v>2019.0230563387504</v>
      </c>
      <c r="AE625">
        <f t="shared" si="495"/>
        <v>-9.0387008914134537</v>
      </c>
      <c r="AF625">
        <f t="shared" si="496"/>
        <v>0.24920683696125004</v>
      </c>
      <c r="AG625">
        <f t="shared" si="535"/>
        <v>6.043472751318685</v>
      </c>
      <c r="AH625">
        <f t="shared" si="536"/>
        <v>-223.20873384876856</v>
      </c>
      <c r="AJ625">
        <f t="shared" si="497"/>
        <v>20000</v>
      </c>
      <c r="AK625">
        <f t="shared" si="498"/>
        <v>368885.80896300002</v>
      </c>
      <c r="AL625">
        <v>1</v>
      </c>
      <c r="AM625">
        <f t="shared" si="499"/>
        <v>913.79819569815004</v>
      </c>
      <c r="AN625">
        <f t="shared" si="537"/>
        <v>403.70757523864881</v>
      </c>
      <c r="AO625">
        <f t="shared" si="538"/>
        <v>-21.444879752459578</v>
      </c>
      <c r="AQ625">
        <f t="shared" si="500"/>
        <v>1.1080332287198534E-4</v>
      </c>
      <c r="AR625">
        <f t="shared" si="501"/>
        <v>-1.0526315672838606</v>
      </c>
      <c r="AT625">
        <f t="shared" si="523"/>
        <v>-234.95588970581284</v>
      </c>
      <c r="AU625">
        <f t="shared" si="524"/>
        <v>-6.3862824634623845</v>
      </c>
      <c r="AV625">
        <f t="shared" si="511"/>
        <v>-3.1144185723112288</v>
      </c>
      <c r="AW625">
        <f t="shared" si="512"/>
        <v>386.60616445598674</v>
      </c>
      <c r="AX625">
        <f t="shared" si="513"/>
        <v>-693.29950020640058</v>
      </c>
      <c r="AY625">
        <f t="shared" si="521"/>
        <v>-1.0621123088664641</v>
      </c>
      <c r="BA625">
        <f t="shared" si="502"/>
        <v>0.29609572326660932</v>
      </c>
      <c r="BB625">
        <f t="shared" si="514"/>
        <v>-10.57135730814956</v>
      </c>
      <c r="BC625">
        <f t="shared" si="515"/>
        <v>-2.0523062634447644</v>
      </c>
      <c r="BD625">
        <f t="shared" si="503"/>
        <v>-297.58848729801349</v>
      </c>
      <c r="BF625">
        <f t="shared" si="504"/>
        <v>-80.927086558348336</v>
      </c>
      <c r="BG625">
        <f t="shared" si="505"/>
        <v>-210.4757249176329</v>
      </c>
      <c r="BH625">
        <f t="shared" si="516"/>
        <v>-30.475724917632903</v>
      </c>
      <c r="BI625">
        <f t="shared" si="517"/>
        <v>-30.475724917632903</v>
      </c>
      <c r="BJ625">
        <f t="shared" si="506"/>
        <v>0</v>
      </c>
      <c r="BK625">
        <f t="shared" si="518"/>
        <v>0</v>
      </c>
      <c r="BM625">
        <f t="shared" si="519"/>
        <v>-70.355729250198777</v>
      </c>
      <c r="BN625">
        <f t="shared" si="507"/>
        <v>-92.887237619619427</v>
      </c>
      <c r="BQ625" s="66">
        <f t="shared" si="520"/>
        <v>6.3306034921355758</v>
      </c>
    </row>
    <row r="626" spans="1:69" x14ac:dyDescent="0.15">
      <c r="A626">
        <f t="shared" si="534"/>
        <v>5000000</v>
      </c>
      <c r="B626">
        <f t="shared" si="508"/>
        <v>5000</v>
      </c>
      <c r="C626">
        <f t="shared" si="477"/>
        <v>20.758611869027806</v>
      </c>
      <c r="D626">
        <f t="shared" si="526"/>
        <v>1.5226048976093813</v>
      </c>
      <c r="F626">
        <f t="shared" si="479"/>
        <v>9.2596186350977889E-7</v>
      </c>
      <c r="G626">
        <f t="shared" si="527"/>
        <v>3.151869933679857E-4</v>
      </c>
      <c r="H626">
        <f t="shared" si="481"/>
        <v>-3.1412774630066322</v>
      </c>
      <c r="J626">
        <f t="shared" si="482"/>
        <v>15</v>
      </c>
      <c r="M626">
        <f t="shared" si="528"/>
        <v>1.9060472248354056E-4</v>
      </c>
      <c r="N626">
        <f t="shared" si="484"/>
        <v>-1.5707963250000001</v>
      </c>
      <c r="O626">
        <f t="shared" si="529"/>
        <v>2125.2876629872835</v>
      </c>
      <c r="P626">
        <f t="shared" si="486"/>
        <v>1.5703258022375324</v>
      </c>
      <c r="Q626">
        <f t="shared" si="530"/>
        <v>961.89335738528371</v>
      </c>
      <c r="R626">
        <f t="shared" si="488"/>
        <v>1.569756710321349</v>
      </c>
      <c r="S626">
        <f t="shared" si="531"/>
        <v>5.143826865396809E-2</v>
      </c>
      <c r="T626">
        <f t="shared" si="490"/>
        <v>-1.5193353477098417</v>
      </c>
      <c r="U626">
        <f t="shared" si="491"/>
        <v>2.6183555566114396E-2</v>
      </c>
      <c r="V626">
        <f t="shared" si="492"/>
        <v>-1.5446097784912498</v>
      </c>
      <c r="X626">
        <f t="shared" si="532"/>
        <v>-76.402481305269447</v>
      </c>
      <c r="Y626">
        <f t="shared" si="533"/>
        <v>-178.38075561040765</v>
      </c>
      <c r="Z626">
        <f t="shared" si="510"/>
        <v>1.6192443895923532</v>
      </c>
      <c r="AC626">
        <v>1</v>
      </c>
      <c r="AD626">
        <f t="shared" si="494"/>
        <v>2125.2874277250003</v>
      </c>
      <c r="AE626">
        <f t="shared" si="495"/>
        <v>-10.015181043117401</v>
      </c>
      <c r="AF626">
        <f t="shared" si="496"/>
        <v>0.26232298627500006</v>
      </c>
      <c r="AG626">
        <f t="shared" si="535"/>
        <v>5.4546381274243849</v>
      </c>
      <c r="AH626">
        <f t="shared" si="536"/>
        <v>-212.0637202281944</v>
      </c>
      <c r="AJ626">
        <f t="shared" si="497"/>
        <v>20000</v>
      </c>
      <c r="AK626">
        <f t="shared" si="498"/>
        <v>388300.85154</v>
      </c>
      <c r="AL626">
        <v>1</v>
      </c>
      <c r="AM626">
        <f t="shared" si="499"/>
        <v>961.89283757699991</v>
      </c>
      <c r="AN626">
        <f t="shared" si="537"/>
        <v>403.70528712566522</v>
      </c>
      <c r="AO626">
        <f t="shared" si="538"/>
        <v>-20.37263814359741</v>
      </c>
      <c r="AQ626">
        <f t="shared" si="500"/>
        <v>9.9999999000000009E-5</v>
      </c>
      <c r="AR626">
        <f t="shared" si="501"/>
        <v>-0.99999999000000006</v>
      </c>
      <c r="AT626">
        <f t="shared" si="523"/>
        <v>-212.06317264374991</v>
      </c>
      <c r="AU626">
        <f t="shared" si="524"/>
        <v>-5.47584444468876</v>
      </c>
      <c r="AV626">
        <f t="shared" si="511"/>
        <v>-3.1157766298438441</v>
      </c>
      <c r="AW626">
        <f t="shared" si="512"/>
        <v>388.27162215567608</v>
      </c>
      <c r="AX626">
        <f t="shared" si="513"/>
        <v>-658.6458009627122</v>
      </c>
      <c r="AY626">
        <f t="shared" si="521"/>
        <v>-1.0381332774804115</v>
      </c>
      <c r="BA626">
        <f t="shared" si="502"/>
        <v>0.27745467591679324</v>
      </c>
      <c r="BB626">
        <f t="shared" si="514"/>
        <v>-11.136159033305606</v>
      </c>
      <c r="BC626">
        <f t="shared" si="515"/>
        <v>-2.0776433523634328</v>
      </c>
      <c r="BD626">
        <f t="shared" si="503"/>
        <v>-299.04019555985968</v>
      </c>
      <c r="BF626">
        <f t="shared" si="504"/>
        <v>-81.938505670173939</v>
      </c>
      <c r="BG626">
        <f t="shared" si="505"/>
        <v>-211.78330207671036</v>
      </c>
      <c r="BH626">
        <f t="shared" si="516"/>
        <v>-31.783302076710356</v>
      </c>
      <c r="BI626">
        <f t="shared" si="517"/>
        <v>-31.783302076710356</v>
      </c>
      <c r="BJ626">
        <f t="shared" si="506"/>
        <v>0</v>
      </c>
      <c r="BK626">
        <f t="shared" si="518"/>
        <v>0</v>
      </c>
      <c r="BM626">
        <f t="shared" si="519"/>
        <v>-70.802346636868336</v>
      </c>
      <c r="BN626">
        <f t="shared" si="507"/>
        <v>-92.743106516850659</v>
      </c>
      <c r="BQ626" s="66">
        <f t="shared" si="520"/>
        <v>5.7658017669795303</v>
      </c>
    </row>
    <row r="627" spans="1:69" x14ac:dyDescent="0.15">
      <c r="A627">
        <f>A626+100000</f>
        <v>5100000</v>
      </c>
      <c r="B627">
        <f t="shared" si="508"/>
        <v>5100</v>
      </c>
      <c r="C627">
        <f t="shared" ref="C627:C676" si="539">SQRT((A627/Fesr)^2+1)</f>
        <v>21.172830074999215</v>
      </c>
      <c r="D627">
        <f t="shared" ref="D627:D676" si="540">ATAN(A627/Fesr)</f>
        <v>1.523548407912398</v>
      </c>
      <c r="F627">
        <f t="shared" ref="F627:F676" si="541">(Ro/(Ro+Rdcr))/SQRT((A627/(Q*Fo))^2+(1-(A627^2/Fo^2))^2)</f>
        <v>8.9000560501568023E-7</v>
      </c>
      <c r="G627">
        <f t="shared" ref="G627:G676" si="542">-ATAN(A627*Fo/(Q*(Fo^2-A627^2)))</f>
        <v>3.0900684534841471E-4</v>
      </c>
      <c r="H627">
        <f t="shared" si="481"/>
        <v>-3.1412836431546518</v>
      </c>
      <c r="J627">
        <f t="shared" si="482"/>
        <v>15</v>
      </c>
      <c r="M627">
        <f t="shared" ref="M627:M676" si="543">1/(2*Pi*_Rfb1*(Cc1ea_u+Cc2ea_u)*A627)</f>
        <v>1.8686737498386328E-4</v>
      </c>
      <c r="N627">
        <f t="shared" si="484"/>
        <v>-1.5707963250000001</v>
      </c>
      <c r="O627">
        <f t="shared" ref="O627:O676" si="544">SQRT(1+(A627/Fz1_u)^2)</f>
        <v>2167.7934069287976</v>
      </c>
      <c r="P627">
        <f t="shared" si="486"/>
        <v>1.5703350282079234</v>
      </c>
      <c r="Q627">
        <f t="shared" ref="Q627:Q676" si="545">SQRT(1+(A627/Fz2_u)^2)</f>
        <v>981.13120394450982</v>
      </c>
      <c r="R627">
        <f t="shared" si="488"/>
        <v>1.5697770949438266</v>
      </c>
      <c r="S627">
        <f t="shared" ref="S627:S676" si="546">1/SQRT(1+(A627/Fp1_u)^2)</f>
        <v>5.043226600738436E-2</v>
      </c>
      <c r="T627">
        <f t="shared" si="490"/>
        <v>-1.5203426579314596</v>
      </c>
      <c r="U627">
        <f t="shared" ref="U627:U676" si="547">1/SQRT(1+(A627/Fp2_u)^2)</f>
        <v>2.5670494216120224E-2</v>
      </c>
      <c r="V627">
        <f t="shared" si="492"/>
        <v>-1.5451230123765194</v>
      </c>
      <c r="X627">
        <f t="shared" ref="X627:X676" si="548">20*LOG(C627*J627*O627*Q627*F627*M627*S627*U627)</f>
        <v>-76.746318216303052</v>
      </c>
      <c r="Y627">
        <f t="shared" ref="Y627:Y676" si="549">(180/Pi)*(D627+H627+N627+P627+R627+T627+V627)</f>
        <v>-178.4124747464401</v>
      </c>
      <c r="Z627">
        <f t="shared" si="510"/>
        <v>1.5875252535599031</v>
      </c>
      <c r="AC627">
        <v>1</v>
      </c>
      <c r="AD627">
        <f t="shared" ref="AD627:AD676" si="550">Rcea1_u*Cc1ea_u*A627*2*Pi</f>
        <v>2167.7931762795006</v>
      </c>
      <c r="AE627">
        <f t="shared" ref="AE627:AE676" si="551">-Rcea1_u*Cc1ea_u*Cc2ea_u*(A627*2*Pi)^2</f>
        <v>-10.419794357259343</v>
      </c>
      <c r="AF627">
        <f t="shared" ref="AF627:AF676" si="552">(Cc2ea_u+Cc1ea_u)*A627*2*Pi</f>
        <v>0.26756944600050003</v>
      </c>
      <c r="AG627">
        <f t="shared" ref="AG627:AG676" si="553">AC627*AE627/(AE627^2+AF627^2)+AD627*AF627/(AE627^2+AF627^2)</f>
        <v>5.2429674585339381</v>
      </c>
      <c r="AH627">
        <f t="shared" ref="AH627:AH676" si="554">AD627*AE627/(AE627^2+AF627^2)-AC627*AF627/(AE627^2+AF627^2)</f>
        <v>-207.91104354875532</v>
      </c>
      <c r="AJ627">
        <f t="shared" si="497"/>
        <v>20000</v>
      </c>
      <c r="AK627">
        <f t="shared" ref="AK627:AK676" si="555">_Rfb1*Rcea2_u*Cc3ea_u*A627*2*Pi</f>
        <v>396066.8685708</v>
      </c>
      <c r="AL627">
        <v>2</v>
      </c>
      <c r="AM627">
        <f t="shared" ref="AM627:AM676" si="556">(_Rfb1+Rcea2_u)*Cc3ea_u*A627*2*Pi</f>
        <v>981.1306943285399</v>
      </c>
      <c r="AN627">
        <f t="shared" ref="AN627:AN676" si="557">AJ627*AL627/(AL627^2+AM627^2)+AK627*AM627/(AL627^2+AM627^2)</f>
        <v>403.72398314997599</v>
      </c>
      <c r="AO627">
        <f t="shared" ref="AO627:AO676" si="558">AK627*AL627/(AL627^2+AM627^2)-AJ627*AM627/(AL627^2+AM627^2)</f>
        <v>-19.561667109838943</v>
      </c>
      <c r="AQ627">
        <f t="shared" ref="AQ627:AQ676" si="559">Eadcg/(1+(Eadcg*A627/GBP)^2)</f>
        <v>9.6116877199953123E-5</v>
      </c>
      <c r="AR627">
        <f t="shared" ref="AR627:AR676" si="560">-(A627*Eadcg*Eadcg/GBP)/(1+(Eadcg*A627/GBP)^2)</f>
        <v>-0.98039214743952185</v>
      </c>
      <c r="AT627">
        <f t="shared" ref="AT627:AT676" si="561">-AR627*AH627+AG627*AQ627</f>
        <v>-203.83385052349681</v>
      </c>
      <c r="AU627">
        <f t="shared" ref="AU627:AU676" si="562">AQ627*AH627+AG627*AR627</f>
        <v>-5.16014788586891</v>
      </c>
      <c r="AV627">
        <f t="shared" si="511"/>
        <v>-3.1162825985430169</v>
      </c>
      <c r="AW627">
        <f t="shared" si="512"/>
        <v>389.31567705613429</v>
      </c>
      <c r="AX627">
        <f t="shared" si="513"/>
        <v>-645.34323808263855</v>
      </c>
      <c r="AY627">
        <f t="shared" si="521"/>
        <v>-1.0279764945211927</v>
      </c>
      <c r="BA627">
        <f t="shared" si="502"/>
        <v>0.2705378510264998</v>
      </c>
      <c r="BB627">
        <f t="shared" si="514"/>
        <v>-11.355439280875954</v>
      </c>
      <c r="BC627">
        <f t="shared" si="515"/>
        <v>-2.0883061040218243</v>
      </c>
      <c r="BD627">
        <f t="shared" si="503"/>
        <v>-299.65112622857976</v>
      </c>
      <c r="BF627">
        <f t="shared" si="504"/>
        <v>-82.330181024315209</v>
      </c>
      <c r="BG627">
        <f t="shared" si="505"/>
        <v>-212.34052768347735</v>
      </c>
      <c r="BH627">
        <f t="shared" si="516"/>
        <v>-32.340527683477347</v>
      </c>
      <c r="BI627">
        <f t="shared" si="517"/>
        <v>-32.340527683477347</v>
      </c>
      <c r="BJ627">
        <f t="shared" si="506"/>
        <v>0</v>
      </c>
      <c r="BK627">
        <f t="shared" si="518"/>
        <v>0</v>
      </c>
      <c r="BM627">
        <f t="shared" si="519"/>
        <v>-70.974741743439253</v>
      </c>
      <c r="BN627">
        <f t="shared" si="507"/>
        <v>-92.68940145489762</v>
      </c>
      <c r="BQ627" s="66">
        <f t="shared" si="520"/>
        <v>5.5465215194091826</v>
      </c>
    </row>
    <row r="628" spans="1:69" x14ac:dyDescent="0.15">
      <c r="A628">
        <f t="shared" ref="A628:A676" si="563">A627+100000</f>
        <v>5200000</v>
      </c>
      <c r="B628">
        <f t="shared" si="508"/>
        <v>5200</v>
      </c>
      <c r="C628">
        <f t="shared" si="539"/>
        <v>21.587066405929821</v>
      </c>
      <c r="D628">
        <f t="shared" si="540"/>
        <v>1.5244557087742976</v>
      </c>
      <c r="F628">
        <f t="shared" si="541"/>
        <v>8.5610373635182577E-7</v>
      </c>
      <c r="G628">
        <f t="shared" si="542"/>
        <v>3.030643959401037E-4</v>
      </c>
      <c r="H628">
        <f t="shared" si="481"/>
        <v>-3.1412895856040599</v>
      </c>
      <c r="J628">
        <f t="shared" si="482"/>
        <v>15</v>
      </c>
      <c r="M628">
        <f t="shared" si="543"/>
        <v>1.8327377161878901E-4</v>
      </c>
      <c r="N628">
        <f t="shared" si="484"/>
        <v>-1.5707963250000001</v>
      </c>
      <c r="O628">
        <f t="shared" si="544"/>
        <v>2210.2991510477345</v>
      </c>
      <c r="P628">
        <f t="shared" si="486"/>
        <v>1.5703438993333736</v>
      </c>
      <c r="Q628">
        <f t="shared" si="545"/>
        <v>1000.3690508957476</v>
      </c>
      <c r="R628">
        <f t="shared" si="488"/>
        <v>1.5697966955431617</v>
      </c>
      <c r="S628">
        <f t="shared" si="546"/>
        <v>4.9464810945268008E-2</v>
      </c>
      <c r="T628">
        <f t="shared" si="490"/>
        <v>-1.5213113221253616</v>
      </c>
      <c r="U628">
        <f t="shared" si="547"/>
        <v>2.5177146859376359E-2</v>
      </c>
      <c r="V628">
        <f t="shared" si="492"/>
        <v>-1.5456165192582429</v>
      </c>
      <c r="X628">
        <f t="shared" si="548"/>
        <v>-77.08348465658166</v>
      </c>
      <c r="Y628">
        <f t="shared" si="549"/>
        <v>-178.44297563550435</v>
      </c>
      <c r="Z628">
        <f t="shared" si="510"/>
        <v>1.5570243644956463</v>
      </c>
      <c r="AC628">
        <v>1</v>
      </c>
      <c r="AD628">
        <f t="shared" si="550"/>
        <v>2210.2989248340004</v>
      </c>
      <c r="AE628">
        <f t="shared" si="551"/>
        <v>-10.832419816235781</v>
      </c>
      <c r="AF628">
        <f t="shared" si="552"/>
        <v>0.27281590572600001</v>
      </c>
      <c r="AG628">
        <f t="shared" si="553"/>
        <v>5.043380427446686</v>
      </c>
      <c r="AH628">
        <f t="shared" si="554"/>
        <v>-203.91778087514678</v>
      </c>
      <c r="AJ628">
        <f t="shared" si="497"/>
        <v>20000</v>
      </c>
      <c r="AK628">
        <f t="shared" si="555"/>
        <v>403832.88560160005</v>
      </c>
      <c r="AL628">
        <v>3</v>
      </c>
      <c r="AM628">
        <f t="shared" si="556"/>
        <v>1000.36855108008</v>
      </c>
      <c r="AN628">
        <f t="shared" si="557"/>
        <v>403.74043219913062</v>
      </c>
      <c r="AO628">
        <f t="shared" si="558"/>
        <v>-18.781856629855767</v>
      </c>
      <c r="AQ628">
        <f t="shared" si="559"/>
        <v>9.2455620446970963E-5</v>
      </c>
      <c r="AR628">
        <f t="shared" si="560"/>
        <v>-0.96153845264849802</v>
      </c>
      <c r="AT628">
        <f t="shared" si="561"/>
        <v>-196.07432120133754</v>
      </c>
      <c r="AU628">
        <f t="shared" si="562"/>
        <v>-4.8682575572757889</v>
      </c>
      <c r="AV628">
        <f t="shared" si="511"/>
        <v>-3.1167691196688052</v>
      </c>
      <c r="AW628">
        <f t="shared" si="512"/>
        <v>390.29080713007062</v>
      </c>
      <c r="AX628">
        <f t="shared" si="513"/>
        <v>-632.54977591242937</v>
      </c>
      <c r="AY628">
        <f t="shared" si="521"/>
        <v>-1.0179618184287085</v>
      </c>
      <c r="BA628">
        <f t="shared" si="502"/>
        <v>0.26388188195512485</v>
      </c>
      <c r="BB628">
        <f t="shared" si="514"/>
        <v>-11.571808545506743</v>
      </c>
      <c r="BC628">
        <f t="shared" si="515"/>
        <v>-2.0988073012400967</v>
      </c>
      <c r="BD628">
        <f t="shared" si="503"/>
        <v>-300.25280050970878</v>
      </c>
      <c r="BF628">
        <f t="shared" si="504"/>
        <v>-82.715582964889762</v>
      </c>
      <c r="BG628">
        <f t="shared" si="505"/>
        <v>-212.89055793168302</v>
      </c>
      <c r="BH628">
        <f t="shared" si="516"/>
        <v>-32.89055793168302</v>
      </c>
      <c r="BI628">
        <f t="shared" si="517"/>
        <v>-32.89055793168302</v>
      </c>
      <c r="BJ628">
        <f t="shared" si="506"/>
        <v>0</v>
      </c>
      <c r="BK628">
        <f t="shared" si="518"/>
        <v>0</v>
      </c>
      <c r="BM628">
        <f t="shared" si="519"/>
        <v>-71.143774419383007</v>
      </c>
      <c r="BN628">
        <f t="shared" si="507"/>
        <v>-92.637757421974229</v>
      </c>
      <c r="BQ628" s="66">
        <f t="shared" si="520"/>
        <v>5.3301522547783922</v>
      </c>
    </row>
    <row r="629" spans="1:69" x14ac:dyDescent="0.15">
      <c r="A629">
        <f t="shared" si="563"/>
        <v>5300000</v>
      </c>
      <c r="B629">
        <f t="shared" si="508"/>
        <v>5300</v>
      </c>
      <c r="C629">
        <f t="shared" si="539"/>
        <v>22.001319838060613</v>
      </c>
      <c r="D629">
        <f t="shared" si="540"/>
        <v>1.5253288439735737</v>
      </c>
      <c r="F629">
        <f t="shared" si="541"/>
        <v>8.2410268130326094E-7</v>
      </c>
      <c r="G629">
        <f t="shared" si="542"/>
        <v>2.9734619045990201E-4</v>
      </c>
      <c r="H629">
        <f t="shared" si="481"/>
        <v>-3.1412953038095401</v>
      </c>
      <c r="J629">
        <f t="shared" si="482"/>
        <v>15</v>
      </c>
      <c r="M629">
        <f t="shared" si="543"/>
        <v>1.7981577592786845E-4</v>
      </c>
      <c r="N629">
        <f t="shared" si="484"/>
        <v>-1.5707963250000001</v>
      </c>
      <c r="O629">
        <f t="shared" si="544"/>
        <v>2252.8048953340517</v>
      </c>
      <c r="P629">
        <f t="shared" si="486"/>
        <v>1.5703524356994401</v>
      </c>
      <c r="Q629">
        <f t="shared" si="545"/>
        <v>1019.6068982168078</v>
      </c>
      <c r="R629">
        <f t="shared" si="488"/>
        <v>1.5698155564979643</v>
      </c>
      <c r="S629">
        <f t="shared" si="546"/>
        <v>4.8533732119112327E-2</v>
      </c>
      <c r="T629">
        <f t="shared" si="490"/>
        <v>-1.5222435207291327</v>
      </c>
      <c r="U629">
        <f t="shared" si="547"/>
        <v>2.4702399011872881E-2</v>
      </c>
      <c r="V629">
        <f t="shared" si="492"/>
        <v>-1.5460914148238751</v>
      </c>
      <c r="X629">
        <f t="shared" si="548"/>
        <v>-77.41423440841352</v>
      </c>
      <c r="Y629">
        <f t="shared" si="549"/>
        <v>-178.472327109144</v>
      </c>
      <c r="Z629">
        <f t="shared" si="510"/>
        <v>1.527672890855996</v>
      </c>
      <c r="AC629">
        <v>1</v>
      </c>
      <c r="AD629">
        <f t="shared" si="550"/>
        <v>2252.8046733885003</v>
      </c>
      <c r="AE629">
        <f t="shared" si="551"/>
        <v>-11.253057420046712</v>
      </c>
      <c r="AF629">
        <f t="shared" si="552"/>
        <v>0.27806236545150004</v>
      </c>
      <c r="AG629">
        <f t="shared" si="553"/>
        <v>4.8549746581535773</v>
      </c>
      <c r="AH629">
        <f t="shared" si="554"/>
        <v>-200.07493107073304</v>
      </c>
      <c r="AJ629">
        <f t="shared" si="497"/>
        <v>20000</v>
      </c>
      <c r="AK629">
        <f t="shared" si="555"/>
        <v>411598.90263240004</v>
      </c>
      <c r="AL629">
        <v>4</v>
      </c>
      <c r="AM629">
        <f t="shared" si="556"/>
        <v>1019.60640783162</v>
      </c>
      <c r="AN629">
        <f t="shared" si="557"/>
        <v>403.75484624759048</v>
      </c>
      <c r="AO629">
        <f t="shared" si="558"/>
        <v>-18.031448678425505</v>
      </c>
      <c r="AQ629">
        <f t="shared" si="559"/>
        <v>8.8999643209330341E-5</v>
      </c>
      <c r="AR629">
        <f t="shared" si="560"/>
        <v>-0.94339621801890161</v>
      </c>
      <c r="AT629">
        <f t="shared" si="561"/>
        <v>-188.74950120150962</v>
      </c>
      <c r="AU629">
        <f t="shared" si="562"/>
        <v>-4.5979713285601207</v>
      </c>
      <c r="AV629">
        <f t="shared" si="511"/>
        <v>-3.1172372930918666</v>
      </c>
      <c r="AW629">
        <f t="shared" si="512"/>
        <v>391.20250636186483</v>
      </c>
      <c r="AX629">
        <f t="shared" si="513"/>
        <v>-620.23683037888418</v>
      </c>
      <c r="AY629">
        <f t="shared" si="521"/>
        <v>-1.0080865575044602</v>
      </c>
      <c r="BA629">
        <f t="shared" si="502"/>
        <v>0.25747272985603448</v>
      </c>
      <c r="BB629">
        <f t="shared" si="514"/>
        <v>-11.785375247035306</v>
      </c>
      <c r="BC629">
        <f t="shared" si="515"/>
        <v>-2.1091507355874066</v>
      </c>
      <c r="BD629">
        <f t="shared" si="503"/>
        <v>-300.84543564415748</v>
      </c>
      <c r="BF629">
        <f t="shared" si="504"/>
        <v>-83.094948832374968</v>
      </c>
      <c r="BG629">
        <f t="shared" si="505"/>
        <v>-213.43349373325248</v>
      </c>
      <c r="BH629">
        <f t="shared" si="516"/>
        <v>-33.433493733252476</v>
      </c>
      <c r="BI629">
        <f t="shared" si="517"/>
        <v>-33.433493733252476</v>
      </c>
      <c r="BJ629">
        <f t="shared" si="506"/>
        <v>0</v>
      </c>
      <c r="BK629">
        <f t="shared" si="518"/>
        <v>0</v>
      </c>
      <c r="BM629">
        <f t="shared" si="519"/>
        <v>-71.309573585339649</v>
      </c>
      <c r="BN629">
        <f t="shared" si="507"/>
        <v>-92.588058089095014</v>
      </c>
      <c r="BQ629" s="66">
        <f t="shared" si="520"/>
        <v>5.1165855532498314</v>
      </c>
    </row>
    <row r="630" spans="1:69" x14ac:dyDescent="0.15">
      <c r="A630">
        <f t="shared" si="563"/>
        <v>5400000</v>
      </c>
      <c r="B630">
        <f t="shared" si="508"/>
        <v>5400</v>
      </c>
      <c r="C630">
        <f t="shared" si="539"/>
        <v>22.415589423270539</v>
      </c>
      <c r="D630">
        <f t="shared" si="540"/>
        <v>1.5261697064197246</v>
      </c>
      <c r="F630">
        <f t="shared" si="541"/>
        <v>7.9386295075154353E-7</v>
      </c>
      <c r="G630">
        <f t="shared" si="542"/>
        <v>2.9183977087188652E-4</v>
      </c>
      <c r="H630">
        <f t="shared" si="481"/>
        <v>-3.1413008102291284</v>
      </c>
      <c r="J630">
        <f t="shared" si="482"/>
        <v>15</v>
      </c>
      <c r="M630">
        <f t="shared" si="543"/>
        <v>1.7648585415142642E-4</v>
      </c>
      <c r="N630">
        <f t="shared" si="484"/>
        <v>-1.5707963250000001</v>
      </c>
      <c r="O630">
        <f t="shared" si="544"/>
        <v>2295.3106397784491</v>
      </c>
      <c r="P630">
        <f t="shared" si="486"/>
        <v>1.5703606559038614</v>
      </c>
      <c r="Q630">
        <f t="shared" si="545"/>
        <v>1038.8447458871449</v>
      </c>
      <c r="R630">
        <f t="shared" si="488"/>
        <v>1.5698337188995448</v>
      </c>
      <c r="S630">
        <f t="shared" si="546"/>
        <v>4.7637018070961497E-2</v>
      </c>
      <c r="T630">
        <f t="shared" si="490"/>
        <v>-1.5231412733014851</v>
      </c>
      <c r="U630">
        <f t="shared" si="547"/>
        <v>2.4245218617829852E-2</v>
      </c>
      <c r="V630">
        <f t="shared" si="492"/>
        <v>-1.5465487322015055</v>
      </c>
      <c r="X630">
        <f t="shared" si="548"/>
        <v>-77.738807047298394</v>
      </c>
      <c r="Y630">
        <f t="shared" si="549"/>
        <v>-178.500592911566</v>
      </c>
      <c r="Z630">
        <f t="shared" si="510"/>
        <v>1.4994070884339976</v>
      </c>
      <c r="AC630">
        <v>1</v>
      </c>
      <c r="AD630">
        <f t="shared" si="550"/>
        <v>2295.3104219430002</v>
      </c>
      <c r="AE630">
        <f t="shared" si="551"/>
        <v>-11.681707168692139</v>
      </c>
      <c r="AF630">
        <f t="shared" si="552"/>
        <v>0.28330882517700007</v>
      </c>
      <c r="AG630">
        <f t="shared" si="553"/>
        <v>4.6769304466228059</v>
      </c>
      <c r="AH630">
        <f t="shared" si="554"/>
        <v>-196.37415774475051</v>
      </c>
      <c r="AJ630">
        <f t="shared" si="497"/>
        <v>20000</v>
      </c>
      <c r="AK630">
        <f t="shared" si="555"/>
        <v>419364.91966320004</v>
      </c>
      <c r="AL630">
        <v>5</v>
      </c>
      <c r="AM630">
        <f t="shared" si="556"/>
        <v>1038.8442645831601</v>
      </c>
      <c r="AN630">
        <f t="shared" si="557"/>
        <v>403.76741542219833</v>
      </c>
      <c r="AO630">
        <f t="shared" si="558"/>
        <v>-17.308814743376391</v>
      </c>
      <c r="AQ630">
        <f t="shared" si="559"/>
        <v>8.5733881295148485E-5</v>
      </c>
      <c r="AR630">
        <f t="shared" si="560"/>
        <v>-0.9259259179876036</v>
      </c>
      <c r="AT630">
        <f t="shared" si="561"/>
        <v>-181.82752130745087</v>
      </c>
      <c r="AU630">
        <f t="shared" si="562"/>
        <v>-4.3473270358829179</v>
      </c>
      <c r="AV630">
        <f t="shared" si="511"/>
        <v>-3.1176881372951093</v>
      </c>
      <c r="AW630">
        <f t="shared" si="512"/>
        <v>392.05574663890746</v>
      </c>
      <c r="AX630">
        <f t="shared" si="513"/>
        <v>-608.37791125915805</v>
      </c>
      <c r="AY630">
        <f t="shared" si="521"/>
        <v>-0.99834814825583973</v>
      </c>
      <c r="BA630">
        <f t="shared" si="502"/>
        <v>0.25129737582298012</v>
      </c>
      <c r="BB630">
        <f t="shared" si="514"/>
        <v>-11.996240930221679</v>
      </c>
      <c r="BC630">
        <f t="shared" si="515"/>
        <v>-2.1193399890392697</v>
      </c>
      <c r="BD630">
        <f t="shared" si="503"/>
        <v>-301.42923686400542</v>
      </c>
      <c r="BF630">
        <f t="shared" si="504"/>
        <v>-83.468501802981606</v>
      </c>
      <c r="BG630">
        <f t="shared" si="505"/>
        <v>-213.96943257833291</v>
      </c>
      <c r="BH630">
        <f t="shared" si="516"/>
        <v>-33.969432578332913</v>
      </c>
      <c r="BI630">
        <f t="shared" si="517"/>
        <v>-33.969432578332913</v>
      </c>
      <c r="BJ630">
        <f t="shared" si="506"/>
        <v>0</v>
      </c>
      <c r="BK630">
        <f t="shared" si="518"/>
        <v>0</v>
      </c>
      <c r="BM630">
        <f t="shared" si="519"/>
        <v>-71.472260872759918</v>
      </c>
      <c r="BN630">
        <f t="shared" si="507"/>
        <v>-92.540195714327467</v>
      </c>
      <c r="BQ630" s="66">
        <f t="shared" si="520"/>
        <v>4.9057198700634572</v>
      </c>
    </row>
    <row r="631" spans="1:69" x14ac:dyDescent="0.15">
      <c r="A631">
        <f t="shared" si="563"/>
        <v>5500000</v>
      </c>
      <c r="B631">
        <f t="shared" si="508"/>
        <v>5500</v>
      </c>
      <c r="C631">
        <f t="shared" si="539"/>
        <v>22.829874282221091</v>
      </c>
      <c r="D631">
        <f t="shared" si="540"/>
        <v>1.5269800518133745</v>
      </c>
      <c r="F631">
        <f t="shared" si="541"/>
        <v>7.6525762004773836E-7</v>
      </c>
      <c r="G631">
        <f t="shared" si="542"/>
        <v>2.8653358518264057E-4</v>
      </c>
      <c r="H631">
        <f t="shared" si="481"/>
        <v>-3.1413061164148175</v>
      </c>
      <c r="J631">
        <f t="shared" si="482"/>
        <v>15</v>
      </c>
      <c r="M631">
        <f t="shared" si="543"/>
        <v>1.7327702043958232E-4</v>
      </c>
      <c r="N631">
        <f t="shared" si="484"/>
        <v>-1.5707963250000001</v>
      </c>
      <c r="O631">
        <f t="shared" si="544"/>
        <v>2337.8163843723046</v>
      </c>
      <c r="P631">
        <f t="shared" si="486"/>
        <v>1.5703685771918141</v>
      </c>
      <c r="Q631">
        <f t="shared" si="545"/>
        <v>1058.0825938877074</v>
      </c>
      <c r="R631">
        <f t="shared" si="488"/>
        <v>1.5698512208507598</v>
      </c>
      <c r="S631">
        <f t="shared" si="546"/>
        <v>4.6772802798328107E-2</v>
      </c>
      <c r="T631">
        <f t="shared" si="490"/>
        <v>-1.5240064530804354</v>
      </c>
      <c r="U631">
        <f t="shared" si="547"/>
        <v>2.3804648569594373E-2</v>
      </c>
      <c r="V631">
        <f t="shared" si="492"/>
        <v>-1.5469894294563327</v>
      </c>
      <c r="X631">
        <f t="shared" si="548"/>
        <v>-78.057428982497342</v>
      </c>
      <c r="Y631">
        <f t="shared" si="549"/>
        <v>-178.52783216093107</v>
      </c>
      <c r="Z631">
        <f t="shared" si="510"/>
        <v>1.4721678390689306</v>
      </c>
      <c r="AC631">
        <v>1</v>
      </c>
      <c r="AD631">
        <f t="shared" si="550"/>
        <v>2337.8161704975005</v>
      </c>
      <c r="AE631">
        <f t="shared" si="551"/>
        <v>-12.118369062172059</v>
      </c>
      <c r="AF631">
        <f t="shared" si="552"/>
        <v>0.28855528490250004</v>
      </c>
      <c r="AG631">
        <f t="shared" si="553"/>
        <v>4.5085018373609476</v>
      </c>
      <c r="AH631">
        <f t="shared" si="554"/>
        <v>-192.80772903334463</v>
      </c>
      <c r="AJ631">
        <f t="shared" si="497"/>
        <v>20000</v>
      </c>
      <c r="AK631">
        <f t="shared" si="555"/>
        <v>427130.93669400003</v>
      </c>
      <c r="AL631">
        <v>6</v>
      </c>
      <c r="AM631">
        <f t="shared" si="556"/>
        <v>1058.0821213346999</v>
      </c>
      <c r="AN631">
        <f t="shared" si="557"/>
        <v>403.77831053408261</v>
      </c>
      <c r="AO631">
        <f t="shared" si="558"/>
        <v>-16.612444140557706</v>
      </c>
      <c r="AQ631">
        <f t="shared" si="559"/>
        <v>8.26446274161601E-5</v>
      </c>
      <c r="AR631">
        <f t="shared" si="560"/>
        <v>-0.90909090157776118</v>
      </c>
      <c r="AT631">
        <f t="shared" si="561"/>
        <v>-175.27937961462939</v>
      </c>
      <c r="AU631">
        <f t="shared" si="562"/>
        <v>-4.1145725230203736</v>
      </c>
      <c r="AV631">
        <f t="shared" si="511"/>
        <v>-3.1181225967636532</v>
      </c>
      <c r="AW631">
        <f t="shared" si="512"/>
        <v>392.85503541028157</v>
      </c>
      <c r="AX631">
        <f t="shared" si="513"/>
        <v>-596.94843449863924</v>
      </c>
      <c r="AY631">
        <f t="shared" si="521"/>
        <v>-0.98874414137760769</v>
      </c>
      <c r="BA631">
        <f t="shared" si="502"/>
        <v>0.24534372763034415</v>
      </c>
      <c r="BB631">
        <f t="shared" si="514"/>
        <v>-12.204500811158834</v>
      </c>
      <c r="BC631">
        <f t="shared" si="515"/>
        <v>-2.1293784553860453</v>
      </c>
      <c r="BD631">
        <f t="shared" si="503"/>
        <v>-302.00439861911701</v>
      </c>
      <c r="BF631">
        <f t="shared" si="504"/>
        <v>-83.836451975384151</v>
      </c>
      <c r="BG631">
        <f t="shared" si="505"/>
        <v>-214.49846898443303</v>
      </c>
      <c r="BH631">
        <f t="shared" si="516"/>
        <v>-34.498468984433032</v>
      </c>
      <c r="BI631">
        <f t="shared" si="517"/>
        <v>-34.498468984433032</v>
      </c>
      <c r="BJ631">
        <f t="shared" si="506"/>
        <v>0</v>
      </c>
      <c r="BK631">
        <f t="shared" si="518"/>
        <v>0</v>
      </c>
      <c r="BM631">
        <f t="shared" si="519"/>
        <v>-71.631951164225327</v>
      </c>
      <c r="BN631">
        <f t="shared" si="507"/>
        <v>-92.494070365316048</v>
      </c>
      <c r="BQ631" s="66">
        <f t="shared" si="520"/>
        <v>4.6974599891263038</v>
      </c>
    </row>
    <row r="632" spans="1:69" x14ac:dyDescent="0.15">
      <c r="A632">
        <f t="shared" si="563"/>
        <v>5600000</v>
      </c>
      <c r="B632">
        <f t="shared" si="508"/>
        <v>5600</v>
      </c>
      <c r="C632">
        <f t="shared" si="539"/>
        <v>23.244173598232848</v>
      </c>
      <c r="D632">
        <f t="shared" si="540"/>
        <v>1.5277615108495122</v>
      </c>
      <c r="F632">
        <f t="shared" si="541"/>
        <v>7.3817099498780527E-7</v>
      </c>
      <c r="G632">
        <f t="shared" si="542"/>
        <v>2.8141690654423328E-4</v>
      </c>
      <c r="H632">
        <f t="shared" si="481"/>
        <v>-3.1413112330934561</v>
      </c>
      <c r="J632">
        <f t="shared" si="482"/>
        <v>15</v>
      </c>
      <c r="M632">
        <f t="shared" si="543"/>
        <v>1.7018278793173264E-4</v>
      </c>
      <c r="N632">
        <f t="shared" si="484"/>
        <v>-1.5707963250000001</v>
      </c>
      <c r="O632">
        <f t="shared" si="544"/>
        <v>2380.3221291076125</v>
      </c>
      <c r="P632">
        <f t="shared" si="486"/>
        <v>1.5703762155766765</v>
      </c>
      <c r="Q632">
        <f t="shared" si="545"/>
        <v>1077.3204422008046</v>
      </c>
      <c r="R632">
        <f t="shared" si="488"/>
        <v>1.5698680977328372</v>
      </c>
      <c r="S632">
        <f t="shared" si="546"/>
        <v>4.5939352853564284E-2</v>
      </c>
      <c r="T632">
        <f t="shared" si="490"/>
        <v>-1.524840799989821</v>
      </c>
      <c r="U632">
        <f t="shared" si="547"/>
        <v>2.3379800027352179E-2</v>
      </c>
      <c r="V632">
        <f t="shared" si="492"/>
        <v>-1.5474143962850295</v>
      </c>
      <c r="X632">
        <f t="shared" si="548"/>
        <v>-78.370314404080801</v>
      </c>
      <c r="Y632">
        <f t="shared" si="549"/>
        <v>-178.55409976136482</v>
      </c>
      <c r="Z632">
        <f t="shared" si="510"/>
        <v>1.4459002386351756</v>
      </c>
      <c r="AC632">
        <v>1</v>
      </c>
      <c r="AD632">
        <f t="shared" si="550"/>
        <v>2380.3219190520003</v>
      </c>
      <c r="AE632">
        <f t="shared" si="551"/>
        <v>-12.563043100486466</v>
      </c>
      <c r="AF632">
        <f t="shared" si="552"/>
        <v>0.29380174462800002</v>
      </c>
      <c r="AG632">
        <f t="shared" si="553"/>
        <v>4.3490088035959156</v>
      </c>
      <c r="AH632">
        <f t="shared" si="554"/>
        <v>-189.36846380682874</v>
      </c>
      <c r="AJ632">
        <f t="shared" si="497"/>
        <v>20000</v>
      </c>
      <c r="AK632">
        <f t="shared" si="555"/>
        <v>434896.95372480003</v>
      </c>
      <c r="AL632">
        <v>7</v>
      </c>
      <c r="AM632">
        <f t="shared" si="556"/>
        <v>1077.3199780862399</v>
      </c>
      <c r="AN632">
        <f t="shared" si="557"/>
        <v>403.78768528226351</v>
      </c>
      <c r="AO632">
        <f t="shared" si="558"/>
        <v>-15.940933568809591</v>
      </c>
      <c r="AQ632">
        <f t="shared" si="559"/>
        <v>7.9719387119583961E-5</v>
      </c>
      <c r="AR632">
        <f t="shared" si="560"/>
        <v>-0.89285713573934045</v>
      </c>
      <c r="AT632">
        <f t="shared" si="561"/>
        <v>-169.07863749360766</v>
      </c>
      <c r="AU632">
        <f t="shared" si="562"/>
        <v>-3.8981398815582824</v>
      </c>
      <c r="AV632">
        <f t="shared" si="511"/>
        <v>-3.1185415485840977</v>
      </c>
      <c r="AW632">
        <f t="shared" si="512"/>
        <v>393.60446610573041</v>
      </c>
      <c r="AX632">
        <f t="shared" si="513"/>
        <v>-585.9255542982246</v>
      </c>
      <c r="AY632">
        <f t="shared" si="521"/>
        <v>-0.97927218949474915</v>
      </c>
      <c r="BA632">
        <f t="shared" si="502"/>
        <v>0.23960053659234104</v>
      </c>
      <c r="BB632">
        <f t="shared" si="514"/>
        <v>-12.410244273331337</v>
      </c>
      <c r="BC632">
        <f t="shared" si="515"/>
        <v>-2.1392693590893486</v>
      </c>
      <c r="BD632">
        <f t="shared" si="503"/>
        <v>-302.57110565753419</v>
      </c>
      <c r="BF632">
        <f t="shared" si="504"/>
        <v>-84.198997357863291</v>
      </c>
      <c r="BG632">
        <f t="shared" si="505"/>
        <v>-215.02069488225743</v>
      </c>
      <c r="BH632">
        <f t="shared" si="516"/>
        <v>-35.02069488225743</v>
      </c>
      <c r="BI632">
        <f t="shared" si="517"/>
        <v>-35.02069488225743</v>
      </c>
      <c r="BJ632">
        <f t="shared" si="506"/>
        <v>0</v>
      </c>
      <c r="BK632">
        <f t="shared" si="518"/>
        <v>0</v>
      </c>
      <c r="BM632">
        <f t="shared" si="519"/>
        <v>-71.788753084531947</v>
      </c>
      <c r="BN632">
        <f t="shared" si="507"/>
        <v>-92.449589224723283</v>
      </c>
      <c r="BQ632" s="66">
        <f t="shared" si="520"/>
        <v>4.4917165269538</v>
      </c>
    </row>
    <row r="633" spans="1:69" x14ac:dyDescent="0.15">
      <c r="A633">
        <f t="shared" si="563"/>
        <v>5700000</v>
      </c>
      <c r="B633">
        <f t="shared" si="508"/>
        <v>5700</v>
      </c>
      <c r="C633">
        <f t="shared" si="539"/>
        <v>23.658486611804509</v>
      </c>
      <c r="D633">
        <f t="shared" si="540"/>
        <v>1.5285156001418452</v>
      </c>
      <c r="F633">
        <f t="shared" si="541"/>
        <v>7.1249744015639858E-7</v>
      </c>
      <c r="G633">
        <f t="shared" si="542"/>
        <v>2.7647976087271926E-4</v>
      </c>
      <c r="H633">
        <f t="shared" si="481"/>
        <v>-3.1413161702391275</v>
      </c>
      <c r="J633">
        <f t="shared" si="482"/>
        <v>15</v>
      </c>
      <c r="M633">
        <f t="shared" si="543"/>
        <v>1.6719712498556189E-4</v>
      </c>
      <c r="N633">
        <f t="shared" si="484"/>
        <v>-1.5707963250000001</v>
      </c>
      <c r="O633">
        <f t="shared" si="544"/>
        <v>2422.8278739769266</v>
      </c>
      <c r="P633">
        <f t="shared" si="486"/>
        <v>1.5703835859480815</v>
      </c>
      <c r="Q633">
        <f t="shared" si="545"/>
        <v>1096.5582908099871</v>
      </c>
      <c r="R633">
        <f t="shared" si="488"/>
        <v>1.5698843824441149</v>
      </c>
      <c r="S633">
        <f t="shared" si="546"/>
        <v>4.5135055790898292E-2</v>
      </c>
      <c r="T633">
        <f t="shared" si="490"/>
        <v>-1.5256459322835993</v>
      </c>
      <c r="U633">
        <f t="shared" si="547"/>
        <v>2.296984644065294E-2</v>
      </c>
      <c r="V633">
        <f t="shared" si="492"/>
        <v>-1.5478244600063549</v>
      </c>
      <c r="X633">
        <f t="shared" si="548"/>
        <v>-78.677666146359769</v>
      </c>
      <c r="Y633">
        <f t="shared" si="549"/>
        <v>-178.57944677172171</v>
      </c>
      <c r="Z633">
        <f t="shared" si="510"/>
        <v>1.420553228278294</v>
      </c>
      <c r="AC633">
        <v>1</v>
      </c>
      <c r="AD633">
        <f t="shared" si="550"/>
        <v>2422.8276676065002</v>
      </c>
      <c r="AE633">
        <f t="shared" si="551"/>
        <v>-13.015729283635375</v>
      </c>
      <c r="AF633">
        <f t="shared" si="552"/>
        <v>0.29904820435349999</v>
      </c>
      <c r="AG633">
        <f t="shared" si="553"/>
        <v>4.1978303778291943</v>
      </c>
      <c r="AH633">
        <f t="shared" si="554"/>
        <v>-186.04968351750088</v>
      </c>
      <c r="AJ633">
        <f t="shared" si="497"/>
        <v>20000</v>
      </c>
      <c r="AK633">
        <f t="shared" si="555"/>
        <v>442662.97075560002</v>
      </c>
      <c r="AL633">
        <v>8</v>
      </c>
      <c r="AM633">
        <f t="shared" si="556"/>
        <v>1096.5578348377799</v>
      </c>
      <c r="AN633">
        <f t="shared" si="557"/>
        <v>403.79567817609819</v>
      </c>
      <c r="AO633">
        <f t="shared" si="558"/>
        <v>-15.292977754403662</v>
      </c>
      <c r="AQ633">
        <f t="shared" si="559"/>
        <v>7.694675225494958E-5</v>
      </c>
      <c r="AR633">
        <f t="shared" si="560"/>
        <v>-0.87719297570642529</v>
      </c>
      <c r="AT633">
        <f t="shared" si="561"/>
        <v>-163.20115250454117</v>
      </c>
      <c r="AU633">
        <f t="shared" si="562"/>
        <v>-3.6966232395435514</v>
      </c>
      <c r="AV633">
        <f t="shared" si="511"/>
        <v>-3.1189458083500456</v>
      </c>
      <c r="AW633">
        <f t="shared" si="512"/>
        <v>394.3077623305623</v>
      </c>
      <c r="AX633">
        <f t="shared" si="513"/>
        <v>-575.28801259101863</v>
      </c>
      <c r="AY633">
        <f t="shared" si="521"/>
        <v>-0.96993003643984455</v>
      </c>
      <c r="BA633">
        <f t="shared" si="502"/>
        <v>0.23405732328504017</v>
      </c>
      <c r="BB633">
        <f t="shared" si="514"/>
        <v>-12.613555318671308</v>
      </c>
      <c r="BC633">
        <f t="shared" si="515"/>
        <v>-2.149015771910201</v>
      </c>
      <c r="BD633">
        <f t="shared" si="503"/>
        <v>-303.12953397819928</v>
      </c>
      <c r="BF633">
        <f t="shared" si="504"/>
        <v>-84.556324766504943</v>
      </c>
      <c r="BG633">
        <f t="shared" si="505"/>
        <v>-215.53619994665664</v>
      </c>
      <c r="BH633">
        <f t="shared" si="516"/>
        <v>-35.536199946656637</v>
      </c>
      <c r="BI633">
        <f t="shared" si="517"/>
        <v>-35.536199946656637</v>
      </c>
      <c r="BJ633">
        <f t="shared" si="506"/>
        <v>0</v>
      </c>
      <c r="BK633">
        <f t="shared" si="518"/>
        <v>0</v>
      </c>
      <c r="BM633">
        <f t="shared" si="519"/>
        <v>-71.942769447833641</v>
      </c>
      <c r="BN633">
        <f t="shared" si="507"/>
        <v>-92.406665968457361</v>
      </c>
      <c r="BQ633" s="66">
        <f t="shared" si="520"/>
        <v>4.2884054816138297</v>
      </c>
    </row>
    <row r="634" spans="1:69" x14ac:dyDescent="0.15">
      <c r="A634">
        <f t="shared" si="563"/>
        <v>5800000</v>
      </c>
      <c r="B634">
        <f t="shared" si="508"/>
        <v>5800</v>
      </c>
      <c r="C634">
        <f t="shared" si="539"/>
        <v>24.072812615697082</v>
      </c>
      <c r="D634">
        <f t="shared" si="540"/>
        <v>1.5292437320218619</v>
      </c>
      <c r="F634">
        <f t="shared" si="541"/>
        <v>6.8814034744002997E-7</v>
      </c>
      <c r="G634">
        <f t="shared" si="542"/>
        <v>2.7171286195441633E-4</v>
      </c>
      <c r="H634">
        <f t="shared" si="481"/>
        <v>-3.1413209371380457</v>
      </c>
      <c r="J634">
        <f t="shared" si="482"/>
        <v>15</v>
      </c>
      <c r="M634">
        <f t="shared" si="543"/>
        <v>1.6431441593408669E-4</v>
      </c>
      <c r="N634">
        <f t="shared" si="484"/>
        <v>-1.5707963250000001</v>
      </c>
      <c r="O634">
        <f t="shared" si="544"/>
        <v>2465.3336189733159</v>
      </c>
      <c r="P634">
        <f t="shared" si="486"/>
        <v>1.5703907021687908</v>
      </c>
      <c r="Q634">
        <f t="shared" si="545"/>
        <v>1115.7961396999406</v>
      </c>
      <c r="R634">
        <f t="shared" si="488"/>
        <v>1.5699001056140833</v>
      </c>
      <c r="S634">
        <f t="shared" si="546"/>
        <v>4.4358409799864308E-2</v>
      </c>
      <c r="T634">
        <f t="shared" si="490"/>
        <v>-1.5264233569914172</v>
      </c>
      <c r="U634">
        <f t="shared" si="547"/>
        <v>2.2574018187231877E-2</v>
      </c>
      <c r="V634">
        <f t="shared" si="492"/>
        <v>-1.5482203909328263</v>
      </c>
      <c r="X634">
        <f t="shared" si="548"/>
        <v>-78.979676476402403</v>
      </c>
      <c r="Y634">
        <f t="shared" si="549"/>
        <v>-178.60392073630535</v>
      </c>
      <c r="Z634">
        <f t="shared" si="510"/>
        <v>1.3960792636946451</v>
      </c>
      <c r="AC634">
        <v>1</v>
      </c>
      <c r="AD634">
        <f t="shared" si="550"/>
        <v>2465.3334161610001</v>
      </c>
      <c r="AE634">
        <f t="shared" si="551"/>
        <v>-13.476427611618774</v>
      </c>
      <c r="AF634">
        <f t="shared" si="552"/>
        <v>0.30429466407900002</v>
      </c>
      <c r="AG634">
        <f t="shared" si="553"/>
        <v>4.0543986030331283</v>
      </c>
      <c r="AH634">
        <f t="shared" si="554"/>
        <v>-182.84516901019163</v>
      </c>
      <c r="AJ634">
        <f t="shared" si="497"/>
        <v>20000</v>
      </c>
      <c r="AK634">
        <f t="shared" si="555"/>
        <v>450428.98778640002</v>
      </c>
      <c r="AL634">
        <v>9</v>
      </c>
      <c r="AM634">
        <f t="shared" si="556"/>
        <v>1115.7956915893201</v>
      </c>
      <c r="AN634">
        <f t="shared" si="557"/>
        <v>403.80241421628261</v>
      </c>
      <c r="AO634">
        <f t="shared" si="558"/>
        <v>-14.667361054909904</v>
      </c>
      <c r="AQ634">
        <f t="shared" si="559"/>
        <v>7.4316289578505582E-5</v>
      </c>
      <c r="AR634">
        <f t="shared" si="560"/>
        <v>-0.86206895911066472</v>
      </c>
      <c r="AT634">
        <f t="shared" si="561"/>
        <v>-157.62484321916884</v>
      </c>
      <c r="AU634">
        <f t="shared" si="562"/>
        <v>-3.5087595580646944</v>
      </c>
      <c r="AV634">
        <f t="shared" si="511"/>
        <v>-3.1193361354574902</v>
      </c>
      <c r="AW634">
        <f t="shared" si="512"/>
        <v>394.96831669514052</v>
      </c>
      <c r="AX634">
        <f t="shared" si="513"/>
        <v>-565.0160038493533</v>
      </c>
      <c r="AY634">
        <f t="shared" si="521"/>
        <v>-0.9607155078691646</v>
      </c>
      <c r="BA634">
        <f t="shared" si="502"/>
        <v>0.22870431104981637</v>
      </c>
      <c r="BB634">
        <f t="shared" si="514"/>
        <v>-12.814512978306624</v>
      </c>
      <c r="BC634">
        <f t="shared" si="515"/>
        <v>-2.1586206275883257</v>
      </c>
      <c r="BD634">
        <f t="shared" si="503"/>
        <v>-303.67985167201692</v>
      </c>
      <c r="BF634">
        <f t="shared" si="504"/>
        <v>-84.908610643793452</v>
      </c>
      <c r="BG634">
        <f t="shared" si="505"/>
        <v>-216.04507187996242</v>
      </c>
      <c r="BH634">
        <f t="shared" si="516"/>
        <v>-36.045071879962421</v>
      </c>
      <c r="BI634">
        <f t="shared" si="517"/>
        <v>-36.045071879962421</v>
      </c>
      <c r="BJ634">
        <f t="shared" si="506"/>
        <v>0</v>
      </c>
      <c r="BK634">
        <f t="shared" si="518"/>
        <v>0</v>
      </c>
      <c r="BM634">
        <f t="shared" si="519"/>
        <v>-72.094097665486814</v>
      </c>
      <c r="BN634">
        <f t="shared" si="507"/>
        <v>-92.365220207945498</v>
      </c>
      <c r="BQ634" s="66">
        <f t="shared" si="520"/>
        <v>4.0874478219785111</v>
      </c>
    </row>
    <row r="635" spans="1:69" x14ac:dyDescent="0.15">
      <c r="A635">
        <f t="shared" si="563"/>
        <v>5900000</v>
      </c>
      <c r="B635">
        <f t="shared" si="508"/>
        <v>5900</v>
      </c>
      <c r="C635">
        <f t="shared" si="539"/>
        <v>24.487150950516455</v>
      </c>
      <c r="D635">
        <f t="shared" si="540"/>
        <v>1.5299472233454763</v>
      </c>
      <c r="F635">
        <f t="shared" si="541"/>
        <v>6.6501122586754432E-7</v>
      </c>
      <c r="G635">
        <f t="shared" si="542"/>
        <v>2.6710755315157743E-4</v>
      </c>
      <c r="H635">
        <f t="shared" si="481"/>
        <v>-3.1413255424468485</v>
      </c>
      <c r="J635">
        <f t="shared" si="482"/>
        <v>15</v>
      </c>
      <c r="M635">
        <f t="shared" si="543"/>
        <v>1.6152942583350894E-4</v>
      </c>
      <c r="N635">
        <f t="shared" si="484"/>
        <v>-1.5707963250000001</v>
      </c>
      <c r="O635">
        <f t="shared" si="544"/>
        <v>2507.8393640903196</v>
      </c>
      <c r="P635">
        <f t="shared" si="486"/>
        <v>1.5703975771617187</v>
      </c>
      <c r="Q635">
        <f t="shared" si="545"/>
        <v>1135.0339888563883</v>
      </c>
      <c r="R635">
        <f t="shared" si="488"/>
        <v>1.5699152957956604</v>
      </c>
      <c r="S635">
        <f t="shared" si="546"/>
        <v>4.3608014385516938E-2</v>
      </c>
      <c r="T635">
        <f t="shared" si="490"/>
        <v>-1.5271744793068978</v>
      </c>
      <c r="U635">
        <f t="shared" si="547"/>
        <v>2.2191597756043291E-2</v>
      </c>
      <c r="V635">
        <f t="shared" si="492"/>
        <v>-1.5486029071967831</v>
      </c>
      <c r="X635">
        <f t="shared" si="548"/>
        <v>-79.276527815300412</v>
      </c>
      <c r="Y635">
        <f t="shared" si="549"/>
        <v>-178.62756598204459</v>
      </c>
      <c r="Z635">
        <f t="shared" si="510"/>
        <v>1.3724340179554133</v>
      </c>
      <c r="AC635">
        <v>1</v>
      </c>
      <c r="AD635">
        <f t="shared" si="550"/>
        <v>2507.8391647155004</v>
      </c>
      <c r="AE635">
        <f t="shared" si="551"/>
        <v>-13.945138084436669</v>
      </c>
      <c r="AF635">
        <f t="shared" si="552"/>
        <v>0.30954112380450005</v>
      </c>
      <c r="AG635">
        <f t="shared" si="553"/>
        <v>3.918193194351657</v>
      </c>
      <c r="AH635">
        <f t="shared" si="554"/>
        <v>-179.74912170918788</v>
      </c>
      <c r="AJ635">
        <f t="shared" si="497"/>
        <v>20000</v>
      </c>
      <c r="AK635">
        <f t="shared" si="555"/>
        <v>458195.00481720001</v>
      </c>
      <c r="AL635">
        <v>10</v>
      </c>
      <c r="AM635">
        <f t="shared" si="556"/>
        <v>1135.0335483408601</v>
      </c>
      <c r="AN635">
        <f t="shared" si="557"/>
        <v>403.80800636798136</v>
      </c>
      <c r="AO635">
        <f t="shared" si="558"/>
        <v>-14.062949909852962</v>
      </c>
      <c r="AQ635">
        <f t="shared" si="559"/>
        <v>7.1818442460367399E-5</v>
      </c>
      <c r="AR635">
        <f t="shared" si="560"/>
        <v>-0.84745762103233535</v>
      </c>
      <c r="AT635">
        <f t="shared" si="561"/>
        <v>-152.32948166778758</v>
      </c>
      <c r="AU635">
        <f t="shared" si="562"/>
        <v>-3.3334119851851147</v>
      </c>
      <c r="AV635">
        <f t="shared" si="511"/>
        <v>-3.1197132378623484</v>
      </c>
      <c r="AW635">
        <f t="shared" si="512"/>
        <v>395.58922500705535</v>
      </c>
      <c r="AX635">
        <f t="shared" si="513"/>
        <v>-555.09105343620251</v>
      </c>
      <c r="AY635">
        <f t="shared" si="521"/>
        <v>-0.95162650304810803</v>
      </c>
      <c r="BA635">
        <f t="shared" si="502"/>
        <v>0.22353236634469434</v>
      </c>
      <c r="BB635">
        <f t="shared" si="514"/>
        <v>-13.013191687133556</v>
      </c>
      <c r="BC635">
        <f t="shared" si="515"/>
        <v>-2.1680867348142403</v>
      </c>
      <c r="BD635">
        <f t="shared" si="503"/>
        <v>-304.22221966509989</v>
      </c>
      <c r="BF635">
        <f t="shared" si="504"/>
        <v>-85.256021805809098</v>
      </c>
      <c r="BG635">
        <f t="shared" si="505"/>
        <v>-216.54739665399018</v>
      </c>
      <c r="BH635">
        <f t="shared" si="516"/>
        <v>-36.547396653990177</v>
      </c>
      <c r="BI635">
        <f t="shared" si="517"/>
        <v>-36.547396653990177</v>
      </c>
      <c r="BJ635">
        <f t="shared" si="506"/>
        <v>0</v>
      </c>
      <c r="BK635">
        <f t="shared" si="518"/>
        <v>0</v>
      </c>
      <c r="BM635">
        <f t="shared" si="519"/>
        <v>-72.242830118675542</v>
      </c>
      <c r="BN635">
        <f t="shared" si="507"/>
        <v>-92.32517698889032</v>
      </c>
      <c r="BQ635" s="66">
        <f t="shared" si="520"/>
        <v>3.8887691131515805</v>
      </c>
    </row>
    <row r="636" spans="1:69" x14ac:dyDescent="0.15">
      <c r="A636">
        <f t="shared" si="563"/>
        <v>6000000</v>
      </c>
      <c r="B636">
        <f t="shared" si="508"/>
        <v>6000</v>
      </c>
      <c r="C636">
        <f t="shared" si="539"/>
        <v>24.901501000736417</v>
      </c>
      <c r="D636">
        <f t="shared" si="540"/>
        <v>1.5306273034225049</v>
      </c>
      <c r="F636">
        <f t="shared" si="541"/>
        <v>6.4302889673811491E-7</v>
      </c>
      <c r="G636">
        <f t="shared" si="542"/>
        <v>2.6265575493752193E-4</v>
      </c>
      <c r="H636">
        <f t="shared" si="481"/>
        <v>-3.1413299942450625</v>
      </c>
      <c r="J636">
        <f t="shared" si="482"/>
        <v>15</v>
      </c>
      <c r="M636">
        <f t="shared" si="543"/>
        <v>1.5883726873628379E-4</v>
      </c>
      <c r="N636">
        <f t="shared" si="484"/>
        <v>-1.5707963250000001</v>
      </c>
      <c r="O636">
        <f t="shared" si="544"/>
        <v>2550.345109321906</v>
      </c>
      <c r="P636">
        <f t="shared" si="486"/>
        <v>1.5704042229882513</v>
      </c>
      <c r="Q636">
        <f t="shared" si="545"/>
        <v>1154.2718382660055</v>
      </c>
      <c r="R636">
        <f t="shared" si="488"/>
        <v>1.569929979638238</v>
      </c>
      <c r="S636">
        <f t="shared" si="546"/>
        <v>4.2882561974268457E-2</v>
      </c>
      <c r="T636">
        <f t="shared" si="490"/>
        <v>-1.5279006110413533</v>
      </c>
      <c r="U636">
        <f t="shared" si="547"/>
        <v>2.182191541114337E-2</v>
      </c>
      <c r="V636">
        <f t="shared" si="492"/>
        <v>-1.5489726790944083</v>
      </c>
      <c r="X636">
        <f t="shared" si="548"/>
        <v>-79.568393398950292</v>
      </c>
      <c r="Y636">
        <f t="shared" si="549"/>
        <v>-178.65042388602782</v>
      </c>
      <c r="Z636">
        <f t="shared" si="510"/>
        <v>1.3495761139721765</v>
      </c>
      <c r="AC636">
        <v>1</v>
      </c>
      <c r="AD636">
        <f t="shared" si="550"/>
        <v>2550.3449132700002</v>
      </c>
      <c r="AE636">
        <f t="shared" si="551"/>
        <v>-14.421860702089058</v>
      </c>
      <c r="AF636">
        <f t="shared" si="552"/>
        <v>0.31478758353000003</v>
      </c>
      <c r="AG636">
        <f t="shared" si="553"/>
        <v>3.788736817516035</v>
      </c>
      <c r="AH636">
        <f t="shared" si="554"/>
        <v>-176.7561286730033</v>
      </c>
      <c r="AJ636">
        <f t="shared" si="497"/>
        <v>20000</v>
      </c>
      <c r="AK636">
        <f t="shared" si="555"/>
        <v>465961.021848</v>
      </c>
      <c r="AL636">
        <v>11</v>
      </c>
      <c r="AM636">
        <f t="shared" si="556"/>
        <v>1154.2714050923998</v>
      </c>
      <c r="AN636">
        <f t="shared" si="557"/>
        <v>403.81255685453954</v>
      </c>
      <c r="AO636">
        <f t="shared" si="558"/>
        <v>-13.478686040355157</v>
      </c>
      <c r="AQ636">
        <f t="shared" si="559"/>
        <v>6.9444443962191359E-5</v>
      </c>
      <c r="AR636">
        <f t="shared" si="560"/>
        <v>-0.8333333275462963</v>
      </c>
      <c r="AT636">
        <f t="shared" si="561"/>
        <v>-147.29650976455355</v>
      </c>
      <c r="AU636">
        <f t="shared" si="562"/>
        <v>-3.1695553904104083</v>
      </c>
      <c r="AV636">
        <f t="shared" si="511"/>
        <v>-3.1200777763628094</v>
      </c>
      <c r="AW636">
        <f t="shared" si="512"/>
        <v>396.1733164451478</v>
      </c>
      <c r="AX636">
        <f t="shared" si="513"/>
        <v>-545.4959079482544</v>
      </c>
      <c r="AY636">
        <f t="shared" si="521"/>
        <v>-0.94266098765911976</v>
      </c>
      <c r="BA636">
        <f t="shared" si="502"/>
        <v>0.21853294513557003</v>
      </c>
      <c r="BB636">
        <f t="shared" si="514"/>
        <v>-13.209661625859306</v>
      </c>
      <c r="BC636">
        <f t="shared" si="515"/>
        <v>-2.1774167887036895</v>
      </c>
      <c r="BD636">
        <f t="shared" si="503"/>
        <v>-304.75679237620579</v>
      </c>
      <c r="BF636">
        <f t="shared" si="504"/>
        <v>-85.59871612526922</v>
      </c>
      <c r="BG636">
        <f t="shared" si="505"/>
        <v>-217.04325871615609</v>
      </c>
      <c r="BH636">
        <f t="shared" si="516"/>
        <v>-37.043258716156089</v>
      </c>
      <c r="BI636">
        <f t="shared" si="517"/>
        <v>-37.043258716156089</v>
      </c>
      <c r="BJ636">
        <f t="shared" si="506"/>
        <v>0</v>
      </c>
      <c r="BK636">
        <f t="shared" si="518"/>
        <v>0</v>
      </c>
      <c r="BM636">
        <f t="shared" si="519"/>
        <v>-72.389054499409909</v>
      </c>
      <c r="BN636">
        <f t="shared" si="507"/>
        <v>-92.286466339950337</v>
      </c>
      <c r="BQ636" s="66">
        <f t="shared" si="520"/>
        <v>3.6922991744258309</v>
      </c>
    </row>
    <row r="637" spans="1:69" x14ac:dyDescent="0.15">
      <c r="A637">
        <f t="shared" si="563"/>
        <v>6100000</v>
      </c>
      <c r="B637">
        <f t="shared" si="508"/>
        <v>6100</v>
      </c>
      <c r="C637">
        <f t="shared" si="539"/>
        <v>25.31586219111167</v>
      </c>
      <c r="D637">
        <f t="shared" si="540"/>
        <v>1.5312851211691911</v>
      </c>
      <c r="F637">
        <f t="shared" si="541"/>
        <v>6.2211878034370764E-7</v>
      </c>
      <c r="G637">
        <f t="shared" si="542"/>
        <v>2.5834991759226893E-4</v>
      </c>
      <c r="H637">
        <f t="shared" si="481"/>
        <v>-3.1413343000824079</v>
      </c>
      <c r="J637">
        <f t="shared" si="482"/>
        <v>15</v>
      </c>
      <c r="M637">
        <f t="shared" si="543"/>
        <v>1.562333790848693E-4</v>
      </c>
      <c r="N637">
        <f t="shared" si="484"/>
        <v>-1.5707963250000001</v>
      </c>
      <c r="O637">
        <f t="shared" si="544"/>
        <v>2592.8508546624407</v>
      </c>
      <c r="P637">
        <f t="shared" si="486"/>
        <v>1.5704106509188651</v>
      </c>
      <c r="Q637">
        <f t="shared" si="545"/>
        <v>1173.5096879163416</v>
      </c>
      <c r="R637">
        <f t="shared" si="488"/>
        <v>1.5699441820437094</v>
      </c>
      <c r="S637">
        <f t="shared" si="546"/>
        <v>4.2180830339939822E-2</v>
      </c>
      <c r="T637">
        <f t="shared" si="490"/>
        <v>-1.5286029782496249</v>
      </c>
      <c r="U637">
        <f t="shared" si="547"/>
        <v>2.1464345281351303E-2</v>
      </c>
      <c r="V637">
        <f t="shared" si="492"/>
        <v>-1.5493303330029531</v>
      </c>
      <c r="X637">
        <f t="shared" si="548"/>
        <v>-79.855437884333725</v>
      </c>
      <c r="Y637">
        <f t="shared" si="549"/>
        <v>-178.67253311678698</v>
      </c>
      <c r="Z637">
        <f t="shared" si="510"/>
        <v>1.3274668832130203</v>
      </c>
      <c r="AC637">
        <v>1</v>
      </c>
      <c r="AD637">
        <f t="shared" si="550"/>
        <v>2592.8506618245001</v>
      </c>
      <c r="AE637">
        <f t="shared" si="551"/>
        <v>-14.906595464575942</v>
      </c>
      <c r="AF637">
        <f t="shared" si="552"/>
        <v>0.32003404325550006</v>
      </c>
      <c r="AG637">
        <f t="shared" si="553"/>
        <v>3.6655909038863532</v>
      </c>
      <c r="AH637">
        <f t="shared" si="554"/>
        <v>-173.86113107486386</v>
      </c>
      <c r="AJ637">
        <f t="shared" si="497"/>
        <v>20000</v>
      </c>
      <c r="AK637">
        <f t="shared" si="555"/>
        <v>473727.03887880006</v>
      </c>
      <c r="AL637">
        <v>12</v>
      </c>
      <c r="AM637">
        <f t="shared" si="556"/>
        <v>1173.5092618439398</v>
      </c>
      <c r="AN637">
        <f t="shared" si="557"/>
        <v>403.81615829596353</v>
      </c>
      <c r="AO637">
        <f t="shared" si="558"/>
        <v>-12.91358031263986</v>
      </c>
      <c r="AQ637">
        <f t="shared" si="559"/>
        <v>6.7186239806596079E-5</v>
      </c>
      <c r="AR637">
        <f t="shared" si="560"/>
        <v>-0.81967212564047209</v>
      </c>
      <c r="AT637">
        <f t="shared" si="561"/>
        <v>-142.50887659712089</v>
      </c>
      <c r="AU637">
        <f t="shared" si="562"/>
        <v>-3.0162637635623484</v>
      </c>
      <c r="AV637">
        <f t="shared" si="511"/>
        <v>-3.12043036846095</v>
      </c>
      <c r="AW637">
        <f t="shared" si="512"/>
        <v>396.72318024340245</v>
      </c>
      <c r="AX637">
        <f t="shared" si="513"/>
        <v>-536.21443619749959</v>
      </c>
      <c r="AY637">
        <f t="shared" si="521"/>
        <v>-0.93381698750449027</v>
      </c>
      <c r="BA637">
        <f t="shared" si="502"/>
        <v>0.2136980446261387</v>
      </c>
      <c r="BB637">
        <f t="shared" si="514"/>
        <v>-13.403989033739034</v>
      </c>
      <c r="BC637">
        <f t="shared" si="515"/>
        <v>-2.1866133809564596</v>
      </c>
      <c r="BD637">
        <f t="shared" si="503"/>
        <v>-305.28371829879433</v>
      </c>
      <c r="BF637">
        <f t="shared" si="504"/>
        <v>-85.936843156808479</v>
      </c>
      <c r="BG637">
        <f t="shared" si="505"/>
        <v>-217.53274116443507</v>
      </c>
      <c r="BH637">
        <f t="shared" si="516"/>
        <v>-37.532741164435066</v>
      </c>
      <c r="BI637">
        <f t="shared" si="517"/>
        <v>-37.532741164435066</v>
      </c>
      <c r="BJ637">
        <f t="shared" si="506"/>
        <v>0</v>
      </c>
      <c r="BK637">
        <f t="shared" si="518"/>
        <v>0</v>
      </c>
      <c r="BM637">
        <f t="shared" si="519"/>
        <v>-72.532854123069455</v>
      </c>
      <c r="BN637">
        <f t="shared" si="507"/>
        <v>-92.249022865640782</v>
      </c>
      <c r="BQ637" s="66">
        <f t="shared" si="520"/>
        <v>3.4979717665461028</v>
      </c>
    </row>
    <row r="638" spans="1:69" x14ac:dyDescent="0.15">
      <c r="A638">
        <f t="shared" si="563"/>
        <v>6200000</v>
      </c>
      <c r="B638">
        <f t="shared" si="508"/>
        <v>6200</v>
      </c>
      <c r="C638">
        <f t="shared" si="539"/>
        <v>25.730233983437099</v>
      </c>
      <c r="D638">
        <f t="shared" si="540"/>
        <v>1.5319217515711172</v>
      </c>
      <c r="F638">
        <f t="shared" si="541"/>
        <v>6.0221226256430313E-7</v>
      </c>
      <c r="G638">
        <f t="shared" si="542"/>
        <v>2.5418297847603304E-4</v>
      </c>
      <c r="H638">
        <f t="shared" si="481"/>
        <v>-3.1413384670215243</v>
      </c>
      <c r="J638">
        <f t="shared" si="482"/>
        <v>15</v>
      </c>
      <c r="M638">
        <f t="shared" si="543"/>
        <v>1.5371348587382301E-4</v>
      </c>
      <c r="N638">
        <f t="shared" si="484"/>
        <v>-1.5707963250000001</v>
      </c>
      <c r="O638">
        <f t="shared" si="544"/>
        <v>2635.3566001066515</v>
      </c>
      <c r="P638">
        <f t="shared" si="486"/>
        <v>1.5704168714969087</v>
      </c>
      <c r="Q638">
        <f t="shared" si="545"/>
        <v>1192.7475377957487</v>
      </c>
      <c r="R638">
        <f t="shared" si="488"/>
        <v>1.5699579263073964</v>
      </c>
      <c r="S638">
        <f t="shared" si="546"/>
        <v>4.1501675758102749E-2</v>
      </c>
      <c r="T638">
        <f t="shared" si="490"/>
        <v>-1.529282728121063</v>
      </c>
      <c r="U638">
        <f t="shared" si="547"/>
        <v>2.1118301827707912E-2</v>
      </c>
      <c r="V638">
        <f t="shared" si="492"/>
        <v>-1.5496764549192921</v>
      </c>
      <c r="X638">
        <f t="shared" si="548"/>
        <v>-80.137817906602166</v>
      </c>
      <c r="Y638">
        <f t="shared" si="549"/>
        <v>-178.6939298522876</v>
      </c>
      <c r="Z638">
        <f t="shared" si="510"/>
        <v>1.3060701477124042</v>
      </c>
      <c r="AC638">
        <v>1</v>
      </c>
      <c r="AD638">
        <f t="shared" si="550"/>
        <v>2635.3564103790004</v>
      </c>
      <c r="AE638">
        <f t="shared" si="551"/>
        <v>-15.399342371897314</v>
      </c>
      <c r="AF638">
        <f t="shared" si="552"/>
        <v>0.32528050298100003</v>
      </c>
      <c r="AG638">
        <f t="shared" si="553"/>
        <v>3.5483519335417113</v>
      </c>
      <c r="AH638">
        <f t="shared" si="554"/>
        <v>-171.05939572358187</v>
      </c>
      <c r="AJ638">
        <f t="shared" si="497"/>
        <v>20000</v>
      </c>
      <c r="AK638">
        <f t="shared" si="555"/>
        <v>481493.05590960005</v>
      </c>
      <c r="AL638">
        <v>13</v>
      </c>
      <c r="AM638">
        <f t="shared" si="556"/>
        <v>1192.7471185954801</v>
      </c>
      <c r="AN638">
        <f t="shared" si="557"/>
        <v>403.81889471278402</v>
      </c>
      <c r="AO638">
        <f t="shared" si="558"/>
        <v>-12.366707191129578</v>
      </c>
      <c r="AQ638">
        <f t="shared" si="559"/>
        <v>6.5036419972447842E-5</v>
      </c>
      <c r="AR638">
        <f t="shared" si="560"/>
        <v>-0.80645160765835322</v>
      </c>
      <c r="AT638">
        <f t="shared" si="561"/>
        <v>-137.95089391424247</v>
      </c>
      <c r="AU638">
        <f t="shared" si="562"/>
        <v>-2.8726992120428512</v>
      </c>
      <c r="AV638">
        <f t="shared" si="511"/>
        <v>-3.120771591851061</v>
      </c>
      <c r="AW638">
        <f t="shared" si="512"/>
        <v>397.24118933619906</v>
      </c>
      <c r="AX638">
        <f t="shared" si="513"/>
        <v>-527.23153964945345</v>
      </c>
      <c r="AY638">
        <f t="shared" si="521"/>
        <v>-0.92509258299294783</v>
      </c>
      <c r="BA638">
        <f t="shared" si="502"/>
        <v>0.20902015971659541</v>
      </c>
      <c r="BB638">
        <f t="shared" si="514"/>
        <v>-13.596236494865595</v>
      </c>
      <c r="BC638">
        <f t="shared" si="515"/>
        <v>-2.1956790088581131</v>
      </c>
      <c r="BD638">
        <f t="shared" si="503"/>
        <v>-305.80314051678863</v>
      </c>
      <c r="BF638">
        <f t="shared" si="504"/>
        <v>-86.270544710163392</v>
      </c>
      <c r="BG638">
        <f t="shared" si="505"/>
        <v>-218.01592589527277</v>
      </c>
      <c r="BH638">
        <f t="shared" si="516"/>
        <v>-38.015925895272773</v>
      </c>
      <c r="BI638">
        <f t="shared" si="517"/>
        <v>-38.015925895272773</v>
      </c>
      <c r="BJ638">
        <f t="shared" si="506"/>
        <v>0</v>
      </c>
      <c r="BK638">
        <f t="shared" si="518"/>
        <v>0</v>
      </c>
      <c r="BM638">
        <f t="shared" si="519"/>
        <v>-72.674308215297799</v>
      </c>
      <c r="BN638">
        <f t="shared" si="507"/>
        <v>-92.212785378484142</v>
      </c>
      <c r="BQ638" s="66">
        <f t="shared" si="520"/>
        <v>3.3057243054195418</v>
      </c>
    </row>
    <row r="639" spans="1:69" x14ac:dyDescent="0.15">
      <c r="A639">
        <f t="shared" si="563"/>
        <v>6300000</v>
      </c>
      <c r="B639">
        <f t="shared" si="508"/>
        <v>6300</v>
      </c>
      <c r="C639">
        <f t="shared" si="539"/>
        <v>26.144615873614754</v>
      </c>
      <c r="D639">
        <f t="shared" si="540"/>
        <v>1.5325382015328157</v>
      </c>
      <c r="F639">
        <f t="shared" si="541"/>
        <v>5.8324613127515307E-7</v>
      </c>
      <c r="G639">
        <f t="shared" si="542"/>
        <v>2.501483233719276E-4</v>
      </c>
      <c r="H639">
        <f t="shared" si="481"/>
        <v>-3.1413425016766281</v>
      </c>
      <c r="J639">
        <f t="shared" si="482"/>
        <v>15</v>
      </c>
      <c r="M639">
        <f t="shared" si="543"/>
        <v>1.5127358927265124E-4</v>
      </c>
      <c r="N639">
        <f t="shared" si="484"/>
        <v>-1.5707963250000001</v>
      </c>
      <c r="O639">
        <f t="shared" si="544"/>
        <v>2677.8623456496016</v>
      </c>
      <c r="P639">
        <f t="shared" si="486"/>
        <v>1.5704228945963123</v>
      </c>
      <c r="Q639">
        <f t="shared" si="545"/>
        <v>1211.9853878933184</v>
      </c>
      <c r="R639">
        <f t="shared" si="488"/>
        <v>1.5699712342455538</v>
      </c>
      <c r="S639">
        <f t="shared" si="546"/>
        <v>4.0844026808368565E-2</v>
      </c>
      <c r="T639">
        <f t="shared" si="490"/>
        <v>-1.5299409352169138</v>
      </c>
      <c r="U639">
        <f t="shared" si="547"/>
        <v>2.078323664683163E-2</v>
      </c>
      <c r="V639">
        <f t="shared" si="492"/>
        <v>-1.5500115936618284</v>
      </c>
      <c r="X639">
        <f t="shared" si="548"/>
        <v>-80.415682591678333</v>
      </c>
      <c r="Y639">
        <f t="shared" si="549"/>
        <v>-178.71464797720475</v>
      </c>
      <c r="Z639">
        <f t="shared" si="510"/>
        <v>1.2853520227952515</v>
      </c>
      <c r="AC639">
        <v>1</v>
      </c>
      <c r="AD639">
        <f t="shared" si="550"/>
        <v>2677.8621589335003</v>
      </c>
      <c r="AE639">
        <f t="shared" si="551"/>
        <v>-15.900101424053185</v>
      </c>
      <c r="AF639">
        <f t="shared" si="552"/>
        <v>0.3305269627065</v>
      </c>
      <c r="AG639">
        <f t="shared" si="553"/>
        <v>3.4366481275443945</v>
      </c>
      <c r="AH639">
        <f t="shared" si="554"/>
        <v>-168.34648928822196</v>
      </c>
      <c r="AJ639">
        <f t="shared" si="497"/>
        <v>20000</v>
      </c>
      <c r="AK639">
        <f t="shared" si="555"/>
        <v>489259.07294040004</v>
      </c>
      <c r="AL639">
        <v>14</v>
      </c>
      <c r="AM639">
        <f t="shared" si="556"/>
        <v>1211.9849753470201</v>
      </c>
      <c r="AN639">
        <f t="shared" si="557"/>
        <v>403.82084241291273</v>
      </c>
      <c r="AO639">
        <f t="shared" si="558"/>
        <v>-11.837199716202321</v>
      </c>
      <c r="AQ639">
        <f t="shared" si="559"/>
        <v>6.2988157829502655E-5</v>
      </c>
      <c r="AR639">
        <f t="shared" si="560"/>
        <v>-0.79365078865173355</v>
      </c>
      <c r="AT639">
        <f t="shared" si="561"/>
        <v>-133.60810752221332</v>
      </c>
      <c r="AU639">
        <f t="shared" si="562"/>
        <v>-2.7381023319814415</v>
      </c>
      <c r="AV639">
        <f t="shared" si="511"/>
        <v>-3.1211019875761106</v>
      </c>
      <c r="AW639">
        <f t="shared" si="512"/>
        <v>397.72952135198466</v>
      </c>
      <c r="AX639">
        <f t="shared" si="513"/>
        <v>-518.53307128345875</v>
      </c>
      <c r="AY639">
        <f t="shared" si="521"/>
        <v>-0.91648590431317389</v>
      </c>
      <c r="BA639">
        <f t="shared" si="502"/>
        <v>0.20449224365927787</v>
      </c>
      <c r="BB639">
        <f t="shared" si="514"/>
        <v>-13.786463200551706</v>
      </c>
      <c r="BC639">
        <f t="shared" si="515"/>
        <v>-2.2046160832629367</v>
      </c>
      <c r="BD639">
        <f t="shared" si="503"/>
        <v>-306.31519716196453</v>
      </c>
      <c r="BF639">
        <f t="shared" si="504"/>
        <v>-86.599955376288761</v>
      </c>
      <c r="BG639">
        <f t="shared" si="505"/>
        <v>-218.49289372803145</v>
      </c>
      <c r="BH639">
        <f t="shared" si="516"/>
        <v>-38.492893728031447</v>
      </c>
      <c r="BI639">
        <f t="shared" si="517"/>
        <v>-38.492893728031447</v>
      </c>
      <c r="BJ639">
        <f t="shared" si="506"/>
        <v>0</v>
      </c>
      <c r="BK639">
        <f t="shared" si="518"/>
        <v>0</v>
      </c>
      <c r="BM639">
        <f t="shared" si="519"/>
        <v>-72.813492175737053</v>
      </c>
      <c r="BN639">
        <f t="shared" si="507"/>
        <v>-92.17769656606697</v>
      </c>
      <c r="BQ639" s="66">
        <f t="shared" si="520"/>
        <v>3.1154975997334304</v>
      </c>
    </row>
    <row r="640" spans="1:69" x14ac:dyDescent="0.15">
      <c r="A640">
        <f t="shared" si="563"/>
        <v>6400000</v>
      </c>
      <c r="B640">
        <f t="shared" si="508"/>
        <v>6400</v>
      </c>
      <c r="C640">
        <f t="shared" si="539"/>
        <v>26.559007388995145</v>
      </c>
      <c r="D640">
        <f t="shared" si="540"/>
        <v>1.5331354151808843</v>
      </c>
      <c r="F640">
        <f t="shared" si="541"/>
        <v>5.6516207390885943E-7</v>
      </c>
      <c r="G640">
        <f t="shared" si="542"/>
        <v>2.4623975145280416E-4</v>
      </c>
      <c r="H640">
        <f t="shared" si="481"/>
        <v>-3.1413464102485475</v>
      </c>
      <c r="J640">
        <f t="shared" si="482"/>
        <v>15</v>
      </c>
      <c r="M640">
        <f t="shared" si="543"/>
        <v>1.4890993944026605E-4</v>
      </c>
      <c r="N640">
        <f t="shared" si="484"/>
        <v>-1.5707963250000001</v>
      </c>
      <c r="O640">
        <f t="shared" si="544"/>
        <v>2720.3680912866625</v>
      </c>
      <c r="P640">
        <f t="shared" si="486"/>
        <v>1.5704287294738855</v>
      </c>
      <c r="Q640">
        <f t="shared" si="545"/>
        <v>1231.2232381988247</v>
      </c>
      <c r="R640">
        <f t="shared" si="488"/>
        <v>1.5699841263109227</v>
      </c>
      <c r="S640">
        <f t="shared" si="546"/>
        <v>4.0206878754243495E-2</v>
      </c>
      <c r="T640">
        <f t="shared" si="490"/>
        <v>-1.5305786071252707</v>
      </c>
      <c r="U640">
        <f t="shared" si="547"/>
        <v>2.0458635573498102E-2</v>
      </c>
      <c r="V640">
        <f t="shared" si="492"/>
        <v>-1.5503362637725293</v>
      </c>
      <c r="X640">
        <f t="shared" si="548"/>
        <v>-80.689174028568516</v>
      </c>
      <c r="Y640">
        <f t="shared" si="549"/>
        <v>-178.73471926174705</v>
      </c>
      <c r="Z640">
        <f t="shared" si="510"/>
        <v>1.2652807382529545</v>
      </c>
      <c r="AC640">
        <v>1</v>
      </c>
      <c r="AD640">
        <f t="shared" si="550"/>
        <v>2720.3679074880006</v>
      </c>
      <c r="AE640">
        <f t="shared" si="551"/>
        <v>-16.40887262104355</v>
      </c>
      <c r="AF640">
        <f t="shared" si="552"/>
        <v>0.33577342243200003</v>
      </c>
      <c r="AG640">
        <f t="shared" si="553"/>
        <v>3.3301364987046407</v>
      </c>
      <c r="AH640">
        <f t="shared" si="554"/>
        <v>-165.71825493186924</v>
      </c>
      <c r="AJ640">
        <f t="shared" si="497"/>
        <v>20000</v>
      </c>
      <c r="AK640">
        <f t="shared" si="555"/>
        <v>497025.08997120004</v>
      </c>
      <c r="AL640">
        <v>15</v>
      </c>
      <c r="AM640">
        <f t="shared" si="556"/>
        <v>1231.22283209856</v>
      </c>
      <c r="AN640">
        <f t="shared" si="557"/>
        <v>403.82207077657966</v>
      </c>
      <c r="AO640">
        <f t="shared" si="558"/>
        <v>-11.324244949703132</v>
      </c>
      <c r="AQ640">
        <f t="shared" si="559"/>
        <v>6.1035155877470973E-5</v>
      </c>
      <c r="AR640">
        <f t="shared" si="560"/>
        <v>-0.78124999523162841</v>
      </c>
      <c r="AT640">
        <f t="shared" si="561"/>
        <v>-129.46718261991634</v>
      </c>
      <c r="AU640">
        <f t="shared" si="562"/>
        <v>-2.6117837632551817</v>
      </c>
      <c r="AV640">
        <f t="shared" si="511"/>
        <v>-3.121422062888596</v>
      </c>
      <c r="AW640">
        <f t="shared" si="512"/>
        <v>398.19017728802839</v>
      </c>
      <c r="AX640">
        <f t="shared" si="513"/>
        <v>-510.10576196754994</v>
      </c>
      <c r="AY640">
        <f t="shared" si="521"/>
        <v>-0.90799512720961506</v>
      </c>
      <c r="BA640">
        <f t="shared" si="502"/>
        <v>0.20010767244647198</v>
      </c>
      <c r="BB640">
        <f t="shared" si="514"/>
        <v>-13.974725190065813</v>
      </c>
      <c r="BC640">
        <f t="shared" si="515"/>
        <v>-2.2134269356789811</v>
      </c>
      <c r="BD640">
        <f t="shared" si="503"/>
        <v>-306.82002181989333</v>
      </c>
      <c r="BF640">
        <f t="shared" si="504"/>
        <v>-86.925203010878306</v>
      </c>
      <c r="BG640">
        <f t="shared" si="505"/>
        <v>-218.96372450909442</v>
      </c>
      <c r="BH640">
        <f t="shared" si="516"/>
        <v>-38.963724509094419</v>
      </c>
      <c r="BI640">
        <f t="shared" si="517"/>
        <v>-38.963724509094419</v>
      </c>
      <c r="BJ640">
        <f t="shared" si="506"/>
        <v>0</v>
      </c>
      <c r="BK640">
        <f t="shared" si="518"/>
        <v>0</v>
      </c>
      <c r="BM640">
        <f t="shared" si="519"/>
        <v>-72.95047782081248</v>
      </c>
      <c r="BN640">
        <f t="shared" si="507"/>
        <v>-92.143702689201092</v>
      </c>
      <c r="BQ640" s="66">
        <f t="shared" si="520"/>
        <v>2.9272356102193244</v>
      </c>
    </row>
    <row r="641" spans="1:69" x14ac:dyDescent="0.15">
      <c r="A641">
        <f t="shared" si="563"/>
        <v>6500000</v>
      </c>
      <c r="B641">
        <f t="shared" si="508"/>
        <v>6500</v>
      </c>
      <c r="C641">
        <f t="shared" si="539"/>
        <v>26.973408085963335</v>
      </c>
      <c r="D641">
        <f t="shared" si="540"/>
        <v>1.5337142786792346</v>
      </c>
      <c r="F641">
        <f t="shared" si="541"/>
        <v>5.4790622870437112E-7</v>
      </c>
      <c r="G641">
        <f t="shared" si="542"/>
        <v>2.4245144348193558E-4</v>
      </c>
      <c r="H641">
        <f t="shared" si="481"/>
        <v>-3.1413501985565184</v>
      </c>
      <c r="J641">
        <f t="shared" si="482"/>
        <v>15</v>
      </c>
      <c r="M641">
        <f t="shared" si="543"/>
        <v>1.466190172950312E-4</v>
      </c>
      <c r="N641">
        <f t="shared" si="484"/>
        <v>-1.5707963250000001</v>
      </c>
      <c r="O641">
        <f t="shared" si="544"/>
        <v>2762.8738370134911</v>
      </c>
      <c r="P641">
        <f t="shared" si="486"/>
        <v>1.5704343848167879</v>
      </c>
      <c r="Q641">
        <f t="shared" si="545"/>
        <v>1250.4610887026702</v>
      </c>
      <c r="R641">
        <f t="shared" si="488"/>
        <v>1.5699966216976149</v>
      </c>
      <c r="S641">
        <f t="shared" si="546"/>
        <v>3.9589288438766593E-2</v>
      </c>
      <c r="T641">
        <f t="shared" si="490"/>
        <v>-1.5311966895960365</v>
      </c>
      <c r="U641">
        <f t="shared" si="547"/>
        <v>2.0144016050274927E-2</v>
      </c>
      <c r="V641">
        <f t="shared" si="492"/>
        <v>-1.5506509481513477</v>
      </c>
      <c r="X641">
        <f t="shared" si="548"/>
        <v>-80.958427705125587</v>
      </c>
      <c r="Y641">
        <f t="shared" si="549"/>
        <v>-178.75417352400785</v>
      </c>
      <c r="Z641">
        <f t="shared" si="510"/>
        <v>1.2458264759921462</v>
      </c>
      <c r="AC641">
        <v>1</v>
      </c>
      <c r="AD641">
        <f t="shared" si="550"/>
        <v>2762.8736560425004</v>
      </c>
      <c r="AE641">
        <f t="shared" si="551"/>
        <v>-16.925655962868408</v>
      </c>
      <c r="AF641">
        <f t="shared" si="552"/>
        <v>0.34101988215750006</v>
      </c>
      <c r="AG641">
        <f t="shared" si="553"/>
        <v>3.2285002171237589</v>
      </c>
      <c r="AH641">
        <f t="shared" si="554"/>
        <v>-163.1707910959376</v>
      </c>
      <c r="AJ641">
        <f t="shared" si="497"/>
        <v>20000</v>
      </c>
      <c r="AK641">
        <f t="shared" si="555"/>
        <v>504791.10700200003</v>
      </c>
      <c r="AL641">
        <v>16</v>
      </c>
      <c r="AM641">
        <f t="shared" si="556"/>
        <v>1250.4606888501</v>
      </c>
      <c r="AN641">
        <f t="shared" si="557"/>
        <v>403.82264295230863</v>
      </c>
      <c r="AO641">
        <f t="shared" si="558"/>
        <v>-10.827079838241954</v>
      </c>
      <c r="AQ641">
        <f t="shared" si="559"/>
        <v>5.9171597283008303E-5</v>
      </c>
      <c r="AR641">
        <f t="shared" si="560"/>
        <v>-0.76923076467910789</v>
      </c>
      <c r="AT641">
        <f t="shared" si="561"/>
        <v>-125.51580137250838</v>
      </c>
      <c r="AU641">
        <f t="shared" si="562"/>
        <v>-2.4931167671238534</v>
      </c>
      <c r="AV641">
        <f t="shared" si="511"/>
        <v>-3.1217322938475816</v>
      </c>
      <c r="AW641">
        <f t="shared" si="512"/>
        <v>398.62499815286867</v>
      </c>
      <c r="AX641">
        <f t="shared" si="513"/>
        <v>-501.93715355015985</v>
      </c>
      <c r="AY641">
        <f t="shared" si="521"/>
        <v>-0.89961846928655953</v>
      </c>
      <c r="BA641">
        <f t="shared" si="502"/>
        <v>0.1958602125233026</v>
      </c>
      <c r="BB641">
        <f t="shared" si="514"/>
        <v>-14.161075571739346</v>
      </c>
      <c r="BC641">
        <f t="shared" si="515"/>
        <v>-2.2221138245610219</v>
      </c>
      <c r="BD641">
        <f t="shared" si="503"/>
        <v>-307.31774389050213</v>
      </c>
      <c r="BF641">
        <f t="shared" si="504"/>
        <v>-87.246409179275091</v>
      </c>
      <c r="BG641">
        <f t="shared" si="505"/>
        <v>-219.42849719835414</v>
      </c>
      <c r="BH641">
        <f t="shared" si="516"/>
        <v>-39.428497198354137</v>
      </c>
      <c r="BI641">
        <f t="shared" si="517"/>
        <v>-39.428497198354137</v>
      </c>
      <c r="BJ641">
        <f t="shared" si="506"/>
        <v>0</v>
      </c>
      <c r="BK641">
        <f t="shared" si="518"/>
        <v>0</v>
      </c>
      <c r="BM641">
        <f t="shared" si="519"/>
        <v>-73.08533360753573</v>
      </c>
      <c r="BN641">
        <f t="shared" si="507"/>
        <v>-92.110753307852022</v>
      </c>
      <c r="BQ641" s="66">
        <f t="shared" si="520"/>
        <v>2.7408852285457899</v>
      </c>
    </row>
    <row r="642" spans="1:69" x14ac:dyDescent="0.15">
      <c r="A642">
        <f t="shared" si="563"/>
        <v>6600000</v>
      </c>
      <c r="B642">
        <f t="shared" si="508"/>
        <v>6600</v>
      </c>
      <c r="C642">
        <f t="shared" si="539"/>
        <v>27.3878175477439</v>
      </c>
      <c r="D642">
        <f t="shared" si="540"/>
        <v>1.5342756246080194</v>
      </c>
      <c r="F642">
        <f t="shared" si="541"/>
        <v>5.3142878318547165E-7</v>
      </c>
      <c r="G642">
        <f t="shared" si="542"/>
        <v>2.387779329045565E-4</v>
      </c>
      <c r="H642">
        <f t="shared" si="481"/>
        <v>-3.1413538720670955</v>
      </c>
      <c r="J642">
        <f t="shared" si="482"/>
        <v>15</v>
      </c>
      <c r="M642">
        <f t="shared" si="543"/>
        <v>1.4439751703298527E-4</v>
      </c>
      <c r="N642">
        <f t="shared" si="484"/>
        <v>-1.5707963250000001</v>
      </c>
      <c r="O642">
        <f t="shared" si="544"/>
        <v>2805.3795828260068</v>
      </c>
      <c r="P642">
        <f t="shared" si="486"/>
        <v>1.5704398687856851</v>
      </c>
      <c r="Q642">
        <f t="shared" si="545"/>
        <v>1269.6989393958399</v>
      </c>
      <c r="R642">
        <f t="shared" si="488"/>
        <v>1.5700087384364638</v>
      </c>
      <c r="S642">
        <f t="shared" si="546"/>
        <v>3.8990369641580022E-2</v>
      </c>
      <c r="T642">
        <f t="shared" si="490"/>
        <v>-1.5317960712108094</v>
      </c>
      <c r="U642">
        <f t="shared" si="547"/>
        <v>1.9838924735934658E-2</v>
      </c>
      <c r="V642">
        <f t="shared" si="492"/>
        <v>-1.5509561004513817</v>
      </c>
      <c r="X642">
        <f t="shared" si="548"/>
        <v>-81.223572910604787</v>
      </c>
      <c r="Y642">
        <f t="shared" si="549"/>
        <v>-178.77303877758985</v>
      </c>
      <c r="Z642">
        <f t="shared" si="510"/>
        <v>1.2269612224101536</v>
      </c>
      <c r="AC642">
        <v>1</v>
      </c>
      <c r="AD642">
        <f t="shared" si="550"/>
        <v>2805.3794045970003</v>
      </c>
      <c r="AE642">
        <f t="shared" si="551"/>
        <v>-17.450451449527762</v>
      </c>
      <c r="AF642">
        <f t="shared" si="552"/>
        <v>0.34626634188300004</v>
      </c>
      <c r="AG642">
        <f t="shared" si="553"/>
        <v>3.1314462527013713</v>
      </c>
      <c r="AH642">
        <f t="shared" si="554"/>
        <v>-160.70043220768153</v>
      </c>
      <c r="AJ642">
        <f t="shared" si="497"/>
        <v>20000</v>
      </c>
      <c r="AK642">
        <f t="shared" si="555"/>
        <v>512557.12403280003</v>
      </c>
      <c r="AL642">
        <v>17</v>
      </c>
      <c r="AM642">
        <f t="shared" si="556"/>
        <v>1269.6985456016398</v>
      </c>
      <c r="AN642">
        <f t="shared" si="557"/>
        <v>403.82261647507795</v>
      </c>
      <c r="AO642">
        <f t="shared" si="558"/>
        <v>-10.344987450308309</v>
      </c>
      <c r="AQ642">
        <f t="shared" si="559"/>
        <v>5.7392102517262957E-5</v>
      </c>
      <c r="AR642">
        <f t="shared" si="560"/>
        <v>-0.75757575322787107</v>
      </c>
      <c r="AT642">
        <f t="shared" si="561"/>
        <v>-121.7425712534944</v>
      </c>
      <c r="AU642">
        <f t="shared" si="562"/>
        <v>-2.3815306892626675</v>
      </c>
      <c r="AV642">
        <f t="shared" si="511"/>
        <v>-3.122033127679877</v>
      </c>
      <c r="AW642">
        <f t="shared" si="512"/>
        <v>399.03567982395833</v>
      </c>
      <c r="AX642">
        <f t="shared" si="513"/>
        <v>-494.01553796605594</v>
      </c>
      <c r="AY642">
        <f t="shared" si="521"/>
        <v>-0.8913541867756215</v>
      </c>
      <c r="BA642">
        <f t="shared" si="502"/>
        <v>0.19174399146841994</v>
      </c>
      <c r="BB642">
        <f t="shared" si="514"/>
        <v>-14.345564726249211</v>
      </c>
      <c r="BC642">
        <f t="shared" si="515"/>
        <v>-2.2306789409042556</v>
      </c>
      <c r="BD642">
        <f t="shared" si="503"/>
        <v>-307.80848890856873</v>
      </c>
      <c r="BF642">
        <f t="shared" si="504"/>
        <v>-87.563689566331377</v>
      </c>
      <c r="BG642">
        <f t="shared" si="505"/>
        <v>-219.88728994047005</v>
      </c>
      <c r="BH642">
        <f t="shared" si="516"/>
        <v>-39.887289940470055</v>
      </c>
      <c r="BI642">
        <f t="shared" si="517"/>
        <v>-39.887289940470055</v>
      </c>
      <c r="BJ642">
        <f t="shared" si="506"/>
        <v>0</v>
      </c>
      <c r="BK642">
        <f t="shared" si="518"/>
        <v>0</v>
      </c>
      <c r="BM642">
        <f t="shared" si="519"/>
        <v>-73.218124840082169</v>
      </c>
      <c r="BN642">
        <f t="shared" si="507"/>
        <v>-92.078801031901349</v>
      </c>
      <c r="BQ642" s="66">
        <f t="shared" si="520"/>
        <v>2.5563960740359244</v>
      </c>
    </row>
    <row r="643" spans="1:69" x14ac:dyDescent="0.15">
      <c r="A643">
        <f t="shared" si="563"/>
        <v>6700000</v>
      </c>
      <c r="B643">
        <f t="shared" si="508"/>
        <v>6700</v>
      </c>
      <c r="C643">
        <f t="shared" si="539"/>
        <v>27.802235382402049</v>
      </c>
      <c r="D643">
        <f t="shared" si="540"/>
        <v>1.5348202359516592</v>
      </c>
      <c r="F643">
        <f t="shared" si="541"/>
        <v>5.1568361427216371E-7</v>
      </c>
      <c r="G643">
        <f t="shared" si="542"/>
        <v>2.3521407952823098E-4</v>
      </c>
      <c r="H643">
        <f t="shared" si="481"/>
        <v>-3.1413574359204719</v>
      </c>
      <c r="J643">
        <f t="shared" si="482"/>
        <v>15</v>
      </c>
      <c r="M643">
        <f t="shared" si="543"/>
        <v>1.4224233021159743E-4</v>
      </c>
      <c r="N643">
        <f t="shared" si="484"/>
        <v>-1.5707963250000001</v>
      </c>
      <c r="O643">
        <f t="shared" si="544"/>
        <v>2847.8853287203724</v>
      </c>
      <c r="P643">
        <f t="shared" si="486"/>
        <v>1.5704451890540385</v>
      </c>
      <c r="Q643">
        <f t="shared" si="545"/>
        <v>1288.9367902698561</v>
      </c>
      <c r="R643">
        <f t="shared" si="488"/>
        <v>1.5700204934818369</v>
      </c>
      <c r="S643">
        <f t="shared" si="546"/>
        <v>3.840928884952502E-2</v>
      </c>
      <c r="T643">
        <f t="shared" si="490"/>
        <v>-1.5323775876360808</v>
      </c>
      <c r="U643">
        <f t="shared" si="547"/>
        <v>1.9542935327739475E-2</v>
      </c>
      <c r="V643">
        <f t="shared" si="492"/>
        <v>-1.5512521472597414</v>
      </c>
      <c r="X643">
        <f t="shared" si="548"/>
        <v>-81.484733108001691</v>
      </c>
      <c r="Y643">
        <f t="shared" si="549"/>
        <v>-178.79134136603503</v>
      </c>
      <c r="Z643">
        <f t="shared" si="510"/>
        <v>1.2086586339649728</v>
      </c>
      <c r="AC643">
        <v>1</v>
      </c>
      <c r="AD643">
        <f t="shared" si="550"/>
        <v>2847.8851531515006</v>
      </c>
      <c r="AE643">
        <f t="shared" si="551"/>
        <v>-17.983259081021608</v>
      </c>
      <c r="AF643">
        <f t="shared" si="552"/>
        <v>0.35151280160850001</v>
      </c>
      <c r="AG643">
        <f t="shared" si="553"/>
        <v>3.0387032618265941</v>
      </c>
      <c r="AH643">
        <f t="shared" si="554"/>
        <v>-158.30373111062107</v>
      </c>
      <c r="AJ643">
        <f t="shared" si="497"/>
        <v>20000</v>
      </c>
      <c r="AK643">
        <f t="shared" si="555"/>
        <v>520323.14106360002</v>
      </c>
      <c r="AL643">
        <v>18</v>
      </c>
      <c r="AM643">
        <f t="shared" si="556"/>
        <v>1288.93640235318</v>
      </c>
      <c r="AN643">
        <f t="shared" si="557"/>
        <v>403.822043816286</v>
      </c>
      <c r="AO643">
        <f t="shared" si="558"/>
        <v>-9.8772935484355955</v>
      </c>
      <c r="AQ643">
        <f t="shared" si="559"/>
        <v>5.5691690489576241E-5</v>
      </c>
      <c r="AR643">
        <f t="shared" si="560"/>
        <v>-0.7462686525603216</v>
      </c>
      <c r="AT643">
        <f t="shared" si="561"/>
        <v>-118.1369428806731</v>
      </c>
      <c r="AU643">
        <f t="shared" si="562"/>
        <v>-2.2765051911303442</v>
      </c>
      <c r="AV643">
        <f t="shared" si="511"/>
        <v>-3.1223249849299628</v>
      </c>
      <c r="AW643">
        <f t="shared" si="512"/>
        <v>399.42378633474021</v>
      </c>
      <c r="AX643">
        <f t="shared" si="513"/>
        <v>-486.32990173646829</v>
      </c>
      <c r="AY643">
        <f t="shared" si="521"/>
        <v>-0.88320057170975175</v>
      </c>
      <c r="BA643">
        <f t="shared" si="502"/>
        <v>0.18775347132824777</v>
      </c>
      <c r="BB643">
        <f t="shared" si="514"/>
        <v>-14.528240493691202</v>
      </c>
      <c r="BC643">
        <f t="shared" si="515"/>
        <v>-2.2391244132202113</v>
      </c>
      <c r="BD643">
        <f t="shared" si="503"/>
        <v>-308.29237882882046</v>
      </c>
      <c r="BF643">
        <f t="shared" si="504"/>
        <v>-87.877154354402052</v>
      </c>
      <c r="BG643">
        <f t="shared" si="505"/>
        <v>-220.34018012297813</v>
      </c>
      <c r="BH643">
        <f t="shared" si="516"/>
        <v>-40.340180122978126</v>
      </c>
      <c r="BI643">
        <f t="shared" si="517"/>
        <v>-40.340180122978126</v>
      </c>
      <c r="BJ643">
        <f t="shared" si="506"/>
        <v>0</v>
      </c>
      <c r="BK643">
        <f t="shared" si="518"/>
        <v>0</v>
      </c>
      <c r="BM643">
        <f t="shared" si="519"/>
        <v>-73.348913860710837</v>
      </c>
      <c r="BN643">
        <f t="shared" si="507"/>
        <v>-92.047801294157694</v>
      </c>
      <c r="BQ643" s="66">
        <f t="shared" si="520"/>
        <v>2.3737203065939343</v>
      </c>
    </row>
    <row r="644" spans="1:69" x14ac:dyDescent="0.15">
      <c r="A644">
        <f t="shared" si="563"/>
        <v>6800000</v>
      </c>
      <c r="B644">
        <f t="shared" si="508"/>
        <v>6800</v>
      </c>
      <c r="C644">
        <f t="shared" si="539"/>
        <v>28.216661221020665</v>
      </c>
      <c r="D644">
        <f t="shared" si="540"/>
        <v>1.5353488497360657</v>
      </c>
      <c r="F644">
        <f t="shared" si="541"/>
        <v>5.0062796516353107E-7</v>
      </c>
      <c r="G644">
        <f t="shared" si="542"/>
        <v>2.3175504552554904E-4</v>
      </c>
      <c r="H644">
        <f t="shared" si="481"/>
        <v>-3.1413608949544747</v>
      </c>
      <c r="J644">
        <f t="shared" si="482"/>
        <v>15</v>
      </c>
      <c r="M644">
        <f t="shared" si="543"/>
        <v>1.4015053123789747E-4</v>
      </c>
      <c r="N644">
        <f t="shared" si="484"/>
        <v>-1.5707963250000001</v>
      </c>
      <c r="O644">
        <f t="shared" si="544"/>
        <v>2890.3910746929773</v>
      </c>
      <c r="P644">
        <f t="shared" si="486"/>
        <v>1.5704503528439302</v>
      </c>
      <c r="Q644">
        <f t="shared" si="545"/>
        <v>1308.1746413167409</v>
      </c>
      <c r="R644">
        <f t="shared" si="488"/>
        <v>1.5700319027907865</v>
      </c>
      <c r="S644">
        <f t="shared" si="546"/>
        <v>3.784526139845356E-2</v>
      </c>
      <c r="T644">
        <f t="shared" si="490"/>
        <v>-1.5329420255024673</v>
      </c>
      <c r="U644">
        <f t="shared" si="547"/>
        <v>1.9255646575615779E-2</v>
      </c>
      <c r="V644">
        <f t="shared" si="492"/>
        <v>-1.551539490086163</v>
      </c>
      <c r="X644">
        <f t="shared" si="548"/>
        <v>-81.742026278854098</v>
      </c>
      <c r="Y644">
        <f t="shared" si="549"/>
        <v>-178.80910608541751</v>
      </c>
      <c r="Z644">
        <f t="shared" si="510"/>
        <v>1.1908939145824888</v>
      </c>
      <c r="AC644">
        <v>1</v>
      </c>
      <c r="AD644">
        <f t="shared" si="550"/>
        <v>2890.3909017060005</v>
      </c>
      <c r="AE644">
        <f t="shared" si="551"/>
        <v>-18.524078857349945</v>
      </c>
      <c r="AF644">
        <f t="shared" si="552"/>
        <v>0.35675926133400004</v>
      </c>
      <c r="AG644">
        <f t="shared" si="553"/>
        <v>2.9500196897734035</v>
      </c>
      <c r="AH644">
        <f t="shared" si="554"/>
        <v>-155.97744304106817</v>
      </c>
      <c r="AJ644">
        <f t="shared" si="497"/>
        <v>20000</v>
      </c>
      <c r="AK644">
        <f t="shared" si="555"/>
        <v>528089.15809440007</v>
      </c>
      <c r="AL644">
        <v>19</v>
      </c>
      <c r="AM644">
        <f t="shared" si="556"/>
        <v>1308.17425910472</v>
      </c>
      <c r="AN644">
        <f t="shared" si="557"/>
        <v>403.8209728738388</v>
      </c>
      <c r="AO644">
        <f t="shared" si="558"/>
        <v>-9.4233634621687266</v>
      </c>
      <c r="AQ644">
        <f t="shared" si="559"/>
        <v>5.4065743652326213E-5</v>
      </c>
      <c r="AR644">
        <f t="shared" si="560"/>
        <v>-0.73529411367163655</v>
      </c>
      <c r="AT644">
        <f t="shared" si="561"/>
        <v>-114.68913623864208</v>
      </c>
      <c r="AU644">
        <f t="shared" si="562"/>
        <v>-2.1775651495568145</v>
      </c>
      <c r="AV644">
        <f t="shared" si="511"/>
        <v>-3.1226082614203938</v>
      </c>
      <c r="AW644">
        <f t="shared" si="512"/>
        <v>399.79076177699648</v>
      </c>
      <c r="AX644">
        <f t="shared" si="513"/>
        <v>-478.86987531520845</v>
      </c>
      <c r="AY644">
        <f t="shared" si="521"/>
        <v>-0.87515594945382513</v>
      </c>
      <c r="BA644">
        <f t="shared" si="502"/>
        <v>0.18388342432787644</v>
      </c>
      <c r="BB644">
        <f t="shared" si="514"/>
        <v>-14.709148345894461</v>
      </c>
      <c r="BC644">
        <f t="shared" si="515"/>
        <v>-2.2474523119665686</v>
      </c>
      <c r="BD644">
        <f t="shared" si="503"/>
        <v>-308.76953227974428</v>
      </c>
      <c r="BF644">
        <f t="shared" si="504"/>
        <v>-88.186908572326374</v>
      </c>
      <c r="BG644">
        <f t="shared" si="505"/>
        <v>-220.78724442307816</v>
      </c>
      <c r="BH644">
        <f t="shared" si="516"/>
        <v>-40.787244423078164</v>
      </c>
      <c r="BI644">
        <f t="shared" si="517"/>
        <v>-40.787244423078164</v>
      </c>
      <c r="BJ644">
        <f t="shared" si="506"/>
        <v>0</v>
      </c>
      <c r="BK644">
        <f t="shared" si="518"/>
        <v>0</v>
      </c>
      <c r="BM644">
        <f t="shared" si="519"/>
        <v>-73.477760226431911</v>
      </c>
      <c r="BN644">
        <f t="shared" si="507"/>
        <v>-92.017712143333924</v>
      </c>
      <c r="BQ644" s="66">
        <f t="shared" si="520"/>
        <v>2.1928124543906753</v>
      </c>
    </row>
    <row r="645" spans="1:69" x14ac:dyDescent="0.15">
      <c r="A645">
        <f t="shared" si="563"/>
        <v>6900000</v>
      </c>
      <c r="B645">
        <f t="shared" si="508"/>
        <v>6900</v>
      </c>
      <c r="C645">
        <f t="shared" si="539"/>
        <v>28.631094716035523</v>
      </c>
      <c r="D645">
        <f t="shared" si="540"/>
        <v>1.5358621603505274</v>
      </c>
      <c r="F645">
        <f t="shared" si="541"/>
        <v>4.8622215476008438E-7</v>
      </c>
      <c r="G645">
        <f t="shared" si="542"/>
        <v>2.283962735235524E-4</v>
      </c>
      <c r="H645">
        <f t="shared" si="481"/>
        <v>-3.1413642537264765</v>
      </c>
      <c r="J645">
        <f t="shared" si="482"/>
        <v>15</v>
      </c>
      <c r="M645">
        <f t="shared" si="543"/>
        <v>1.3811936411850764E-4</v>
      </c>
      <c r="N645">
        <f t="shared" si="484"/>
        <v>-1.5707963250000001</v>
      </c>
      <c r="O645">
        <f t="shared" si="544"/>
        <v>2932.89682074042</v>
      </c>
      <c r="P645">
        <f t="shared" si="486"/>
        <v>1.5704553669587702</v>
      </c>
      <c r="Q645">
        <f t="shared" si="545"/>
        <v>1327.4124925289777</v>
      </c>
      <c r="R645">
        <f t="shared" si="488"/>
        <v>1.5700429813953192</v>
      </c>
      <c r="S645">
        <f t="shared" si="546"/>
        <v>3.7297547948818691E-2</v>
      </c>
      <c r="T645">
        <f t="shared" si="490"/>
        <v>-1.5334901259477625</v>
      </c>
      <c r="U645">
        <f t="shared" si="547"/>
        <v>1.8976680468781336E-2</v>
      </c>
      <c r="V645">
        <f t="shared" si="492"/>
        <v>-1.5518185071788499</v>
      </c>
      <c r="X645">
        <f t="shared" si="548"/>
        <v>-81.995565242914836</v>
      </c>
      <c r="Y645">
        <f t="shared" si="549"/>
        <v>-178.82635629629607</v>
      </c>
      <c r="Z645">
        <f t="shared" si="510"/>
        <v>1.1736437037039309</v>
      </c>
      <c r="AC645">
        <v>1</v>
      </c>
      <c r="AD645">
        <f t="shared" si="550"/>
        <v>2932.8966502605003</v>
      </c>
      <c r="AE645">
        <f t="shared" si="551"/>
        <v>-19.072910778512774</v>
      </c>
      <c r="AF645">
        <f t="shared" si="552"/>
        <v>0.36200572105950002</v>
      </c>
      <c r="AG645">
        <f t="shared" si="553"/>
        <v>2.8651620640031594</v>
      </c>
      <c r="AH645">
        <f t="shared" si="554"/>
        <v>-153.718510994376</v>
      </c>
      <c r="AJ645">
        <f t="shared" si="497"/>
        <v>20000</v>
      </c>
      <c r="AK645">
        <f t="shared" si="555"/>
        <v>535855.17512520007</v>
      </c>
      <c r="AL645">
        <v>20</v>
      </c>
      <c r="AM645">
        <f t="shared" si="556"/>
        <v>1327.41211585626</v>
      </c>
      <c r="AN645">
        <f t="shared" si="557"/>
        <v>403.81944740956067</v>
      </c>
      <c r="AO645">
        <f t="shared" si="558"/>
        <v>-8.9825992315260343</v>
      </c>
      <c r="AQ645">
        <f t="shared" si="559"/>
        <v>5.25099766198804E-5</v>
      </c>
      <c r="AR645">
        <f t="shared" si="560"/>
        <v>-0.72463767735434947</v>
      </c>
      <c r="AT645">
        <f t="shared" si="561"/>
        <v>-111.39007432374066</v>
      </c>
      <c r="AU645">
        <f t="shared" si="562"/>
        <v>-2.0842761387214006</v>
      </c>
      <c r="AV645">
        <f t="shared" si="511"/>
        <v>-3.1228833300418839</v>
      </c>
      <c r="AW645">
        <f t="shared" si="512"/>
        <v>400.13794098002546</v>
      </c>
      <c r="AX645">
        <f t="shared" si="513"/>
        <v>-471.62568679520103</v>
      </c>
      <c r="AY645">
        <f t="shared" si="521"/>
        <v>-0.86721867654790419</v>
      </c>
      <c r="BA645">
        <f t="shared" si="502"/>
        <v>0.18012891071411455</v>
      </c>
      <c r="BB645">
        <f t="shared" si="514"/>
        <v>-14.888331545280289</v>
      </c>
      <c r="BC645">
        <f t="shared" si="515"/>
        <v>-2.2556646534939797</v>
      </c>
      <c r="BD645">
        <f t="shared" si="503"/>
        <v>-309.24006478972262</v>
      </c>
      <c r="BF645">
        <f t="shared" si="504"/>
        <v>-88.493052417960669</v>
      </c>
      <c r="BG645">
        <f t="shared" si="505"/>
        <v>-221.22855884469527</v>
      </c>
      <c r="BH645">
        <f t="shared" si="516"/>
        <v>-41.228558844695272</v>
      </c>
      <c r="BI645">
        <f t="shared" si="517"/>
        <v>-41.228558844695272</v>
      </c>
      <c r="BJ645">
        <f t="shared" si="506"/>
        <v>0</v>
      </c>
      <c r="BK645">
        <f t="shared" si="518"/>
        <v>0</v>
      </c>
      <c r="BM645">
        <f t="shared" si="519"/>
        <v>-73.604720872680375</v>
      </c>
      <c r="BN645">
        <f t="shared" si="507"/>
        <v>-91.988494054972662</v>
      </c>
      <c r="BQ645" s="66">
        <f t="shared" si="520"/>
        <v>2.0136292550048482</v>
      </c>
    </row>
    <row r="646" spans="1:69" x14ac:dyDescent="0.15">
      <c r="A646">
        <f t="shared" si="563"/>
        <v>7000000</v>
      </c>
      <c r="B646">
        <f t="shared" si="508"/>
        <v>7000</v>
      </c>
      <c r="C646">
        <f t="shared" si="539"/>
        <v>29.045535539712926</v>
      </c>
      <c r="D646">
        <f t="shared" si="540"/>
        <v>1.5363608225856866</v>
      </c>
      <c r="F646">
        <f t="shared" si="541"/>
        <v>4.7242931593374795E-7</v>
      </c>
      <c r="G646">
        <f t="shared" si="542"/>
        <v>2.2513346657121594E-4</v>
      </c>
      <c r="H646">
        <f t="shared" si="481"/>
        <v>-3.1413675165334292</v>
      </c>
      <c r="J646">
        <f t="shared" si="482"/>
        <v>15</v>
      </c>
      <c r="M646">
        <f t="shared" si="543"/>
        <v>1.361462303453861E-4</v>
      </c>
      <c r="N646">
        <f t="shared" si="484"/>
        <v>-1.5707963250000001</v>
      </c>
      <c r="O646">
        <f t="shared" si="544"/>
        <v>2975.4025668594927</v>
      </c>
      <c r="P646">
        <f t="shared" si="486"/>
        <v>1.5704602378132024</v>
      </c>
      <c r="Q646">
        <f t="shared" si="545"/>
        <v>1346.6503438994805</v>
      </c>
      <c r="R646">
        <f t="shared" si="488"/>
        <v>1.5700537434684712</v>
      </c>
      <c r="S646">
        <f t="shared" si="546"/>
        <v>3.6765451261856902E-2</v>
      </c>
      <c r="T646">
        <f t="shared" si="490"/>
        <v>-1.5340225878573048</v>
      </c>
      <c r="U646">
        <f t="shared" si="547"/>
        <v>1.8705680577605056E-2</v>
      </c>
      <c r="V646">
        <f t="shared" si="492"/>
        <v>-1.5520895551848042</v>
      </c>
      <c r="X646">
        <f t="shared" si="548"/>
        <v>-82.245457954861436</v>
      </c>
      <c r="Y646">
        <f t="shared" si="549"/>
        <v>-178.84311402608864</v>
      </c>
      <c r="Z646">
        <f t="shared" si="510"/>
        <v>1.1568859739113577</v>
      </c>
      <c r="AC646">
        <v>1</v>
      </c>
      <c r="AD646">
        <f t="shared" si="550"/>
        <v>2975.4023988150002</v>
      </c>
      <c r="AE646">
        <f t="shared" si="551"/>
        <v>-19.629754844510103</v>
      </c>
      <c r="AF646">
        <f t="shared" si="552"/>
        <v>0.36725218078500005</v>
      </c>
      <c r="AG646">
        <f t="shared" si="553"/>
        <v>2.7839134567383104</v>
      </c>
      <c r="AH646">
        <f t="shared" si="554"/>
        <v>-151.52405234234234</v>
      </c>
      <c r="AJ646">
        <f t="shared" si="497"/>
        <v>20000</v>
      </c>
      <c r="AK646">
        <f t="shared" si="555"/>
        <v>543621.19215600006</v>
      </c>
      <c r="AL646">
        <v>21</v>
      </c>
      <c r="AM646">
        <f t="shared" si="556"/>
        <v>1346.6499726078</v>
      </c>
      <c r="AN646">
        <f t="shared" si="557"/>
        <v>403.81750744018541</v>
      </c>
      <c r="AO646">
        <f t="shared" si="558"/>
        <v>-8.5544369940823195</v>
      </c>
      <c r="AQ646">
        <f t="shared" si="559"/>
        <v>5.1020407902957101E-5</v>
      </c>
      <c r="AR646">
        <f t="shared" si="560"/>
        <v>-0.71428571064139945</v>
      </c>
      <c r="AT646">
        <f t="shared" si="561"/>
        <v>-108.23132337021447</v>
      </c>
      <c r="AU646">
        <f t="shared" si="562"/>
        <v>-1.9962404207680942</v>
      </c>
      <c r="AV646">
        <f t="shared" si="511"/>
        <v>-3.1231505423900878</v>
      </c>
      <c r="AW646">
        <f t="shared" si="512"/>
        <v>400.46655910738838</v>
      </c>
      <c r="AX646">
        <f t="shared" si="513"/>
        <v>-464.58811954456661</v>
      </c>
      <c r="AY646">
        <f t="shared" si="521"/>
        <v>-0.85938713882457085</v>
      </c>
      <c r="BA646">
        <f t="shared" si="502"/>
        <v>0.17648525851443342</v>
      </c>
      <c r="BB646">
        <f t="shared" si="514"/>
        <v>-15.065831291439189</v>
      </c>
      <c r="BC646">
        <f t="shared" si="515"/>
        <v>-2.263763403565517</v>
      </c>
      <c r="BD646">
        <f t="shared" si="503"/>
        <v>-309.70408898868322</v>
      </c>
      <c r="BF646">
        <f t="shared" si="504"/>
        <v>-88.795681556567274</v>
      </c>
      <c r="BG646">
        <f t="shared" si="505"/>
        <v>-221.66419874721396</v>
      </c>
      <c r="BH646">
        <f t="shared" si="516"/>
        <v>-41.664198747213959</v>
      </c>
      <c r="BI646">
        <f t="shared" si="517"/>
        <v>-41.664198747213959</v>
      </c>
      <c r="BJ646">
        <f t="shared" si="506"/>
        <v>0</v>
      </c>
      <c r="BK646">
        <f t="shared" si="518"/>
        <v>0</v>
      </c>
      <c r="BM646">
        <f t="shared" si="519"/>
        <v>-73.729850265128093</v>
      </c>
      <c r="BN646">
        <f t="shared" si="507"/>
        <v>-91.960109758530805</v>
      </c>
      <c r="BQ646" s="66">
        <f t="shared" si="520"/>
        <v>1.8361295088459473</v>
      </c>
    </row>
    <row r="647" spans="1:69" x14ac:dyDescent="0.15">
      <c r="A647">
        <f t="shared" si="563"/>
        <v>7100000</v>
      </c>
      <c r="B647">
        <f t="shared" si="508"/>
        <v>7100</v>
      </c>
      <c r="C647">
        <f t="shared" si="539"/>
        <v>29.459983382755645</v>
      </c>
      <c r="D647">
        <f t="shared" si="540"/>
        <v>1.536845454415509</v>
      </c>
      <c r="F647">
        <f t="shared" si="541"/>
        <v>4.5921515941828284E-7</v>
      </c>
      <c r="G647">
        <f t="shared" si="542"/>
        <v>2.219625697998234E-4</v>
      </c>
      <c r="H647">
        <f t="shared" si="481"/>
        <v>-3.1413706874302005</v>
      </c>
      <c r="J647">
        <f t="shared" si="482"/>
        <v>15</v>
      </c>
      <c r="M647">
        <f t="shared" si="543"/>
        <v>1.3422867780531027E-4</v>
      </c>
      <c r="N647">
        <f t="shared" si="484"/>
        <v>-1.5707963250000001</v>
      </c>
      <c r="O647">
        <f t="shared" si="544"/>
        <v>3017.9083130471686</v>
      </c>
      <c r="P647">
        <f t="shared" si="486"/>
        <v>1.570464971460483</v>
      </c>
      <c r="Q647">
        <f t="shared" si="545"/>
        <v>1365.8881954215617</v>
      </c>
      <c r="R647">
        <f t="shared" si="488"/>
        <v>1.5700642023847975</v>
      </c>
      <c r="S647">
        <f t="shared" si="546"/>
        <v>3.6248313246891588E-2</v>
      </c>
      <c r="T647">
        <f t="shared" si="490"/>
        <v>-1.5345400708313874</v>
      </c>
      <c r="U647">
        <f t="shared" si="547"/>
        <v>1.8442310535416881E-2</v>
      </c>
      <c r="V647">
        <f t="shared" si="492"/>
        <v>-1.5523529706699644</v>
      </c>
      <c r="X647">
        <f t="shared" si="548"/>
        <v>-82.491807779993223</v>
      </c>
      <c r="Y647">
        <f t="shared" si="549"/>
        <v>-178.8594000628112</v>
      </c>
      <c r="Z647">
        <f t="shared" si="510"/>
        <v>1.1405999371887958</v>
      </c>
      <c r="AC647">
        <v>1</v>
      </c>
      <c r="AD647">
        <f t="shared" si="550"/>
        <v>3017.9081473695005</v>
      </c>
      <c r="AE647">
        <f t="shared" si="551"/>
        <v>-20.194611055341927</v>
      </c>
      <c r="AF647">
        <f t="shared" si="552"/>
        <v>0.37249864051050008</v>
      </c>
      <c r="AG647">
        <f t="shared" si="553"/>
        <v>2.70607209789102</v>
      </c>
      <c r="AH647">
        <f t="shared" si="554"/>
        <v>-149.3913465787634</v>
      </c>
      <c r="AJ647">
        <f t="shared" si="497"/>
        <v>20000</v>
      </c>
      <c r="AK647">
        <f t="shared" si="555"/>
        <v>551387.20918680006</v>
      </c>
      <c r="AL647">
        <v>22</v>
      </c>
      <c r="AM647">
        <f t="shared" si="556"/>
        <v>1365.88782935934</v>
      </c>
      <c r="AN647">
        <f t="shared" si="557"/>
        <v>403.81518958736746</v>
      </c>
      <c r="AO647">
        <f t="shared" si="558"/>
        <v>-8.1383445918043087</v>
      </c>
      <c r="AQ647">
        <f t="shared" si="559"/>
        <v>4.9593334409872377E-5</v>
      </c>
      <c r="AR647">
        <f t="shared" si="560"/>
        <v>-0.70422534862018771</v>
      </c>
      <c r="AT647">
        <f t="shared" si="561"/>
        <v>-105.20503892213046</v>
      </c>
      <c r="AU647">
        <f t="shared" si="562"/>
        <v>-1.9130933815374882</v>
      </c>
      <c r="AV647">
        <f t="shared" si="511"/>
        <v>-3.1234102302641795</v>
      </c>
      <c r="AW647">
        <f t="shared" si="512"/>
        <v>400.77776029407659</v>
      </c>
      <c r="AX647">
        <f t="shared" si="513"/>
        <v>-457.74847338927123</v>
      </c>
      <c r="AY647">
        <f t="shared" si="521"/>
        <v>-0.85165974976633152</v>
      </c>
      <c r="BA647">
        <f t="shared" si="502"/>
        <v>0.17294804502017139</v>
      </c>
      <c r="BB647">
        <f t="shared" si="514"/>
        <v>-15.241686856484788</v>
      </c>
      <c r="BC647">
        <f t="shared" si="515"/>
        <v>-2.2717504804978481</v>
      </c>
      <c r="BD647">
        <f t="shared" si="503"/>
        <v>-310.16171478807496</v>
      </c>
      <c r="BF647">
        <f t="shared" si="504"/>
        <v>-89.09488739713629</v>
      </c>
      <c r="BG647">
        <f t="shared" si="505"/>
        <v>-222.09423886710996</v>
      </c>
      <c r="BH647">
        <f t="shared" si="516"/>
        <v>-42.094238867109965</v>
      </c>
      <c r="BI647">
        <f t="shared" si="517"/>
        <v>-42.094238867109965</v>
      </c>
      <c r="BJ647">
        <f t="shared" si="506"/>
        <v>0</v>
      </c>
      <c r="BK647">
        <f t="shared" si="518"/>
        <v>0</v>
      </c>
      <c r="BM647">
        <f t="shared" si="519"/>
        <v>-73.8532005406515</v>
      </c>
      <c r="BN647">
        <f t="shared" si="507"/>
        <v>-91.932524079035034</v>
      </c>
      <c r="BQ647" s="66">
        <f t="shared" si="520"/>
        <v>1.6602739438003475</v>
      </c>
    </row>
    <row r="648" spans="1:69" x14ac:dyDescent="0.15">
      <c r="A648">
        <f t="shared" si="563"/>
        <v>7200000</v>
      </c>
      <c r="B648">
        <f t="shared" si="508"/>
        <v>7200</v>
      </c>
      <c r="C648">
        <f t="shared" si="539"/>
        <v>29.874437953024895</v>
      </c>
      <c r="D648">
        <f t="shared" si="540"/>
        <v>1.5373166395480551</v>
      </c>
      <c r="F648">
        <f t="shared" si="541"/>
        <v>4.4654776049348273E-7</v>
      </c>
      <c r="G648">
        <f t="shared" si="542"/>
        <v>2.1887975361165027E-4</v>
      </c>
      <c r="H648">
        <f t="shared" si="481"/>
        <v>-3.1413737702463886</v>
      </c>
      <c r="J648">
        <f t="shared" si="482"/>
        <v>15</v>
      </c>
      <c r="M648">
        <f t="shared" si="543"/>
        <v>1.3236439061356983E-4</v>
      </c>
      <c r="N648">
        <f t="shared" si="484"/>
        <v>-1.5707963250000001</v>
      </c>
      <c r="O648">
        <f t="shared" si="544"/>
        <v>3060.4140593005905</v>
      </c>
      <c r="P648">
        <f t="shared" si="486"/>
        <v>1.5704695736175756</v>
      </c>
      <c r="Q648">
        <f t="shared" si="545"/>
        <v>1385.1260470889056</v>
      </c>
      <c r="R648">
        <f t="shared" si="488"/>
        <v>1.570074370775824</v>
      </c>
      <c r="S648">
        <f t="shared" si="546"/>
        <v>3.5745512253541278E-2</v>
      </c>
      <c r="T648">
        <f t="shared" si="490"/>
        <v>-1.5350431979061552</v>
      </c>
      <c r="U648">
        <f t="shared" si="547"/>
        <v>1.8186252646680404E-2</v>
      </c>
      <c r="V648">
        <f t="shared" si="492"/>
        <v>-1.5526090715127678</v>
      </c>
      <c r="X648">
        <f t="shared" si="548"/>
        <v>-82.734713750676647</v>
      </c>
      <c r="Y648">
        <f t="shared" si="549"/>
        <v>-178.87523404101873</v>
      </c>
      <c r="Z648">
        <f t="shared" si="510"/>
        <v>1.1247659589812713</v>
      </c>
      <c r="AC648">
        <v>1</v>
      </c>
      <c r="AD648">
        <f t="shared" si="550"/>
        <v>3060.4138959240004</v>
      </c>
      <c r="AE648">
        <f t="shared" si="551"/>
        <v>-20.767479411008242</v>
      </c>
      <c r="AF648">
        <f t="shared" si="552"/>
        <v>0.377745100236</v>
      </c>
      <c r="AG648">
        <f t="shared" si="553"/>
        <v>2.6314501217755413</v>
      </c>
      <c r="AH648">
        <f t="shared" si="554"/>
        <v>-147.31782408375827</v>
      </c>
      <c r="AJ648">
        <f t="shared" si="497"/>
        <v>20000</v>
      </c>
      <c r="AK648">
        <f t="shared" si="555"/>
        <v>559153.22621760005</v>
      </c>
      <c r="AL648">
        <v>23</v>
      </c>
      <c r="AM648">
        <f t="shared" si="556"/>
        <v>1385.12568611088</v>
      </c>
      <c r="AN648">
        <f t="shared" si="557"/>
        <v>403.81252739145475</v>
      </c>
      <c r="AO648">
        <f t="shared" si="558"/>
        <v>-7.7338193764020744</v>
      </c>
      <c r="AQ648">
        <f t="shared" si="559"/>
        <v>4.8225308409407272E-5</v>
      </c>
      <c r="AR648">
        <f t="shared" si="560"/>
        <v>-0.69444444109546466</v>
      </c>
      <c r="AT648">
        <f t="shared" si="561"/>
        <v>-102.3039171067518</v>
      </c>
      <c r="AU648">
        <f t="shared" si="562"/>
        <v>-1.8345003565876503</v>
      </c>
      <c r="AV648">
        <f t="shared" si="511"/>
        <v>-3.1236627070406526</v>
      </c>
      <c r="AW648">
        <f t="shared" si="512"/>
        <v>401.072605431547</v>
      </c>
      <c r="AX648">
        <f t="shared" si="513"/>
        <v>-451.09852900135638</v>
      </c>
      <c r="AY648">
        <f t="shared" si="521"/>
        <v>-0.84403494907316912</v>
      </c>
      <c r="BA648">
        <f t="shared" si="502"/>
        <v>0.16951307982389188</v>
      </c>
      <c r="BB648">
        <f t="shared" si="514"/>
        <v>-15.415935710140918</v>
      </c>
      <c r="BC648">
        <f t="shared" si="515"/>
        <v>-2.2796277579674835</v>
      </c>
      <c r="BD648">
        <f t="shared" si="503"/>
        <v>-310.61304954165428</v>
      </c>
      <c r="BF648">
        <f t="shared" si="504"/>
        <v>-89.390757348513745</v>
      </c>
      <c r="BG648">
        <f t="shared" si="505"/>
        <v>-222.51875333355105</v>
      </c>
      <c r="BH648">
        <f t="shared" si="516"/>
        <v>-42.518753333551047</v>
      </c>
      <c r="BI648">
        <f t="shared" si="517"/>
        <v>-42.518753333551047</v>
      </c>
      <c r="BJ648">
        <f t="shared" si="506"/>
        <v>0</v>
      </c>
      <c r="BK648">
        <f t="shared" si="518"/>
        <v>0</v>
      </c>
      <c r="BM648">
        <f t="shared" si="519"/>
        <v>-73.974821638372831</v>
      </c>
      <c r="BN648">
        <f t="shared" si="507"/>
        <v>-91.905703791896769</v>
      </c>
      <c r="BQ648" s="66">
        <f t="shared" si="520"/>
        <v>1.4860250901442174</v>
      </c>
    </row>
    <row r="649" spans="1:69" x14ac:dyDescent="0.15">
      <c r="A649">
        <f t="shared" si="563"/>
        <v>7300000</v>
      </c>
      <c r="B649">
        <f t="shared" si="508"/>
        <v>7300</v>
      </c>
      <c r="C649">
        <f t="shared" si="539"/>
        <v>30.288898974367047</v>
      </c>
      <c r="D649">
        <f t="shared" si="540"/>
        <v>1.5377749297671557</v>
      </c>
      <c r="F649">
        <f t="shared" si="541"/>
        <v>4.3439736598255038E-7</v>
      </c>
      <c r="G649">
        <f t="shared" si="542"/>
        <v>2.1588139825040308E-4</v>
      </c>
      <c r="H649">
        <f t="shared" ref="H649:H676" si="564">IF(G649&gt;0,G649-Pi,G649)</f>
        <v>-3.14137676860175</v>
      </c>
      <c r="J649">
        <f t="shared" ref="J649:J676" si="565">Vin/Vramp</f>
        <v>15</v>
      </c>
      <c r="M649">
        <f t="shared" si="543"/>
        <v>1.3055117978324696E-4</v>
      </c>
      <c r="N649">
        <f t="shared" ref="N649:N676" si="566">-Pi/2</f>
        <v>-1.5707963250000001</v>
      </c>
      <c r="O649">
        <f t="shared" si="544"/>
        <v>3102.9198056170549</v>
      </c>
      <c r="P649">
        <f t="shared" ref="P649:P676" si="567">ATAN2(Fz1_u,A649)</f>
        <v>1.5704740496881857</v>
      </c>
      <c r="Q649">
        <f t="shared" si="545"/>
        <v>1404.3638988955422</v>
      </c>
      <c r="R649">
        <f t="shared" ref="R649:R676" si="568">ATAN2(Fz2_u,A649)</f>
        <v>1.5700842605809382</v>
      </c>
      <c r="S649">
        <f t="shared" si="546"/>
        <v>3.5256460585471966E-2</v>
      </c>
      <c r="T649">
        <f t="shared" ref="T649:T676" si="569">-ATAN2(Fp1_u,A649)</f>
        <v>-1.5355325580515451</v>
      </c>
      <c r="U649">
        <f t="shared" si="547"/>
        <v>1.7937206609427655E-2</v>
      </c>
      <c r="V649">
        <f t="shared" ref="V649:V676" si="570">-ATAN2(Fp2_u,A649)</f>
        <v>-1.5528581581832628</v>
      </c>
      <c r="X649">
        <f t="shared" si="548"/>
        <v>-82.974270805128981</v>
      </c>
      <c r="Y649">
        <f t="shared" si="549"/>
        <v>-178.89063452069445</v>
      </c>
      <c r="Z649">
        <f t="shared" si="510"/>
        <v>1.1093654793055521</v>
      </c>
      <c r="AC649">
        <v>1</v>
      </c>
      <c r="AD649">
        <f t="shared" si="550"/>
        <v>3102.9196444785002</v>
      </c>
      <c r="AE649">
        <f t="shared" si="551"/>
        <v>-21.348359911509053</v>
      </c>
      <c r="AF649">
        <f t="shared" si="552"/>
        <v>0.38299155996150003</v>
      </c>
      <c r="AG649">
        <f t="shared" si="553"/>
        <v>2.5598724330596654</v>
      </c>
      <c r="AH649">
        <f t="shared" si="554"/>
        <v>-145.30105580943399</v>
      </c>
      <c r="AJ649">
        <f t="shared" ref="AJ649:AJ676" si="571">_Rfb1</f>
        <v>20000</v>
      </c>
      <c r="AK649">
        <f t="shared" si="555"/>
        <v>566919.24324840005</v>
      </c>
      <c r="AL649">
        <v>24</v>
      </c>
      <c r="AM649">
        <f t="shared" si="556"/>
        <v>1404.36354286242</v>
      </c>
      <c r="AN649">
        <f t="shared" si="557"/>
        <v>403.80955159316517</v>
      </c>
      <c r="AO649">
        <f t="shared" si="558"/>
        <v>-7.3403861942704438</v>
      </c>
      <c r="AQ649">
        <f t="shared" si="559"/>
        <v>4.691311668740328E-5</v>
      </c>
      <c r="AR649">
        <f t="shared" si="560"/>
        <v>-0.6849315036360879</v>
      </c>
      <c r="AT649">
        <f t="shared" si="561"/>
        <v>-99.521150543872594</v>
      </c>
      <c r="AU649">
        <f t="shared" si="562"/>
        <v>-1.7601538000781183</v>
      </c>
      <c r="AV649">
        <f t="shared" si="511"/>
        <v>-3.1239082689342923</v>
      </c>
      <c r="AW649">
        <f t="shared" si="512"/>
        <v>401.35207919478086</v>
      </c>
      <c r="AX649">
        <f t="shared" si="513"/>
        <v>-444.63051518865007</v>
      </c>
      <c r="AY649">
        <f t="shared" si="521"/>
        <v>-0.83651120141386326</v>
      </c>
      <c r="BA649">
        <f t="shared" ref="BA649:BA676" si="572">SQRT(AT649^2+AU649^2)/SQRT(AW649^2+AX649^2)</f>
        <v>0.16617638925964581</v>
      </c>
      <c r="BB649">
        <f t="shared" si="514"/>
        <v>-15.588613635427141</v>
      </c>
      <c r="BC649">
        <f t="shared" si="515"/>
        <v>-2.2873970675204292</v>
      </c>
      <c r="BD649">
        <f t="shared" ref="BD649:BD678" si="573">BC649*180/Pi-180</f>
        <v>-311.05819818927739</v>
      </c>
      <c r="BF649">
        <f t="shared" ref="BF649:BF676" si="574">20*LOG(BA649*J649*F649*C649)</f>
        <v>-89.683375057029679</v>
      </c>
      <c r="BG649">
        <f t="shared" ref="BG649:BG676" si="575">(180/Pi)*(D649+H649+BC649)</f>
        <v>-222.93781567890548</v>
      </c>
      <c r="BH649">
        <f t="shared" si="516"/>
        <v>-42.93781567890548</v>
      </c>
      <c r="BI649">
        <f t="shared" si="517"/>
        <v>-42.93781567890548</v>
      </c>
      <c r="BJ649">
        <f t="shared" ref="BJ649:BJ676" si="576">SUM((BF650&lt;0)*(BF649&gt;0))*A649</f>
        <v>0</v>
      </c>
      <c r="BK649">
        <f t="shared" si="518"/>
        <v>0</v>
      </c>
      <c r="BM649">
        <f t="shared" si="519"/>
        <v>-74.094761421602527</v>
      </c>
      <c r="BN649">
        <f t="shared" ref="BN649:BN676" si="577">(H649+D649)*180/Pi</f>
        <v>-91.879617489628046</v>
      </c>
      <c r="BQ649" s="66">
        <f t="shared" si="520"/>
        <v>1.3133471648579969</v>
      </c>
    </row>
    <row r="650" spans="1:69" x14ac:dyDescent="0.15">
      <c r="A650">
        <f t="shared" si="563"/>
        <v>7400000</v>
      </c>
      <c r="B650">
        <f t="shared" ref="B650:B676" si="578">A650/1000</f>
        <v>7400</v>
      </c>
      <c r="C650">
        <f t="shared" si="539"/>
        <v>30.703366185535337</v>
      </c>
      <c r="D650">
        <f t="shared" si="540"/>
        <v>1.5382208470847143</v>
      </c>
      <c r="F650">
        <f t="shared" si="541"/>
        <v>4.2273621938168346E-7</v>
      </c>
      <c r="G650">
        <f t="shared" si="542"/>
        <v>2.1296407962270738E-4</v>
      </c>
      <c r="H650">
        <f t="shared" si="564"/>
        <v>-3.1413796859203775</v>
      </c>
      <c r="J650">
        <f t="shared" si="565"/>
        <v>15</v>
      </c>
      <c r="M650">
        <f t="shared" si="543"/>
        <v>1.2878697465104093E-4</v>
      </c>
      <c r="N650">
        <f t="shared" si="566"/>
        <v>-1.5707963250000001</v>
      </c>
      <c r="O650">
        <f t="shared" si="544"/>
        <v>3145.425551994007</v>
      </c>
      <c r="P650">
        <f t="shared" si="567"/>
        <v>1.5704784047839269</v>
      </c>
      <c r="Q650">
        <f t="shared" si="545"/>
        <v>1423.601750835825</v>
      </c>
      <c r="R650">
        <f t="shared" si="568"/>
        <v>1.570093883094156</v>
      </c>
      <c r="S650">
        <f t="shared" si="546"/>
        <v>3.4780602214843762E-2</v>
      </c>
      <c r="T650">
        <f t="shared" si="569"/>
        <v>-1.5360087084672869</v>
      </c>
      <c r="U650">
        <f t="shared" si="547"/>
        <v>1.7694888341161789E-2</v>
      </c>
      <c r="V650">
        <f t="shared" si="570"/>
        <v>-1.5531005149185881</v>
      </c>
      <c r="X650">
        <f t="shared" si="548"/>
        <v>-83.210570009980401</v>
      </c>
      <c r="Y650">
        <f t="shared" si="549"/>
        <v>-178.90561905975363</v>
      </c>
      <c r="Z650">
        <f t="shared" ref="Z650:Z676" si="579">Y650+180</f>
        <v>1.0943809402463671</v>
      </c>
      <c r="AC650">
        <v>1</v>
      </c>
      <c r="AD650">
        <f t="shared" si="550"/>
        <v>3145.4253930330001</v>
      </c>
      <c r="AE650">
        <f t="shared" si="551"/>
        <v>-21.937252556844356</v>
      </c>
      <c r="AF650">
        <f t="shared" si="552"/>
        <v>0.38823801968700006</v>
      </c>
      <c r="AG650">
        <f t="shared" si="553"/>
        <v>2.4911756791654369</v>
      </c>
      <c r="AH650">
        <f t="shared" si="554"/>
        <v>-143.33874379996448</v>
      </c>
      <c r="AJ650">
        <f t="shared" si="571"/>
        <v>20000</v>
      </c>
      <c r="AK650">
        <f t="shared" si="555"/>
        <v>574685.26027920004</v>
      </c>
      <c r="AL650">
        <v>25</v>
      </c>
      <c r="AM650">
        <f t="shared" si="556"/>
        <v>1423.60139961396</v>
      </c>
      <c r="AN650">
        <f t="shared" si="557"/>
        <v>403.80629038678848</v>
      </c>
      <c r="AO650">
        <f t="shared" si="558"/>
        <v>-6.957595534126475</v>
      </c>
      <c r="AQ650">
        <f t="shared" si="559"/>
        <v>4.5653761661551488E-5</v>
      </c>
      <c r="AR650">
        <f t="shared" si="560"/>
        <v>-0.67567567259096206</v>
      </c>
      <c r="AT650">
        <f t="shared" si="561"/>
        <v>-96.850388393843886</v>
      </c>
      <c r="AU650">
        <f t="shared" si="562"/>
        <v>-1.6897707554086632</v>
      </c>
      <c r="AV650">
        <f t="shared" ref="AV650:AV676" si="580">ATAN2(AT650,AU650)</f>
        <v>-3.12414719615699</v>
      </c>
      <c r="AW650">
        <f t="shared" ref="AW650:AW676" si="581">AG650-AH650*AO650/_Rfb2+AG650*AN650/_Rfb2+AN650-AO650*AR650+AQ650*AN650</f>
        <v>401.61709639402449</v>
      </c>
      <c r="AX650">
        <f t="shared" ref="AX650:AX676" si="582">AH650+AH650*AN650/_Rfb2+AG650*AO650/_Rfb2+AO650+AO650*AQ650+AN650*AR650</f>
        <v>-438.33707881433213</v>
      </c>
      <c r="AY650">
        <f t="shared" si="521"/>
        <v>-0.82908699533783803</v>
      </c>
      <c r="BA650">
        <f t="shared" si="572"/>
        <v>0.16293420211143789</v>
      </c>
      <c r="BB650">
        <f t="shared" ref="BB650:BB676" si="583">20*LOG(BA650)</f>
        <v>-15.759754835726504</v>
      </c>
      <c r="BC650">
        <f t="shared" ref="BC650:BC676" si="584">AV650-AY650</f>
        <v>-2.2950602008191519</v>
      </c>
      <c r="BD650">
        <f t="shared" si="573"/>
        <v>-311.4972633856421</v>
      </c>
      <c r="BF650">
        <f t="shared" si="574"/>
        <v>-89.972820627158001</v>
      </c>
      <c r="BG650">
        <f t="shared" si="575"/>
        <v>-223.35149884497807</v>
      </c>
      <c r="BH650">
        <f t="shared" ref="BH650:BH676" si="585">IF(BG650&gt;180,BG650-180,BG650+180)</f>
        <v>-43.351498844978067</v>
      </c>
      <c r="BI650">
        <f t="shared" ref="BI650:BI676" si="586">IF(BH650&gt;180,BH650-360,BH650)</f>
        <v>-43.351498844978067</v>
      </c>
      <c r="BJ650">
        <f t="shared" si="576"/>
        <v>0</v>
      </c>
      <c r="BK650">
        <f t="shared" ref="BK650:BK676" si="587">IF(BJ650&gt;0,BI650,0)</f>
        <v>0</v>
      </c>
      <c r="BM650">
        <f t="shared" ref="BM650:BM676" si="588">20*LOG(J650*F650*C650)</f>
        <v>-74.213065791431518</v>
      </c>
      <c r="BN650">
        <f t="shared" si="577"/>
        <v>-91.85423545933601</v>
      </c>
      <c r="BQ650" s="66">
        <f t="shared" ref="BQ650:BQ676" si="589">20*LOG(BA650*7)</f>
        <v>1.1422059645586311</v>
      </c>
    </row>
    <row r="651" spans="1:69" x14ac:dyDescent="0.15">
      <c r="A651">
        <f t="shared" si="563"/>
        <v>7500000</v>
      </c>
      <c r="B651">
        <f t="shared" si="578"/>
        <v>7500</v>
      </c>
      <c r="C651">
        <f t="shared" si="539"/>
        <v>31.117839339197698</v>
      </c>
      <c r="D651">
        <f t="shared" si="540"/>
        <v>1.5386548857212563</v>
      </c>
      <c r="F651">
        <f t="shared" si="541"/>
        <v>4.1153840220083873E-7</v>
      </c>
      <c r="G651">
        <f t="shared" si="542"/>
        <v>2.1012455625388102E-4</v>
      </c>
      <c r="H651">
        <f t="shared" si="564"/>
        <v>-3.1413825254437464</v>
      </c>
      <c r="J651">
        <f t="shared" si="565"/>
        <v>15</v>
      </c>
      <c r="M651">
        <f t="shared" si="543"/>
        <v>1.2706981498902703E-4</v>
      </c>
      <c r="N651">
        <f t="shared" si="566"/>
        <v>-1.5707963250000001</v>
      </c>
      <c r="O651">
        <f t="shared" si="544"/>
        <v>3187.9312984290273</v>
      </c>
      <c r="P651">
        <f t="shared" si="567"/>
        <v>1.5704826437437931</v>
      </c>
      <c r="Q651">
        <f t="shared" si="545"/>
        <v>1442.8396029044079</v>
      </c>
      <c r="R651">
        <f t="shared" si="568"/>
        <v>1.5701032490071463</v>
      </c>
      <c r="S651">
        <f t="shared" si="546"/>
        <v>3.4317410678813574E-2</v>
      </c>
      <c r="T651">
        <f t="shared" si="569"/>
        <v>-1.5364721766957503</v>
      </c>
      <c r="U651">
        <f t="shared" si="547"/>
        <v>1.7459028898582984E-2</v>
      </c>
      <c r="V651">
        <f t="shared" si="570"/>
        <v>-1.5533364108044843</v>
      </c>
      <c r="X651">
        <f t="shared" si="548"/>
        <v>-83.443698767918335</v>
      </c>
      <c r="Y651">
        <f t="shared" si="549"/>
        <v>-178.92020428075591</v>
      </c>
      <c r="Z651">
        <f t="shared" si="579"/>
        <v>1.079795719244089</v>
      </c>
      <c r="AC651">
        <v>1</v>
      </c>
      <c r="AD651">
        <f t="shared" si="550"/>
        <v>3187.9311415875004</v>
      </c>
      <c r="AE651">
        <f t="shared" si="551"/>
        <v>-22.534157347014148</v>
      </c>
      <c r="AF651">
        <f t="shared" si="552"/>
        <v>0.39348447941250003</v>
      </c>
      <c r="AG651">
        <f t="shared" si="553"/>
        <v>2.4252073178520783</v>
      </c>
      <c r="AH651">
        <f t="shared" si="554"/>
        <v>-141.4287124684009</v>
      </c>
      <c r="AJ651">
        <f t="shared" si="571"/>
        <v>20000</v>
      </c>
      <c r="AK651">
        <f t="shared" si="555"/>
        <v>582451.27731000003</v>
      </c>
      <c r="AL651">
        <v>26</v>
      </c>
      <c r="AM651">
        <f t="shared" si="556"/>
        <v>1442.8392563655</v>
      </c>
      <c r="AN651">
        <f t="shared" si="557"/>
        <v>403.80276964808917</v>
      </c>
      <c r="AO651">
        <f t="shared" si="558"/>
        <v>-6.5850218222388444</v>
      </c>
      <c r="AQ651">
        <f t="shared" si="559"/>
        <v>4.4444444246913578E-5</v>
      </c>
      <c r="AR651">
        <f t="shared" si="560"/>
        <v>-0.66666666370370375</v>
      </c>
      <c r="AT651">
        <f t="shared" si="561"/>
        <v>-94.285700106227821</v>
      </c>
      <c r="AU651">
        <f t="shared" si="562"/>
        <v>-1.6230905919084675</v>
      </c>
      <c r="AV651">
        <f t="shared" si="580"/>
        <v>-3.1243797539839164</v>
      </c>
      <c r="AW651">
        <f t="shared" si="581"/>
        <v>401.86850772390682</v>
      </c>
      <c r="AX651">
        <f t="shared" si="582"/>
        <v>-432.21125710335571</v>
      </c>
      <c r="AY651">
        <f t="shared" ref="AY651:AY676" si="590">ATAN2(AW651,AX651)</f>
        <v>-0.82176084232704794</v>
      </c>
      <c r="BA651">
        <f t="shared" si="572"/>
        <v>0.15978293646974431</v>
      </c>
      <c r="BB651">
        <f t="shared" si="583"/>
        <v>-15.929392033946652</v>
      </c>
      <c r="BC651">
        <f t="shared" si="584"/>
        <v>-2.3026189116568685</v>
      </c>
      <c r="BD651">
        <f t="shared" si="573"/>
        <v>-311.93034561569789</v>
      </c>
      <c r="BF651">
        <f t="shared" si="574"/>
        <v>-90.259170826597341</v>
      </c>
      <c r="BG651">
        <f t="shared" si="575"/>
        <v>-223.75987518569107</v>
      </c>
      <c r="BH651">
        <f t="shared" si="585"/>
        <v>-43.759875185691072</v>
      </c>
      <c r="BI651">
        <f t="shared" si="586"/>
        <v>-43.759875185691072</v>
      </c>
      <c r="BJ651">
        <f t="shared" si="576"/>
        <v>0</v>
      </c>
      <c r="BK651">
        <f t="shared" si="587"/>
        <v>0</v>
      </c>
      <c r="BM651">
        <f t="shared" si="588"/>
        <v>-74.3297787926507</v>
      </c>
      <c r="BN651">
        <f t="shared" si="577"/>
        <v>-91.82952956999317</v>
      </c>
      <c r="BQ651" s="66">
        <f t="shared" si="589"/>
        <v>0.97256876633848388</v>
      </c>
    </row>
    <row r="652" spans="1:69" x14ac:dyDescent="0.15">
      <c r="A652">
        <f t="shared" si="563"/>
        <v>7600000</v>
      </c>
      <c r="B652">
        <f t="shared" si="578"/>
        <v>7600</v>
      </c>
      <c r="C652">
        <f t="shared" si="539"/>
        <v>31.532318201022704</v>
      </c>
      <c r="D652">
        <f t="shared" si="540"/>
        <v>1.5390775139305035</v>
      </c>
      <c r="F652">
        <f t="shared" si="541"/>
        <v>4.0077968982061706E-7</v>
      </c>
      <c r="G652">
        <f t="shared" si="542"/>
        <v>2.0735975727351669E-4</v>
      </c>
      <c r="H652">
        <f t="shared" si="564"/>
        <v>-3.1413852902427268</v>
      </c>
      <c r="J652">
        <f t="shared" si="565"/>
        <v>15</v>
      </c>
      <c r="M652">
        <f t="shared" si="543"/>
        <v>1.253978437391714E-4</v>
      </c>
      <c r="N652">
        <f t="shared" si="566"/>
        <v>-1.5707963250000001</v>
      </c>
      <c r="O652">
        <f t="shared" si="544"/>
        <v>3230.4370449198227</v>
      </c>
      <c r="P652">
        <f t="shared" si="567"/>
        <v>1.5704867711520949</v>
      </c>
      <c r="Q652">
        <f t="shared" si="545"/>
        <v>1462.0774550962265</v>
      </c>
      <c r="R652">
        <f t="shared" si="568"/>
        <v>1.5701123684488589</v>
      </c>
      <c r="S652">
        <f t="shared" si="546"/>
        <v>3.3866387141406593E-2</v>
      </c>
      <c r="T652">
        <f t="shared" si="569"/>
        <v>-1.5369234625684556</v>
      </c>
      <c r="U652">
        <f t="shared" si="547"/>
        <v>1.7229373482506725E-2</v>
      </c>
      <c r="V652">
        <f t="shared" si="570"/>
        <v>-1.5535661007714834</v>
      </c>
      <c r="X652">
        <f t="shared" si="548"/>
        <v>-83.673741011598366</v>
      </c>
      <c r="Y652">
        <f t="shared" si="549"/>
        <v>-178.93440593235965</v>
      </c>
      <c r="Z652">
        <f t="shared" si="579"/>
        <v>1.0655940676403475</v>
      </c>
      <c r="AC652">
        <v>1</v>
      </c>
      <c r="AD652">
        <f t="shared" si="550"/>
        <v>3230.4368901420003</v>
      </c>
      <c r="AE652">
        <f t="shared" si="551"/>
        <v>-23.139074282018438</v>
      </c>
      <c r="AF652">
        <f t="shared" si="552"/>
        <v>0.39873093913800006</v>
      </c>
      <c r="AG652">
        <f t="shared" si="553"/>
        <v>2.3618247700380071</v>
      </c>
      <c r="AH652">
        <f t="shared" si="554"/>
        <v>-139.56890056068622</v>
      </c>
      <c r="AJ652">
        <f t="shared" si="571"/>
        <v>20000</v>
      </c>
      <c r="AK652">
        <f t="shared" si="555"/>
        <v>590217.29434080003</v>
      </c>
      <c r="AL652">
        <v>27</v>
      </c>
      <c r="AM652">
        <f t="shared" si="556"/>
        <v>1462.07711311704</v>
      </c>
      <c r="AN652">
        <f t="shared" si="557"/>
        <v>403.79901313969606</v>
      </c>
      <c r="AO652">
        <f t="shared" si="558"/>
        <v>-6.2222618517248822</v>
      </c>
      <c r="AQ652">
        <f t="shared" si="559"/>
        <v>4.3282548289116396E-5</v>
      </c>
      <c r="AR652">
        <f t="shared" si="560"/>
        <v>-0.65789473399456921</v>
      </c>
      <c r="AT652">
        <f t="shared" si="561"/>
        <v>-91.821542482492475</v>
      </c>
      <c r="AU652">
        <f t="shared" si="562"/>
        <v>-1.5598729765041159</v>
      </c>
      <c r="AV652">
        <f t="shared" si="580"/>
        <v>-3.1246061937355925</v>
      </c>
      <c r="AW652">
        <f t="shared" si="581"/>
        <v>402.10710497398168</v>
      </c>
      <c r="AX652">
        <f t="shared" si="582"/>
        <v>-426.24645211800578</v>
      </c>
      <c r="AY652">
        <f t="shared" si="590"/>
        <v>-0.81453127596984143</v>
      </c>
      <c r="BA652">
        <f t="shared" si="572"/>
        <v>0.15671918762874101</v>
      </c>
      <c r="BB652">
        <f t="shared" si="583"/>
        <v>-16.097556564420234</v>
      </c>
      <c r="BC652">
        <f t="shared" si="584"/>
        <v>-2.3100749177657511</v>
      </c>
      <c r="BD652">
        <f t="shared" si="573"/>
        <v>-312.3575432982488</v>
      </c>
      <c r="BF652">
        <f t="shared" si="574"/>
        <v>-90.54249927703232</v>
      </c>
      <c r="BG652">
        <f t="shared" si="575"/>
        <v>-224.16301646683422</v>
      </c>
      <c r="BH652">
        <f t="shared" si="585"/>
        <v>-44.163016466834222</v>
      </c>
      <c r="BI652">
        <f t="shared" si="586"/>
        <v>-44.163016466834222</v>
      </c>
      <c r="BJ652">
        <f t="shared" si="576"/>
        <v>0</v>
      </c>
      <c r="BK652">
        <f t="shared" si="587"/>
        <v>0</v>
      </c>
      <c r="BM652">
        <f t="shared" si="588"/>
        <v>-74.444942712612075</v>
      </c>
      <c r="BN652">
        <f t="shared" si="577"/>
        <v>-91.805473168585422</v>
      </c>
      <c r="BQ652" s="66">
        <f t="shared" si="589"/>
        <v>0.80440423586490117</v>
      </c>
    </row>
    <row r="653" spans="1:69" x14ac:dyDescent="0.15">
      <c r="A653">
        <f t="shared" si="563"/>
        <v>7700000</v>
      </c>
      <c r="B653">
        <f t="shared" si="578"/>
        <v>7700</v>
      </c>
      <c r="C653">
        <f t="shared" si="539"/>
        <v>31.9468025488367</v>
      </c>
      <c r="D653">
        <f t="shared" si="540"/>
        <v>1.539489175682111</v>
      </c>
      <c r="F653">
        <f t="shared" si="541"/>
        <v>3.9043742036702558E-7</v>
      </c>
      <c r="G653">
        <f t="shared" si="542"/>
        <v>2.0466677133725624E-4</v>
      </c>
      <c r="H653">
        <f t="shared" si="564"/>
        <v>-3.1413879832286629</v>
      </c>
      <c r="J653">
        <f t="shared" si="565"/>
        <v>15</v>
      </c>
      <c r="M653">
        <f t="shared" si="543"/>
        <v>1.2376930031398738E-4</v>
      </c>
      <c r="N653">
        <f t="shared" si="566"/>
        <v>-1.5707963250000001</v>
      </c>
      <c r="O653">
        <f t="shared" si="544"/>
        <v>3272.942791464221</v>
      </c>
      <c r="P653">
        <f t="shared" si="567"/>
        <v>1.5704907913549964</v>
      </c>
      <c r="Q653">
        <f t="shared" si="545"/>
        <v>1481.3153074064794</v>
      </c>
      <c r="R653">
        <f t="shared" si="568"/>
        <v>1.5701212510220652</v>
      </c>
      <c r="S653">
        <f t="shared" si="546"/>
        <v>3.3427058605793813E-2</v>
      </c>
      <c r="T653">
        <f t="shared" si="569"/>
        <v>-1.5373630400013174</v>
      </c>
      <c r="U653">
        <f t="shared" si="547"/>
        <v>1.7005680520239166E-2</v>
      </c>
      <c r="V653">
        <f t="shared" si="570"/>
        <v>-1.553789826513529</v>
      </c>
      <c r="X653">
        <f t="shared" si="548"/>
        <v>-83.90077738489677</v>
      </c>
      <c r="Y653">
        <f t="shared" si="549"/>
        <v>-178.94823894599466</v>
      </c>
      <c r="Z653">
        <f t="shared" si="579"/>
        <v>1.0517610540053397</v>
      </c>
      <c r="AC653">
        <v>1</v>
      </c>
      <c r="AD653">
        <f t="shared" si="550"/>
        <v>3272.9426386965006</v>
      </c>
      <c r="AE653">
        <f t="shared" si="551"/>
        <v>-23.752003361857227</v>
      </c>
      <c r="AF653">
        <f t="shared" si="552"/>
        <v>0.40397739886350004</v>
      </c>
      <c r="AG653">
        <f t="shared" si="553"/>
        <v>2.300894649072208</v>
      </c>
      <c r="AH653">
        <f t="shared" si="554"/>
        <v>-137.7573537445501</v>
      </c>
      <c r="AJ653">
        <f t="shared" si="571"/>
        <v>20000</v>
      </c>
      <c r="AK653">
        <f t="shared" si="555"/>
        <v>597983.31137160002</v>
      </c>
      <c r="AL653">
        <v>28</v>
      </c>
      <c r="AM653">
        <f t="shared" si="556"/>
        <v>1481.31496986858</v>
      </c>
      <c r="AN653">
        <f t="shared" si="557"/>
        <v>403.79504269643132</v>
      </c>
      <c r="AO653">
        <f t="shared" si="558"/>
        <v>-5.868933333787357</v>
      </c>
      <c r="AQ653">
        <f t="shared" si="559"/>
        <v>4.2165626403416991E-5</v>
      </c>
      <c r="AR653">
        <f t="shared" si="560"/>
        <v>-0.64935064661262165</v>
      </c>
      <c r="AT653">
        <f t="shared" si="561"/>
        <v>-89.452729711003101</v>
      </c>
      <c r="AU653">
        <f t="shared" si="562"/>
        <v>-1.4998960532748753</v>
      </c>
      <c r="AV653">
        <f t="shared" si="580"/>
        <v>-3.124826753683482</v>
      </c>
      <c r="AW653">
        <f t="shared" si="581"/>
        <v>402.33362575721657</v>
      </c>
      <c r="AX653">
        <f t="shared" si="582"/>
        <v>-420.43640720724869</v>
      </c>
      <c r="AY653">
        <f t="shared" si="590"/>
        <v>-0.80739685124088068</v>
      </c>
      <c r="BA653">
        <f t="shared" si="572"/>
        <v>0.1537397169282059</v>
      </c>
      <c r="BB653">
        <f t="shared" si="583"/>
        <v>-16.264278458132132</v>
      </c>
      <c r="BC653">
        <f t="shared" si="584"/>
        <v>-2.3174299024426013</v>
      </c>
      <c r="BD653">
        <f t="shared" si="573"/>
        <v>-312.77895287909723</v>
      </c>
      <c r="BF653">
        <f t="shared" si="574"/>
        <v>-90.822876631720987</v>
      </c>
      <c r="BG653">
        <f t="shared" si="575"/>
        <v>-224.56099386343021</v>
      </c>
      <c r="BH653">
        <f t="shared" si="585"/>
        <v>-44.560993863430213</v>
      </c>
      <c r="BI653">
        <f t="shared" si="586"/>
        <v>-44.560993863430213</v>
      </c>
      <c r="BJ653">
        <f t="shared" si="576"/>
        <v>0</v>
      </c>
      <c r="BK653">
        <f t="shared" si="587"/>
        <v>0</v>
      </c>
      <c r="BM653">
        <f t="shared" si="588"/>
        <v>-74.558598173588862</v>
      </c>
      <c r="BN653">
        <f t="shared" si="577"/>
        <v>-91.782040984333008</v>
      </c>
      <c r="BQ653" s="66">
        <f t="shared" si="589"/>
        <v>0.63768234215300379</v>
      </c>
    </row>
    <row r="654" spans="1:69" x14ac:dyDescent="0.15">
      <c r="A654">
        <f t="shared" si="563"/>
        <v>7800000</v>
      </c>
      <c r="B654">
        <f t="shared" si="578"/>
        <v>7800</v>
      </c>
      <c r="C654">
        <f t="shared" si="539"/>
        <v>32.361292171845569</v>
      </c>
      <c r="D654">
        <f t="shared" si="540"/>
        <v>1.5398902922152644</v>
      </c>
      <c r="F654">
        <f t="shared" si="541"/>
        <v>3.8049037527762397E-7</v>
      </c>
      <c r="G654">
        <f t="shared" si="542"/>
        <v>2.0204283640073813E-4</v>
      </c>
      <c r="H654">
        <f t="shared" si="564"/>
        <v>-3.1413906071635993</v>
      </c>
      <c r="J654">
        <f t="shared" si="565"/>
        <v>15</v>
      </c>
      <c r="M654">
        <f t="shared" si="543"/>
        <v>1.2218251441252601E-4</v>
      </c>
      <c r="N654">
        <f t="shared" si="566"/>
        <v>-1.5707963250000001</v>
      </c>
      <c r="O654">
        <f t="shared" si="544"/>
        <v>3315.4485380601614</v>
      </c>
      <c r="P654">
        <f t="shared" si="567"/>
        <v>1.5704947084757814</v>
      </c>
      <c r="Q654">
        <f t="shared" si="545"/>
        <v>1500.5531598306115</v>
      </c>
      <c r="R654">
        <f t="shared" si="568"/>
        <v>1.5701299058370863</v>
      </c>
      <c r="S654">
        <f t="shared" si="546"/>
        <v>3.2998976263539571E-2</v>
      </c>
      <c r="T654">
        <f t="shared" si="569"/>
        <v>-1.5377913586521614</v>
      </c>
      <c r="U654">
        <f t="shared" si="547"/>
        <v>1.678772081846646E-2</v>
      </c>
      <c r="V654">
        <f t="shared" si="570"/>
        <v>-1.5540078173359806</v>
      </c>
      <c r="X654">
        <f t="shared" si="548"/>
        <v>-84.124885412483636</v>
      </c>
      <c r="Y654">
        <f t="shared" si="549"/>
        <v>-178.96171748818219</v>
      </c>
      <c r="Z654">
        <f t="shared" si="579"/>
        <v>1.0382825118178118</v>
      </c>
      <c r="AC654">
        <v>1</v>
      </c>
      <c r="AD654">
        <f t="shared" si="550"/>
        <v>3315.4483872510009</v>
      </c>
      <c r="AE654">
        <f t="shared" si="551"/>
        <v>-24.372944586530505</v>
      </c>
      <c r="AF654">
        <f t="shared" si="552"/>
        <v>0.40922385858900007</v>
      </c>
      <c r="AG654">
        <f t="shared" si="553"/>
        <v>2.2422920586717834</v>
      </c>
      <c r="AH654">
        <f t="shared" si="554"/>
        <v>-135.99221776733594</v>
      </c>
      <c r="AJ654">
        <f t="shared" si="571"/>
        <v>20000</v>
      </c>
      <c r="AK654">
        <f t="shared" si="555"/>
        <v>605749.32840240002</v>
      </c>
      <c r="AL654">
        <v>29</v>
      </c>
      <c r="AM654">
        <f t="shared" si="556"/>
        <v>1500.55282662012</v>
      </c>
      <c r="AN654">
        <f t="shared" si="557"/>
        <v>403.79087839273524</v>
      </c>
      <c r="AO654">
        <f t="shared" si="558"/>
        <v>-5.5246735599994921</v>
      </c>
      <c r="AQ654">
        <f t="shared" si="559"/>
        <v>4.109138707638319E-5</v>
      </c>
      <c r="AR654">
        <f t="shared" si="560"/>
        <v>-0.64102563839157778</v>
      </c>
      <c r="AT654">
        <f t="shared" si="561"/>
        <v>-87.174406071702066</v>
      </c>
      <c r="AU654">
        <f t="shared" si="562"/>
        <v>-1.4429548072300986</v>
      </c>
      <c r="AV654">
        <f t="shared" si="580"/>
        <v>-3.1250416598859774</v>
      </c>
      <c r="AW654">
        <f t="shared" si="581"/>
        <v>402.54875780639156</v>
      </c>
      <c r="AX654">
        <f t="shared" si="582"/>
        <v>-414.77518525434022</v>
      </c>
      <c r="AY654">
        <f t="shared" si="590"/>
        <v>-0.80035614387309295</v>
      </c>
      <c r="BA654">
        <f t="shared" si="572"/>
        <v>0.15084144145404546</v>
      </c>
      <c r="BB654">
        <f t="shared" si="583"/>
        <v>-16.429586521808496</v>
      </c>
      <c r="BC654">
        <f t="shared" si="584"/>
        <v>-2.3246855160128845</v>
      </c>
      <c r="BD654">
        <f t="shared" si="573"/>
        <v>-313.19466891492732</v>
      </c>
      <c r="BF654">
        <f t="shared" si="574"/>
        <v>-91.100370740949842</v>
      </c>
      <c r="BG654">
        <f t="shared" si="575"/>
        <v>-224.95387795518917</v>
      </c>
      <c r="BH654">
        <f t="shared" si="585"/>
        <v>-44.953877955189171</v>
      </c>
      <c r="BI654">
        <f t="shared" si="586"/>
        <v>-44.953877955189171</v>
      </c>
      <c r="BJ654">
        <f t="shared" si="576"/>
        <v>0</v>
      </c>
      <c r="BK654">
        <f t="shared" si="587"/>
        <v>0</v>
      </c>
      <c r="BM654">
        <f t="shared" si="588"/>
        <v>-74.670784219141353</v>
      </c>
      <c r="BN654">
        <f t="shared" si="577"/>
        <v>-91.759209040261879</v>
      </c>
      <c r="BQ654" s="66">
        <f t="shared" si="589"/>
        <v>0.4723742784766391</v>
      </c>
    </row>
    <row r="655" spans="1:69" x14ac:dyDescent="0.15">
      <c r="A655">
        <f t="shared" si="563"/>
        <v>7900000</v>
      </c>
      <c r="B655">
        <f t="shared" si="578"/>
        <v>7900</v>
      </c>
      <c r="C655">
        <f t="shared" si="539"/>
        <v>32.775786869915592</v>
      </c>
      <c r="D655">
        <f t="shared" si="540"/>
        <v>1.5402812634745486</v>
      </c>
      <c r="F655">
        <f t="shared" si="541"/>
        <v>3.709186703827081E-7</v>
      </c>
      <c r="G655">
        <f t="shared" si="542"/>
        <v>1.9948533027020922E-4</v>
      </c>
      <c r="H655">
        <f t="shared" si="564"/>
        <v>-3.1413931646697302</v>
      </c>
      <c r="J655">
        <f t="shared" si="565"/>
        <v>15</v>
      </c>
      <c r="M655">
        <f t="shared" si="543"/>
        <v>1.2063590030603834E-4</v>
      </c>
      <c r="N655">
        <f t="shared" si="566"/>
        <v>-1.5707963250000001</v>
      </c>
      <c r="O655">
        <f t="shared" si="544"/>
        <v>3357.9542847056846</v>
      </c>
      <c r="P655">
        <f t="shared" si="567"/>
        <v>1.5704985264289608</v>
      </c>
      <c r="Q655">
        <f t="shared" si="545"/>
        <v>1519.791012364298</v>
      </c>
      <c r="R655">
        <f t="shared" si="568"/>
        <v>1.5701383415429626</v>
      </c>
      <c r="S655">
        <f t="shared" si="546"/>
        <v>3.2581713968736707E-2</v>
      </c>
      <c r="T655">
        <f t="shared" si="569"/>
        <v>-1.5382088454526768</v>
      </c>
      <c r="U655">
        <f t="shared" si="547"/>
        <v>1.6575276780417217E-2</v>
      </c>
      <c r="V655">
        <f t="shared" si="570"/>
        <v>-1.5542202909392568</v>
      </c>
      <c r="X655">
        <f t="shared" si="548"/>
        <v>-84.346139658607825</v>
      </c>
      <c r="Y655">
        <f t="shared" si="549"/>
        <v>-178.97485500888681</v>
      </c>
      <c r="Z655">
        <f t="shared" si="579"/>
        <v>1.0251449911131942</v>
      </c>
      <c r="AC655">
        <v>1</v>
      </c>
      <c r="AD655">
        <f t="shared" si="550"/>
        <v>3357.9541358055008</v>
      </c>
      <c r="AE655">
        <f t="shared" si="551"/>
        <v>-25.001897956038281</v>
      </c>
      <c r="AF655">
        <f t="shared" si="552"/>
        <v>0.41447031831449999</v>
      </c>
      <c r="AG655">
        <f t="shared" si="553"/>
        <v>2.1858999526226741</v>
      </c>
      <c r="AH655">
        <f t="shared" si="554"/>
        <v>-134.27173213246249</v>
      </c>
      <c r="AJ655">
        <f t="shared" si="571"/>
        <v>20000</v>
      </c>
      <c r="AK655">
        <f t="shared" si="555"/>
        <v>613515.34543320001</v>
      </c>
      <c r="AL655">
        <v>30</v>
      </c>
      <c r="AM655">
        <f t="shared" si="556"/>
        <v>1519.79068337166</v>
      </c>
      <c r="AN655">
        <f t="shared" si="557"/>
        <v>403.78653869409459</v>
      </c>
      <c r="AO655">
        <f t="shared" si="558"/>
        <v>-5.1891381658434375</v>
      </c>
      <c r="AQ655">
        <f t="shared" si="559"/>
        <v>4.0057682903149807E-5</v>
      </c>
      <c r="AR655">
        <f t="shared" si="560"/>
        <v>-0.63291138986976692</v>
      </c>
      <c r="AT655">
        <f t="shared" si="561"/>
        <v>-84.982021042090722</v>
      </c>
      <c r="AU655">
        <f t="shared" si="562"/>
        <v>-1.3888595915992932</v>
      </c>
      <c r="AV655">
        <f t="shared" si="580"/>
        <v>-3.1252511269609329</v>
      </c>
      <c r="AW655">
        <f t="shared" si="581"/>
        <v>402.75314288264929</v>
      </c>
      <c r="AX655">
        <f t="shared" si="582"/>
        <v>-409.2571485647523</v>
      </c>
      <c r="AY655">
        <f t="shared" si="590"/>
        <v>-0.79340774980929152</v>
      </c>
      <c r="BA655">
        <f t="shared" si="572"/>
        <v>0.14802142452023739</v>
      </c>
      <c r="BB655">
        <f t="shared" si="583"/>
        <v>-16.59350841135533</v>
      </c>
      <c r="BC655">
        <f t="shared" si="584"/>
        <v>-2.3318433771516416</v>
      </c>
      <c r="BD655">
        <f t="shared" si="573"/>
        <v>-313.60478414898745</v>
      </c>
      <c r="BF655">
        <f t="shared" si="574"/>
        <v>-91.375046806305363</v>
      </c>
      <c r="BG655">
        <f t="shared" si="575"/>
        <v>-225.34173872046335</v>
      </c>
      <c r="BH655">
        <f t="shared" si="585"/>
        <v>-45.341738720463354</v>
      </c>
      <c r="BI655">
        <f t="shared" si="586"/>
        <v>-45.341738720463354</v>
      </c>
      <c r="BJ655">
        <f t="shared" si="576"/>
        <v>0</v>
      </c>
      <c r="BK655">
        <f t="shared" si="587"/>
        <v>0</v>
      </c>
      <c r="BM655">
        <f t="shared" si="588"/>
        <v>-74.781538394950033</v>
      </c>
      <c r="BN655">
        <f t="shared" si="577"/>
        <v>-91.736954571475934</v>
      </c>
      <c r="BQ655" s="66">
        <f t="shared" si="589"/>
        <v>0.30845238892980503</v>
      </c>
    </row>
    <row r="656" spans="1:69" x14ac:dyDescent="0.15">
      <c r="A656">
        <f t="shared" si="563"/>
        <v>8000000</v>
      </c>
      <c r="B656">
        <f t="shared" si="578"/>
        <v>8000</v>
      </c>
      <c r="C656">
        <f t="shared" si="539"/>
        <v>33.190286452908055</v>
      </c>
      <c r="D656">
        <f t="shared" si="540"/>
        <v>1.5406624694383642</v>
      </c>
      <c r="F656">
        <f t="shared" si="541"/>
        <v>3.6170365645668522E-7</v>
      </c>
      <c r="G656">
        <f t="shared" si="542"/>
        <v>1.9699176186184267E-4</v>
      </c>
      <c r="H656">
        <f t="shared" si="564"/>
        <v>-3.1413956582381384</v>
      </c>
      <c r="J656">
        <f t="shared" si="565"/>
        <v>15</v>
      </c>
      <c r="M656">
        <f t="shared" si="543"/>
        <v>1.1912795155221284E-4</v>
      </c>
      <c r="N656">
        <f t="shared" si="566"/>
        <v>-1.5707963250000001</v>
      </c>
      <c r="O656">
        <f t="shared" si="544"/>
        <v>3400.4600313989317</v>
      </c>
      <c r="P656">
        <f t="shared" si="567"/>
        <v>1.5705022489333191</v>
      </c>
      <c r="Q656">
        <f t="shared" si="545"/>
        <v>1539.0288650034308</v>
      </c>
      <c r="R656">
        <f t="shared" si="568"/>
        <v>1.5701465663562824</v>
      </c>
      <c r="S656">
        <f t="shared" si="546"/>
        <v>3.2174866826149236E-2</v>
      </c>
      <c r="T656">
        <f t="shared" si="569"/>
        <v>-1.5386159060257603</v>
      </c>
      <c r="U656">
        <f t="shared" si="547"/>
        <v>1.6368141681680482E-2</v>
      </c>
      <c r="V656">
        <f t="shared" si="570"/>
        <v>-1.5544274541437415</v>
      </c>
      <c r="X656">
        <f t="shared" si="548"/>
        <v>-84.564611875906976</v>
      </c>
      <c r="Y656">
        <f t="shared" si="549"/>
        <v>-178.98766428624708</v>
      </c>
      <c r="Z656">
        <f t="shared" si="579"/>
        <v>1.0123357137529183</v>
      </c>
      <c r="AC656">
        <v>1</v>
      </c>
      <c r="AD656">
        <f t="shared" si="550"/>
        <v>3400.4598843600006</v>
      </c>
      <c r="AE656">
        <f t="shared" si="551"/>
        <v>-25.638863470380549</v>
      </c>
      <c r="AF656">
        <f t="shared" si="552"/>
        <v>0.41971677804000002</v>
      </c>
      <c r="AG656">
        <f t="shared" si="553"/>
        <v>2.1316085501114994</v>
      </c>
      <c r="AH656">
        <f t="shared" si="554"/>
        <v>-132.59422424924074</v>
      </c>
      <c r="AJ656">
        <f t="shared" si="571"/>
        <v>20000</v>
      </c>
      <c r="AK656">
        <f t="shared" si="555"/>
        <v>621281.36246400001</v>
      </c>
      <c r="AL656">
        <v>31</v>
      </c>
      <c r="AM656">
        <f t="shared" si="556"/>
        <v>1539.0285401231999</v>
      </c>
      <c r="AN656">
        <f t="shared" si="557"/>
        <v>403.78204059415373</v>
      </c>
      <c r="AO656">
        <f t="shared" si="558"/>
        <v>-4.8619999866813597</v>
      </c>
      <c r="AQ656">
        <f t="shared" si="559"/>
        <v>3.9062499847412111E-5</v>
      </c>
      <c r="AR656">
        <f t="shared" si="560"/>
        <v>-0.62499999755859381</v>
      </c>
      <c r="AT656">
        <f t="shared" si="561"/>
        <v>-82.871306566100444</v>
      </c>
      <c r="AU656">
        <f t="shared" si="562"/>
        <v>-1.3374348004800687</v>
      </c>
      <c r="AV656">
        <f t="shared" si="580"/>
        <v>-3.1254553588002967</v>
      </c>
      <c r="AW656">
        <f t="shared" si="581"/>
        <v>402.94738033542279</v>
      </c>
      <c r="AX656">
        <f t="shared" si="582"/>
        <v>-403.87694025210953</v>
      </c>
      <c r="AY656">
        <f t="shared" si="590"/>
        <v>-0.78655028472259081</v>
      </c>
      <c r="BA656">
        <f t="shared" si="572"/>
        <v>0.14527686686281968</v>
      </c>
      <c r="BB656">
        <f t="shared" si="583"/>
        <v>-16.756070700091584</v>
      </c>
      <c r="BC656">
        <f t="shared" si="584"/>
        <v>-2.3389050740777058</v>
      </c>
      <c r="BD656">
        <f t="shared" si="573"/>
        <v>-314.00938957951371</v>
      </c>
      <c r="BF656">
        <f t="shared" si="574"/>
        <v>-91.646967524627598</v>
      </c>
      <c r="BG656">
        <f t="shared" si="575"/>
        <v>-225.72464552905876</v>
      </c>
      <c r="BH656">
        <f t="shared" si="585"/>
        <v>-45.724645529058762</v>
      </c>
      <c r="BI656">
        <f t="shared" si="586"/>
        <v>-45.724645529058762</v>
      </c>
      <c r="BJ656">
        <f t="shared" si="576"/>
        <v>0</v>
      </c>
      <c r="BK656">
        <f t="shared" si="587"/>
        <v>0</v>
      </c>
      <c r="BM656">
        <f t="shared" si="588"/>
        <v>-74.890896824536014</v>
      </c>
      <c r="BN656">
        <f t="shared" si="577"/>
        <v>-91.715255949544996</v>
      </c>
      <c r="BQ656" s="66">
        <f t="shared" si="589"/>
        <v>0.14589010019355048</v>
      </c>
    </row>
    <row r="657" spans="1:69" x14ac:dyDescent="0.15">
      <c r="A657">
        <f t="shared" si="563"/>
        <v>8100000</v>
      </c>
      <c r="B657">
        <f t="shared" si="578"/>
        <v>8100</v>
      </c>
      <c r="C657">
        <f t="shared" si="539"/>
        <v>33.604790740063173</v>
      </c>
      <c r="D657">
        <f t="shared" si="540"/>
        <v>1.5410342713491527</v>
      </c>
      <c r="F657">
        <f t="shared" si="541"/>
        <v>3.5282782831016099E-7</v>
      </c>
      <c r="G657">
        <f t="shared" si="542"/>
        <v>1.9455976310851496E-4</v>
      </c>
      <c r="H657">
        <f t="shared" si="564"/>
        <v>-3.1413980902368919</v>
      </c>
      <c r="J657">
        <f t="shared" si="565"/>
        <v>15</v>
      </c>
      <c r="M657">
        <f t="shared" si="543"/>
        <v>1.1765723610095095E-4</v>
      </c>
      <c r="N657">
        <f t="shared" si="566"/>
        <v>-1.5707963250000001</v>
      </c>
      <c r="O657">
        <f t="shared" si="544"/>
        <v>3442.965778138137</v>
      </c>
      <c r="P657">
        <f t="shared" si="567"/>
        <v>1.5705058795239972</v>
      </c>
      <c r="Q657">
        <f t="shared" si="545"/>
        <v>1558.2667177441047</v>
      </c>
      <c r="R657">
        <f t="shared" si="568"/>
        <v>1.5701545880878762</v>
      </c>
      <c r="S657">
        <f t="shared" si="546"/>
        <v>3.1778049883551866E-2</v>
      </c>
      <c r="T657">
        <f t="shared" si="569"/>
        <v>-1.5390129259981313</v>
      </c>
      <c r="U657">
        <f t="shared" si="547"/>
        <v>1.6166118999615824E-2</v>
      </c>
      <c r="V657">
        <f t="shared" si="570"/>
        <v>-1.5546295035610298</v>
      </c>
      <c r="X657">
        <f t="shared" si="548"/>
        <v>-84.780371144985054</v>
      </c>
      <c r="Y657">
        <f t="shared" si="549"/>
        <v>-179.00015746799789</v>
      </c>
      <c r="Z657">
        <f t="shared" si="579"/>
        <v>0.9998425320021056</v>
      </c>
      <c r="AC657">
        <v>1</v>
      </c>
      <c r="AD657">
        <f t="shared" si="550"/>
        <v>3442.9656329145005</v>
      </c>
      <c r="AE657">
        <f t="shared" si="551"/>
        <v>-26.283841129557306</v>
      </c>
      <c r="AF657">
        <f t="shared" si="552"/>
        <v>0.42496323776550005</v>
      </c>
      <c r="AG657">
        <f t="shared" si="553"/>
        <v>2.0793148012328579</v>
      </c>
      <c r="AH657">
        <f t="shared" si="554"/>
        <v>-130.95810401522576</v>
      </c>
      <c r="AJ657">
        <f t="shared" si="571"/>
        <v>20000</v>
      </c>
      <c r="AK657">
        <f t="shared" si="555"/>
        <v>629047.3794948</v>
      </c>
      <c r="AL657">
        <v>32</v>
      </c>
      <c r="AM657">
        <f t="shared" si="556"/>
        <v>1558.2663968747399</v>
      </c>
      <c r="AN657">
        <f t="shared" si="557"/>
        <v>403.77739973899963</v>
      </c>
      <c r="AO657">
        <f t="shared" si="558"/>
        <v>-4.5429479982048679</v>
      </c>
      <c r="AQ657">
        <f t="shared" si="559"/>
        <v>3.8103947423777063E-5</v>
      </c>
      <c r="AR657">
        <f t="shared" si="560"/>
        <v>-0.6172839482651884</v>
      </c>
      <c r="AT657">
        <f t="shared" si="561"/>
        <v>-80.838256273739916</v>
      </c>
      <c r="AU657">
        <f t="shared" si="562"/>
        <v>-1.2885176709013777</v>
      </c>
      <c r="AV657">
        <f t="shared" si="580"/>
        <v>-3.1256545492318422</v>
      </c>
      <c r="AW657">
        <f t="shared" si="581"/>
        <v>403.13203034858662</v>
      </c>
      <c r="AX657">
        <f t="shared" si="582"/>
        <v>-398.62946699374396</v>
      </c>
      <c r="AY657">
        <f t="shared" si="590"/>
        <v>-0.7797823835960398</v>
      </c>
      <c r="BA657">
        <f t="shared" si="572"/>
        <v>0.14260509848350972</v>
      </c>
      <c r="BB657">
        <f t="shared" si="583"/>
        <v>-16.91729894218355</v>
      </c>
      <c r="BC657">
        <f t="shared" si="584"/>
        <v>-2.3458721656358024</v>
      </c>
      <c r="BD657">
        <f t="shared" si="573"/>
        <v>-314.40857452173009</v>
      </c>
      <c r="BF657">
        <f t="shared" si="574"/>
        <v>-91.916193222435851</v>
      </c>
      <c r="BG657">
        <f t="shared" si="575"/>
        <v>-226.10266713421214</v>
      </c>
      <c r="BH657">
        <f t="shared" si="585"/>
        <v>-46.10266713421214</v>
      </c>
      <c r="BI657">
        <f t="shared" si="586"/>
        <v>-46.10266713421214</v>
      </c>
      <c r="BJ657">
        <f t="shared" si="576"/>
        <v>0</v>
      </c>
      <c r="BK657">
        <f t="shared" si="587"/>
        <v>0</v>
      </c>
      <c r="BM657">
        <f t="shared" si="588"/>
        <v>-74.998894280252301</v>
      </c>
      <c r="BN657">
        <f t="shared" si="577"/>
        <v>-91.694092612482081</v>
      </c>
      <c r="BQ657" s="66">
        <f t="shared" si="589"/>
        <v>-1.5338141898411912E-2</v>
      </c>
    </row>
    <row r="658" spans="1:69" x14ac:dyDescent="0.15">
      <c r="A658">
        <f t="shared" si="563"/>
        <v>8200000</v>
      </c>
      <c r="B658">
        <f t="shared" si="578"/>
        <v>8200</v>
      </c>
      <c r="C658">
        <f t="shared" si="539"/>
        <v>34.019299559428951</v>
      </c>
      <c r="D658">
        <f t="shared" si="540"/>
        <v>1.5413970128537968</v>
      </c>
      <c r="F658">
        <f t="shared" si="541"/>
        <v>3.442747415946428E-7</v>
      </c>
      <c r="G658">
        <f t="shared" si="542"/>
        <v>1.921870814587722E-4</v>
      </c>
      <c r="H658">
        <f t="shared" si="564"/>
        <v>-3.1414004629185412</v>
      </c>
      <c r="J658">
        <f t="shared" si="565"/>
        <v>15</v>
      </c>
      <c r="M658">
        <f t="shared" si="543"/>
        <v>1.1622239175825644E-4</v>
      </c>
      <c r="N658">
        <f t="shared" si="566"/>
        <v>-1.5707963250000001</v>
      </c>
      <c r="O658">
        <f t="shared" si="544"/>
        <v>3485.4715249216169</v>
      </c>
      <c r="P658">
        <f t="shared" si="567"/>
        <v>1.5705094215636908</v>
      </c>
      <c r="Q658">
        <f t="shared" si="545"/>
        <v>1577.5045705826044</v>
      </c>
      <c r="R658">
        <f t="shared" si="568"/>
        <v>1.5701624141675596</v>
      </c>
      <c r="S658">
        <f t="shared" si="546"/>
        <v>3.1390896919408336E-2</v>
      </c>
      <c r="T658">
        <f t="shared" si="569"/>
        <v>-1.5394002722171298</v>
      </c>
      <c r="U658">
        <f t="shared" si="547"/>
        <v>1.5969021791785429E-2</v>
      </c>
      <c r="V658">
        <f t="shared" si="570"/>
        <v>-1.5548266262160864</v>
      </c>
      <c r="X658">
        <f t="shared" si="548"/>
        <v>-84.993484005436102</v>
      </c>
      <c r="Y658">
        <f t="shared" si="549"/>
        <v>-179.01234610986495</v>
      </c>
      <c r="Z658">
        <f t="shared" si="579"/>
        <v>0.98765389013505001</v>
      </c>
      <c r="AC658">
        <v>1</v>
      </c>
      <c r="AD658">
        <f t="shared" si="550"/>
        <v>3485.4713814690003</v>
      </c>
      <c r="AE658">
        <f t="shared" si="551"/>
        <v>-26.936830933568562</v>
      </c>
      <c r="AF658">
        <f t="shared" si="552"/>
        <v>0.43020969749100002</v>
      </c>
      <c r="AG658">
        <f t="shared" si="553"/>
        <v>2.028921897811053</v>
      </c>
      <c r="AH658">
        <f t="shared" si="554"/>
        <v>-129.36185879425847</v>
      </c>
      <c r="AJ658">
        <f t="shared" si="571"/>
        <v>20000</v>
      </c>
      <c r="AK658">
        <f t="shared" si="555"/>
        <v>636813.39652559999</v>
      </c>
      <c r="AL658">
        <v>33</v>
      </c>
      <c r="AM658">
        <f t="shared" si="556"/>
        <v>1577.5042536262799</v>
      </c>
      <c r="AN658">
        <f t="shared" si="557"/>
        <v>403.77263053994022</v>
      </c>
      <c r="AO658">
        <f t="shared" si="558"/>
        <v>-4.2316863341805231</v>
      </c>
      <c r="AQ658">
        <f t="shared" si="559"/>
        <v>3.7180249713041904E-5</v>
      </c>
      <c r="AR658">
        <f t="shared" si="560"/>
        <v>-0.60975609529388719</v>
      </c>
      <c r="AT658">
        <f t="shared" si="561"/>
        <v>-78.879106462523438</v>
      </c>
      <c r="AU658">
        <f t="shared" si="562"/>
        <v>-1.2419572002788448</v>
      </c>
      <c r="AV658">
        <f t="shared" si="580"/>
        <v>-3.1258488826325079</v>
      </c>
      <c r="AW658">
        <f t="shared" si="581"/>
        <v>403.30761690382019</v>
      </c>
      <c r="AX658">
        <f t="shared" si="582"/>
        <v>-393.50988303988396</v>
      </c>
      <c r="AY658">
        <f t="shared" si="590"/>
        <v>-0.77310270035306028</v>
      </c>
      <c r="BA658">
        <f t="shared" si="572"/>
        <v>0.14000357108672878</v>
      </c>
      <c r="BB658">
        <f t="shared" si="583"/>
        <v>-17.07721773165224</v>
      </c>
      <c r="BC658">
        <f t="shared" si="584"/>
        <v>-2.3527461822794478</v>
      </c>
      <c r="BD658">
        <f t="shared" si="573"/>
        <v>-314.80242666416365</v>
      </c>
      <c r="BF658">
        <f t="shared" si="574"/>
        <v>-92.182781981548771</v>
      </c>
      <c r="BG658">
        <f t="shared" si="575"/>
        <v>-226.47587166399643</v>
      </c>
      <c r="BH658">
        <f t="shared" si="585"/>
        <v>-46.475871663996429</v>
      </c>
      <c r="BI658">
        <f t="shared" si="586"/>
        <v>-46.475871663996429</v>
      </c>
      <c r="BJ658">
        <f t="shared" si="576"/>
        <v>0</v>
      </c>
      <c r="BK658">
        <f t="shared" si="587"/>
        <v>0</v>
      </c>
      <c r="BM658">
        <f t="shared" si="588"/>
        <v>-75.105564249896531</v>
      </c>
      <c r="BN658">
        <f t="shared" si="577"/>
        <v>-91.673444999832796</v>
      </c>
      <c r="BQ658" s="66">
        <f t="shared" si="589"/>
        <v>-0.17525693136710152</v>
      </c>
    </row>
    <row r="659" spans="1:69" x14ac:dyDescent="0.15">
      <c r="A659">
        <f t="shared" si="563"/>
        <v>8300000</v>
      </c>
      <c r="B659">
        <f t="shared" si="578"/>
        <v>8300</v>
      </c>
      <c r="C659">
        <f t="shared" si="539"/>
        <v>34.43381274733126</v>
      </c>
      <c r="D659">
        <f t="shared" si="540"/>
        <v>1.5417510210617473</v>
      </c>
      <c r="F659">
        <f t="shared" si="541"/>
        <v>3.3602893658100857E-7</v>
      </c>
      <c r="G659">
        <f t="shared" si="542"/>
        <v>1.8987157291804017E-4</v>
      </c>
      <c r="H659">
        <f t="shared" si="564"/>
        <v>-3.1414027784270822</v>
      </c>
      <c r="J659">
        <f t="shared" si="565"/>
        <v>15</v>
      </c>
      <c r="M659">
        <f t="shared" si="543"/>
        <v>1.1482212197803647E-4</v>
      </c>
      <c r="N659">
        <f t="shared" si="566"/>
        <v>-1.5707963250000001</v>
      </c>
      <c r="O659">
        <f t="shared" si="544"/>
        <v>3527.9772717477722</v>
      </c>
      <c r="P659">
        <f t="shared" si="567"/>
        <v>1.5705128782530371</v>
      </c>
      <c r="Q659">
        <f t="shared" si="545"/>
        <v>1596.7424235153942</v>
      </c>
      <c r="R659">
        <f t="shared" si="568"/>
        <v>1.5701700516670845</v>
      </c>
      <c r="S659">
        <f t="shared" si="546"/>
        <v>3.1013059317880311E-2</v>
      </c>
      <c r="T659">
        <f t="shared" si="569"/>
        <v>-1.539778293879758</v>
      </c>
      <c r="U659">
        <f t="shared" si="547"/>
        <v>1.5776672119278193E-2</v>
      </c>
      <c r="V659">
        <f t="shared" si="570"/>
        <v>-1.5550190001244575</v>
      </c>
      <c r="X659">
        <f t="shared" si="548"/>
        <v>-85.204014578935855</v>
      </c>
      <c r="Y659">
        <f t="shared" si="549"/>
        <v>-179.02424121118855</v>
      </c>
      <c r="Z659">
        <f t="shared" si="579"/>
        <v>0.97575878881144718</v>
      </c>
      <c r="AC659">
        <v>1</v>
      </c>
      <c r="AD659">
        <f t="shared" si="550"/>
        <v>3527.9771300235002</v>
      </c>
      <c r="AE659">
        <f t="shared" si="551"/>
        <v>-27.597832882414309</v>
      </c>
      <c r="AF659">
        <f t="shared" si="552"/>
        <v>0.43545615721650005</v>
      </c>
      <c r="AG659">
        <f t="shared" si="553"/>
        <v>1.9803388251985869</v>
      </c>
      <c r="AH659">
        <f t="shared" si="554"/>
        <v>-127.80404875689405</v>
      </c>
      <c r="AJ659">
        <f t="shared" si="571"/>
        <v>20000</v>
      </c>
      <c r="AK659">
        <f t="shared" si="555"/>
        <v>644579.41355639999</v>
      </c>
      <c r="AL659">
        <v>34</v>
      </c>
      <c r="AM659">
        <f t="shared" si="556"/>
        <v>1596.7421103778199</v>
      </c>
      <c r="AN659">
        <f t="shared" si="557"/>
        <v>403.76774627594585</v>
      </c>
      <c r="AO659">
        <f t="shared" si="558"/>
        <v>-3.9279333749980374</v>
      </c>
      <c r="AQ659">
        <f t="shared" si="559"/>
        <v>3.6289737130607717E-5</v>
      </c>
      <c r="AR659">
        <f t="shared" si="560"/>
        <v>-0.60240963636808809</v>
      </c>
      <c r="AT659">
        <f t="shared" si="561"/>
        <v>-76.990318672034547</v>
      </c>
      <c r="AU659">
        <f t="shared" si="562"/>
        <v>-1.1976131669071024</v>
      </c>
      <c r="AV659">
        <f t="shared" si="580"/>
        <v>-3.1260385344974311</v>
      </c>
      <c r="AW659">
        <f t="shared" si="581"/>
        <v>403.47463048879001</v>
      </c>
      <c r="AX659">
        <f t="shared" si="582"/>
        <v>-388.51357537156707</v>
      </c>
      <c r="AY659">
        <f t="shared" si="590"/>
        <v>-0.76650990753130011</v>
      </c>
      <c r="BA659">
        <f t="shared" si="572"/>
        <v>0.13746985105931195</v>
      </c>
      <c r="BB659">
        <f t="shared" si="583"/>
        <v>-17.235850757294187</v>
      </c>
      <c r="BC659">
        <f t="shared" si="584"/>
        <v>-2.3595286269661311</v>
      </c>
      <c r="BD659">
        <f t="shared" si="573"/>
        <v>-315.19103211993558</v>
      </c>
      <c r="BF659">
        <f t="shared" si="574"/>
        <v>-92.446789756559326</v>
      </c>
      <c r="BG659">
        <f t="shared" si="575"/>
        <v>-226.84432661238364</v>
      </c>
      <c r="BH659">
        <f t="shared" si="585"/>
        <v>-46.844326612383639</v>
      </c>
      <c r="BI659">
        <f t="shared" si="586"/>
        <v>-46.844326612383639</v>
      </c>
      <c r="BJ659">
        <f t="shared" si="576"/>
        <v>0</v>
      </c>
      <c r="BK659">
        <f t="shared" si="587"/>
        <v>0</v>
      </c>
      <c r="BM659">
        <f t="shared" si="588"/>
        <v>-75.210938999265139</v>
      </c>
      <c r="BN659">
        <f t="shared" si="577"/>
        <v>-91.65329449244804</v>
      </c>
      <c r="BQ659" s="66">
        <f t="shared" si="589"/>
        <v>-0.33388995700905189</v>
      </c>
    </row>
    <row r="660" spans="1:69" x14ac:dyDescent="0.15">
      <c r="A660">
        <f t="shared" si="563"/>
        <v>8400000</v>
      </c>
      <c r="B660">
        <f t="shared" si="578"/>
        <v>8400</v>
      </c>
      <c r="C660">
        <f t="shared" si="539"/>
        <v>34.848330147881782</v>
      </c>
      <c r="D660">
        <f t="shared" si="540"/>
        <v>1.5420966075277225</v>
      </c>
      <c r="F660">
        <f t="shared" si="541"/>
        <v>3.2807586825157641E-7</v>
      </c>
      <c r="G660">
        <f t="shared" si="542"/>
        <v>1.8761119558689281E-4</v>
      </c>
      <c r="H660">
        <f t="shared" si="564"/>
        <v>-3.1414050388044132</v>
      </c>
      <c r="J660">
        <f t="shared" si="565"/>
        <v>15</v>
      </c>
      <c r="M660">
        <f t="shared" si="543"/>
        <v>1.1345519195448843E-4</v>
      </c>
      <c r="N660">
        <f t="shared" si="566"/>
        <v>-1.5707963250000001</v>
      </c>
      <c r="O660">
        <f t="shared" si="544"/>
        <v>3570.483018615078</v>
      </c>
      <c r="P660">
        <f t="shared" si="567"/>
        <v>1.5705162526402627</v>
      </c>
      <c r="Q660">
        <f t="shared" si="545"/>
        <v>1615.9802765391066</v>
      </c>
      <c r="R660">
        <f t="shared" si="568"/>
        <v>1.5701775073214532</v>
      </c>
      <c r="S660">
        <f t="shared" si="546"/>
        <v>3.0644205023918087E-2</v>
      </c>
      <c r="T660">
        <f t="shared" si="569"/>
        <v>-1.5401473235812615</v>
      </c>
      <c r="U660">
        <f t="shared" si="547"/>
        <v>1.5588900511188513E-2</v>
      </c>
      <c r="V660">
        <f t="shared" si="570"/>
        <v>-1.5552067948282771</v>
      </c>
      <c r="X660">
        <f t="shared" si="548"/>
        <v>-85.412024684970049</v>
      </c>
      <c r="Y660">
        <f t="shared" si="549"/>
        <v>-179.0358532480054</v>
      </c>
      <c r="Z660">
        <f t="shared" si="579"/>
        <v>0.96414675199460476</v>
      </c>
      <c r="AC660">
        <v>1</v>
      </c>
      <c r="AD660">
        <f t="shared" si="550"/>
        <v>3570.4828785780001</v>
      </c>
      <c r="AE660">
        <f t="shared" si="551"/>
        <v>-28.266846976094552</v>
      </c>
      <c r="AF660">
        <f t="shared" si="552"/>
        <v>0.44070261694200008</v>
      </c>
      <c r="AG660">
        <f t="shared" si="553"/>
        <v>1.9334799511753336</v>
      </c>
      <c r="AH660">
        <f t="shared" si="554"/>
        <v>-126.28330255307822</v>
      </c>
      <c r="AJ660">
        <f t="shared" si="571"/>
        <v>20000</v>
      </c>
      <c r="AK660">
        <f t="shared" si="555"/>
        <v>652345.4305872001</v>
      </c>
      <c r="AL660">
        <v>35</v>
      </c>
      <c r="AM660">
        <f t="shared" si="556"/>
        <v>1615.9799671293599</v>
      </c>
      <c r="AN660">
        <f t="shared" si="557"/>
        <v>403.7627591867971</v>
      </c>
      <c r="AO660">
        <f t="shared" si="558"/>
        <v>-3.6314209011431018</v>
      </c>
      <c r="AQ660">
        <f t="shared" si="559"/>
        <v>3.5430838876733138E-5</v>
      </c>
      <c r="AR660">
        <f t="shared" si="560"/>
        <v>-0.59523809312911669</v>
      </c>
      <c r="AT660">
        <f t="shared" si="561"/>
        <v>-75.168563700924963</v>
      </c>
      <c r="AU660">
        <f t="shared" si="562"/>
        <v>-1.1553552425865632</v>
      </c>
      <c r="AV660">
        <f t="shared" si="580"/>
        <v>-3.1262236719683543</v>
      </c>
      <c r="AW660">
        <f t="shared" si="581"/>
        <v>403.63353057477707</v>
      </c>
      <c r="AX660">
        <f t="shared" si="582"/>
        <v>-383.63614991226916</v>
      </c>
      <c r="AY660">
        <f t="shared" si="590"/>
        <v>-0.76000269599341463</v>
      </c>
      <c r="BA660">
        <f t="shared" si="572"/>
        <v>0.13500161294709573</v>
      </c>
      <c r="BB660">
        <f t="shared" si="583"/>
        <v>-17.393220853827486</v>
      </c>
      <c r="BC660">
        <f t="shared" si="584"/>
        <v>-2.3662209759749397</v>
      </c>
      <c r="BD660">
        <f t="shared" si="573"/>
        <v>-315.57447547360704</v>
      </c>
      <c r="BF660">
        <f t="shared" si="574"/>
        <v>-92.708270484770182</v>
      </c>
      <c r="BG660">
        <f t="shared" si="575"/>
        <v>-227.20809883015656</v>
      </c>
      <c r="BH660">
        <f t="shared" si="585"/>
        <v>-47.208098830156558</v>
      </c>
      <c r="BI660">
        <f t="shared" si="586"/>
        <v>-47.208098830156558</v>
      </c>
      <c r="BJ660">
        <f t="shared" si="576"/>
        <v>0</v>
      </c>
      <c r="BK660">
        <f t="shared" si="587"/>
        <v>0</v>
      </c>
      <c r="BM660">
        <f t="shared" si="588"/>
        <v>-75.315049630942696</v>
      </c>
      <c r="BN660">
        <f t="shared" si="577"/>
        <v>-91.633623356549521</v>
      </c>
      <c r="BQ660" s="66">
        <f t="shared" si="589"/>
        <v>-0.49126005354234886</v>
      </c>
    </row>
    <row r="661" spans="1:69" x14ac:dyDescent="0.15">
      <c r="A661">
        <f t="shared" si="563"/>
        <v>8500000</v>
      </c>
      <c r="B661">
        <f t="shared" si="578"/>
        <v>8500</v>
      </c>
      <c r="C661">
        <f t="shared" si="539"/>
        <v>35.262851612520542</v>
      </c>
      <c r="D661">
        <f t="shared" si="540"/>
        <v>1.5424340691651743</v>
      </c>
      <c r="F661">
        <f t="shared" si="541"/>
        <v>3.2040184211508991E-7</v>
      </c>
      <c r="G661">
        <f t="shared" si="542"/>
        <v>1.8540400365544331E-4</v>
      </c>
      <c r="H661">
        <f t="shared" si="564"/>
        <v>-3.1414072459963447</v>
      </c>
      <c r="J661">
        <f t="shared" si="565"/>
        <v>15</v>
      </c>
      <c r="M661">
        <f t="shared" si="543"/>
        <v>1.1212042499031798E-4</v>
      </c>
      <c r="N661">
        <f t="shared" si="566"/>
        <v>-1.5707963250000001</v>
      </c>
      <c r="O661">
        <f t="shared" si="544"/>
        <v>3612.9887655220837</v>
      </c>
      <c r="P661">
        <f t="shared" si="567"/>
        <v>1.5705195476301479</v>
      </c>
      <c r="Q661">
        <f t="shared" si="545"/>
        <v>1635.218129650533</v>
      </c>
      <c r="R661">
        <f t="shared" si="568"/>
        <v>1.5701847875487267</v>
      </c>
      <c r="S661">
        <f t="shared" si="546"/>
        <v>3.0284017571863317E-2</v>
      </c>
      <c r="T661">
        <f t="shared" si="569"/>
        <v>-1.5405076782898548</v>
      </c>
      <c r="U661">
        <f t="shared" si="547"/>
        <v>1.5405545466864042E-2</v>
      </c>
      <c r="V661">
        <f t="shared" si="570"/>
        <v>-1.5553901718944585</v>
      </c>
      <c r="X661">
        <f t="shared" si="548"/>
        <v>-85.617573949721972</v>
      </c>
      <c r="Y661">
        <f t="shared" si="549"/>
        <v>-179.04719220379815</v>
      </c>
      <c r="Z661">
        <f t="shared" si="579"/>
        <v>0.95280779620185285</v>
      </c>
      <c r="AC661">
        <v>1</v>
      </c>
      <c r="AD661">
        <f t="shared" si="550"/>
        <v>3612.9886271325008</v>
      </c>
      <c r="AE661">
        <f t="shared" si="551"/>
        <v>-28.94387321460929</v>
      </c>
      <c r="AF661">
        <f t="shared" si="552"/>
        <v>0.4459490766675</v>
      </c>
      <c r="AG661">
        <f t="shared" si="553"/>
        <v>1.8882646484799162</v>
      </c>
      <c r="AH661">
        <f t="shared" si="554"/>
        <v>-124.79831328976358</v>
      </c>
      <c r="AJ661">
        <f t="shared" si="571"/>
        <v>20000</v>
      </c>
      <c r="AK661">
        <f t="shared" si="555"/>
        <v>660111.44761800009</v>
      </c>
      <c r="AL661">
        <v>36</v>
      </c>
      <c r="AM661">
        <f t="shared" si="556"/>
        <v>1635.2178238808999</v>
      </c>
      <c r="AN661">
        <f t="shared" si="557"/>
        <v>403.75768055786142</v>
      </c>
      <c r="AO661">
        <f t="shared" si="558"/>
        <v>-3.3418933062675613</v>
      </c>
      <c r="AQ661">
        <f t="shared" si="559"/>
        <v>3.4602076004837107E-5</v>
      </c>
      <c r="AR661">
        <f t="shared" si="560"/>
        <v>-0.5882352920822308</v>
      </c>
      <c r="AT661">
        <f t="shared" si="561"/>
        <v>-73.410706931496932</v>
      </c>
      <c r="AU661">
        <f t="shared" si="562"/>
        <v>-1.1150621877488622</v>
      </c>
      <c r="AV661">
        <f t="shared" si="580"/>
        <v>-3.12640445432476</v>
      </c>
      <c r="AW661">
        <f t="shared" si="581"/>
        <v>403.78474788574152</v>
      </c>
      <c r="AX661">
        <f t="shared" si="582"/>
        <v>-378.87341870710429</v>
      </c>
      <c r="AY661">
        <f t="shared" si="590"/>
        <v>-0.75357977466910142</v>
      </c>
      <c r="BA661">
        <f t="shared" si="572"/>
        <v>0.13259663338696362</v>
      </c>
      <c r="BB661">
        <f t="shared" si="583"/>
        <v>-17.549350049548828</v>
      </c>
      <c r="BC661">
        <f t="shared" si="584"/>
        <v>-2.3728246796556585</v>
      </c>
      <c r="BD661">
        <f t="shared" si="573"/>
        <v>-315.95283982409956</v>
      </c>
      <c r="BF661">
        <f t="shared" si="574"/>
        <v>-92.967276189143959</v>
      </c>
      <c r="BG661">
        <f t="shared" si="575"/>
        <v>-227.5672545158358</v>
      </c>
      <c r="BH661">
        <f t="shared" si="585"/>
        <v>-47.567254515835799</v>
      </c>
      <c r="BI661">
        <f t="shared" si="586"/>
        <v>-47.567254515835799</v>
      </c>
      <c r="BJ661">
        <f t="shared" si="576"/>
        <v>0</v>
      </c>
      <c r="BK661">
        <f t="shared" si="587"/>
        <v>0</v>
      </c>
      <c r="BM661">
        <f t="shared" si="588"/>
        <v>-75.417926139595124</v>
      </c>
      <c r="BN661">
        <f t="shared" si="577"/>
        <v>-91.614414691736258</v>
      </c>
      <c r="BQ661" s="66">
        <f t="shared" si="589"/>
        <v>-0.6473892492636889</v>
      </c>
    </row>
    <row r="662" spans="1:69" x14ac:dyDescent="0.15">
      <c r="A662">
        <f t="shared" si="563"/>
        <v>8600000</v>
      </c>
      <c r="B662">
        <f t="shared" si="578"/>
        <v>8600</v>
      </c>
      <c r="C662">
        <f t="shared" si="539"/>
        <v>35.677376999590408</v>
      </c>
      <c r="D662">
        <f t="shared" si="540"/>
        <v>1.542763689096148</v>
      </c>
      <c r="F662">
        <f t="shared" si="541"/>
        <v>3.1299395521538925E-7</v>
      </c>
      <c r="G662">
        <f t="shared" si="542"/>
        <v>1.8324814181673254E-4</v>
      </c>
      <c r="H662">
        <f t="shared" si="564"/>
        <v>-3.1414094018581835</v>
      </c>
      <c r="J662">
        <f t="shared" si="565"/>
        <v>15</v>
      </c>
      <c r="M662">
        <f t="shared" si="543"/>
        <v>1.1081669911833754E-4</v>
      </c>
      <c r="N662">
        <f t="shared" si="566"/>
        <v>-1.5707963250000001</v>
      </c>
      <c r="O662">
        <f t="shared" si="544"/>
        <v>3655.4945124674023</v>
      </c>
      <c r="P662">
        <f t="shared" si="567"/>
        <v>1.5705227659923671</v>
      </c>
      <c r="Q662">
        <f t="shared" si="545"/>
        <v>1654.4559828466129</v>
      </c>
      <c r="R662">
        <f t="shared" si="568"/>
        <v>1.5701918984684515</v>
      </c>
      <c r="S662">
        <f t="shared" si="546"/>
        <v>2.9932195181602887E-2</v>
      </c>
      <c r="T662">
        <f t="shared" si="569"/>
        <v>-1.5408596602535929</v>
      </c>
      <c r="U662">
        <f t="shared" si="547"/>
        <v>1.5226452992851082E-2</v>
      </c>
      <c r="V662">
        <f t="shared" si="570"/>
        <v>-1.5555692853781486</v>
      </c>
      <c r="X662">
        <f t="shared" si="548"/>
        <v>-85.820719908598704</v>
      </c>
      <c r="Y662">
        <f t="shared" si="549"/>
        <v>-179.05826759810265</v>
      </c>
      <c r="Z662">
        <f t="shared" si="579"/>
        <v>0.94173240189735452</v>
      </c>
      <c r="AC662">
        <v>1</v>
      </c>
      <c r="AD662">
        <f t="shared" si="550"/>
        <v>3655.4943756870007</v>
      </c>
      <c r="AE662">
        <f t="shared" si="551"/>
        <v>-29.628911597958524</v>
      </c>
      <c r="AF662">
        <f t="shared" si="552"/>
        <v>0.45119553639300003</v>
      </c>
      <c r="AG662">
        <f t="shared" si="553"/>
        <v>1.8446169478653778</v>
      </c>
      <c r="AH662">
        <f t="shared" si="554"/>
        <v>-123.34783478869271</v>
      </c>
      <c r="AJ662">
        <f t="shared" si="571"/>
        <v>20000</v>
      </c>
      <c r="AK662">
        <f t="shared" si="555"/>
        <v>667877.46464880009</v>
      </c>
      <c r="AL662">
        <v>37</v>
      </c>
      <c r="AM662">
        <f t="shared" si="556"/>
        <v>1654.4556806324401</v>
      </c>
      <c r="AN662">
        <f t="shared" si="557"/>
        <v>403.75252079732752</v>
      </c>
      <c r="AO662">
        <f t="shared" si="558"/>
        <v>-3.0591068650229296</v>
      </c>
      <c r="AQ662">
        <f t="shared" si="559"/>
        <v>3.3802055050696138E-5</v>
      </c>
      <c r="AR662">
        <f t="shared" si="560"/>
        <v>-0.58139534687197358</v>
      </c>
      <c r="AT662">
        <f t="shared" si="561"/>
        <v>-71.713794841035266</v>
      </c>
      <c r="AU662">
        <f t="shared" si="562"/>
        <v>-1.0766211205520242</v>
      </c>
      <c r="AV662">
        <f t="shared" si="580"/>
        <v>-3.1265810334407567</v>
      </c>
      <c r="AW662">
        <f t="shared" si="581"/>
        <v>403.92868647850412</v>
      </c>
      <c r="AX662">
        <f t="shared" si="582"/>
        <v>-374.22138799139907</v>
      </c>
      <c r="AY662">
        <f t="shared" si="590"/>
        <v>-0.74723987032342054</v>
      </c>
      <c r="BA662">
        <f t="shared" si="572"/>
        <v>0.13025278545684543</v>
      </c>
      <c r="BB662">
        <f t="shared" si="583"/>
        <v>-17.704259610764129</v>
      </c>
      <c r="BC662">
        <f t="shared" si="584"/>
        <v>-2.3793411631173362</v>
      </c>
      <c r="BD662">
        <f t="shared" si="573"/>
        <v>-316.32620682414711</v>
      </c>
      <c r="BF662">
        <f t="shared" si="574"/>
        <v>-93.223857074777655</v>
      </c>
      <c r="BG662">
        <f t="shared" si="575"/>
        <v>-227.92185920675834</v>
      </c>
      <c r="BH662">
        <f t="shared" si="585"/>
        <v>-47.921859206758342</v>
      </c>
      <c r="BI662">
        <f t="shared" si="586"/>
        <v>-47.921859206758342</v>
      </c>
      <c r="BJ662">
        <f t="shared" si="576"/>
        <v>0</v>
      </c>
      <c r="BK662">
        <f t="shared" si="587"/>
        <v>0</v>
      </c>
      <c r="BM662">
        <f t="shared" si="588"/>
        <v>-75.519597464013529</v>
      </c>
      <c r="BN662">
        <f t="shared" si="577"/>
        <v>-91.595652382611206</v>
      </c>
      <c r="BQ662" s="66">
        <f t="shared" si="589"/>
        <v>-0.80229881047899232</v>
      </c>
    </row>
    <row r="663" spans="1:69" x14ac:dyDescent="0.15">
      <c r="A663">
        <f t="shared" si="563"/>
        <v>8700000</v>
      </c>
      <c r="B663">
        <f t="shared" si="578"/>
        <v>8700</v>
      </c>
      <c r="C663">
        <f t="shared" si="539"/>
        <v>36.091906173940792</v>
      </c>
      <c r="D663">
        <f t="shared" si="540"/>
        <v>1.5430857374426352</v>
      </c>
      <c r="F663">
        <f t="shared" si="541"/>
        <v>3.0584004185896339E-7</v>
      </c>
      <c r="G663">
        <f t="shared" si="542"/>
        <v>1.811418400654018E-4</v>
      </c>
      <c r="H663">
        <f t="shared" si="564"/>
        <v>-3.1414115081599348</v>
      </c>
      <c r="J663">
        <f t="shared" si="565"/>
        <v>15</v>
      </c>
      <c r="M663">
        <f t="shared" si="543"/>
        <v>1.0954294395605779E-4</v>
      </c>
      <c r="N663">
        <f t="shared" si="566"/>
        <v>-1.5707963250000001</v>
      </c>
      <c r="O663">
        <f t="shared" si="544"/>
        <v>3698.0002594497137</v>
      </c>
      <c r="P663">
        <f t="shared" si="567"/>
        <v>1.5705259103692535</v>
      </c>
      <c r="Q663">
        <f t="shared" si="545"/>
        <v>1673.6938361244272</v>
      </c>
      <c r="R663">
        <f t="shared" si="568"/>
        <v>1.5701988459188168</v>
      </c>
      <c r="S663">
        <f t="shared" si="546"/>
        <v>2.9588449916858533E-2</v>
      </c>
      <c r="T663">
        <f t="shared" si="569"/>
        <v>-1.5412035578448293</v>
      </c>
      <c r="U663">
        <f t="shared" si="547"/>
        <v>1.5051476171748519E-2</v>
      </c>
      <c r="V663">
        <f t="shared" si="570"/>
        <v>-1.5557442822542376</v>
      </c>
      <c r="X663">
        <f t="shared" si="548"/>
        <v>-86.021518102836552</v>
      </c>
      <c r="Y663">
        <f t="shared" si="549"/>
        <v>-179.06908851314421</v>
      </c>
      <c r="Z663">
        <f t="shared" si="579"/>
        <v>0.93091148685579128</v>
      </c>
      <c r="AC663">
        <v>1</v>
      </c>
      <c r="AD663">
        <f t="shared" si="550"/>
        <v>3698.0001242415005</v>
      </c>
      <c r="AE663">
        <f t="shared" si="551"/>
        <v>-30.321962126142246</v>
      </c>
      <c r="AF663">
        <f t="shared" si="552"/>
        <v>0.45644199611850006</v>
      </c>
      <c r="AG663">
        <f t="shared" si="553"/>
        <v>1.8024652188906003</v>
      </c>
      <c r="AH663">
        <f t="shared" si="554"/>
        <v>-121.93067810184731</v>
      </c>
      <c r="AJ663">
        <f t="shared" si="571"/>
        <v>20000</v>
      </c>
      <c r="AK663">
        <f t="shared" si="555"/>
        <v>675643.48167960008</v>
      </c>
      <c r="AL663">
        <v>38</v>
      </c>
      <c r="AM663">
        <f t="shared" si="556"/>
        <v>1673.6935373839801</v>
      </c>
      <c r="AN663">
        <f t="shared" si="557"/>
        <v>403.74728950663166</v>
      </c>
      <c r="AO663">
        <f t="shared" si="558"/>
        <v>-2.7828290512658214</v>
      </c>
      <c r="AQ663">
        <f t="shared" si="559"/>
        <v>3.3029462171259541E-5</v>
      </c>
      <c r="AR663">
        <f t="shared" si="560"/>
        <v>-0.57471264177991599</v>
      </c>
      <c r="AT663">
        <f t="shared" si="561"/>
        <v>-70.075042591472453</v>
      </c>
      <c r="AU663">
        <f t="shared" si="562"/>
        <v>-1.0399268523849123</v>
      </c>
      <c r="AV663">
        <f t="shared" si="580"/>
        <v>-3.1267535542104725</v>
      </c>
      <c r="AW663">
        <f t="shared" si="581"/>
        <v>404.06572565166272</v>
      </c>
      <c r="AX663">
        <f t="shared" si="582"/>
        <v>-369.67624707757096</v>
      </c>
      <c r="AY663">
        <f t="shared" si="590"/>
        <v>-0.74098172734706069</v>
      </c>
      <c r="BA663">
        <f t="shared" si="572"/>
        <v>0.12796803340968055</v>
      </c>
      <c r="BB663">
        <f t="shared" si="583"/>
        <v>-17.857970083233582</v>
      </c>
      <c r="BC663">
        <f t="shared" si="584"/>
        <v>-2.3857718268634116</v>
      </c>
      <c r="BD663">
        <f t="shared" si="573"/>
        <v>-316.69465671668604</v>
      </c>
      <c r="BF663">
        <f t="shared" si="574"/>
        <v>-93.478061619368944</v>
      </c>
      <c r="BG663">
        <f t="shared" si="575"/>
        <v>-228.27197777042417</v>
      </c>
      <c r="BH663">
        <f t="shared" si="585"/>
        <v>-48.271977770424172</v>
      </c>
      <c r="BI663">
        <f t="shared" si="586"/>
        <v>-48.271977770424172</v>
      </c>
      <c r="BJ663">
        <f t="shared" si="576"/>
        <v>0</v>
      </c>
      <c r="BK663">
        <f t="shared" si="587"/>
        <v>0</v>
      </c>
      <c r="BM663">
        <f t="shared" si="588"/>
        <v>-75.620091536135362</v>
      </c>
      <c r="BN663">
        <f t="shared" si="577"/>
        <v>-91.577321053738103</v>
      </c>
      <c r="BQ663" s="66">
        <f t="shared" si="589"/>
        <v>-0.95600928294844745</v>
      </c>
    </row>
    <row r="664" spans="1:69" x14ac:dyDescent="0.15">
      <c r="A664">
        <f t="shared" si="563"/>
        <v>8800000</v>
      </c>
      <c r="B664">
        <f t="shared" si="578"/>
        <v>8800</v>
      </c>
      <c r="C664">
        <f t="shared" si="539"/>
        <v>36.506439006558431</v>
      </c>
      <c r="D664">
        <f t="shared" si="540"/>
        <v>1.5434004720640737</v>
      </c>
      <c r="F664">
        <f t="shared" si="541"/>
        <v>2.9892862363486181E-7</v>
      </c>
      <c r="G664">
        <f t="shared" si="542"/>
        <v>1.7908340885100204E-4</v>
      </c>
      <c r="H664">
        <f t="shared" si="564"/>
        <v>-3.1414135665911491</v>
      </c>
      <c r="J664">
        <f t="shared" si="565"/>
        <v>15</v>
      </c>
      <c r="M664">
        <f t="shared" si="543"/>
        <v>1.0829813777473895E-4</v>
      </c>
      <c r="N664">
        <f t="shared" si="566"/>
        <v>-1.5707963250000001</v>
      </c>
      <c r="O664">
        <f t="shared" si="544"/>
        <v>3740.5060064677568</v>
      </c>
      <c r="P664">
        <f t="shared" si="567"/>
        <v>1.570528983283034</v>
      </c>
      <c r="Q664">
        <f t="shared" si="545"/>
        <v>1692.93168948119</v>
      </c>
      <c r="R664">
        <f t="shared" si="568"/>
        <v>1.5702056354726384</v>
      </c>
      <c r="S664">
        <f t="shared" si="546"/>
        <v>2.9252506900687248E-2</v>
      </c>
      <c r="T664">
        <f t="shared" si="569"/>
        <v>-1.5415396463472208</v>
      </c>
      <c r="U664">
        <f t="shared" si="547"/>
        <v>1.488047476043448E-2</v>
      </c>
      <c r="V664">
        <f t="shared" si="570"/>
        <v>-1.5559153028194619</v>
      </c>
      <c r="X664">
        <f t="shared" si="548"/>
        <v>-86.220022170591648</v>
      </c>
      <c r="Y664">
        <f t="shared" si="549"/>
        <v>-179.07966361866025</v>
      </c>
      <c r="Z664">
        <f t="shared" si="579"/>
        <v>0.9203363813397516</v>
      </c>
      <c r="AC664">
        <v>1</v>
      </c>
      <c r="AD664">
        <f t="shared" si="550"/>
        <v>3740.5058727960004</v>
      </c>
      <c r="AE664">
        <f t="shared" si="551"/>
        <v>-31.02302479916046</v>
      </c>
      <c r="AF664">
        <f t="shared" si="552"/>
        <v>0.46168845584400003</v>
      </c>
      <c r="AG664">
        <f t="shared" si="553"/>
        <v>1.7617418759422565</v>
      </c>
      <c r="AH664">
        <f t="shared" si="554"/>
        <v>-120.5457082641053</v>
      </c>
      <c r="AJ664">
        <f t="shared" si="571"/>
        <v>20000</v>
      </c>
      <c r="AK664">
        <f t="shared" si="555"/>
        <v>683409.49871040008</v>
      </c>
      <c r="AL664">
        <v>39</v>
      </c>
      <c r="AM664">
        <f t="shared" si="556"/>
        <v>1692.9313941355201</v>
      </c>
      <c r="AN664">
        <f t="shared" si="557"/>
        <v>403.7419955447337</v>
      </c>
      <c r="AO664">
        <f t="shared" si="558"/>
        <v>-2.5128379026414596</v>
      </c>
      <c r="AQ664">
        <f t="shared" si="559"/>
        <v>3.2283057747020086E-5</v>
      </c>
      <c r="AR664">
        <f t="shared" si="560"/>
        <v>-0.56818181634755349</v>
      </c>
      <c r="AT664">
        <f t="shared" si="561"/>
        <v>-68.491822599986932</v>
      </c>
      <c r="AU664">
        <f t="shared" si="562"/>
        <v>-1.0048812830694631</v>
      </c>
      <c r="AV664">
        <f t="shared" si="580"/>
        <v>-3.1269221549444639</v>
      </c>
      <c r="AW664">
        <f t="shared" si="581"/>
        <v>404.19622169904721</v>
      </c>
      <c r="AX664">
        <f t="shared" si="582"/>
        <v>-365.23435799565476</v>
      </c>
      <c r="AY664">
        <f t="shared" si="590"/>
        <v>-0.73480410756477865</v>
      </c>
      <c r="BA664">
        <f t="shared" si="572"/>
        <v>0.12574042776049921</v>
      </c>
      <c r="BB664">
        <f t="shared" si="583"/>
        <v>-18.010501330852559</v>
      </c>
      <c r="BC664">
        <f t="shared" si="584"/>
        <v>-2.392118047379685</v>
      </c>
      <c r="BD664">
        <f t="shared" si="573"/>
        <v>-317.05826836854334</v>
      </c>
      <c r="BF664">
        <f t="shared" si="574"/>
        <v>-93.729936658103895</v>
      </c>
      <c r="BG664">
        <f t="shared" si="575"/>
        <v>-228.61767439620689</v>
      </c>
      <c r="BH664">
        <f t="shared" si="585"/>
        <v>-48.617674396206894</v>
      </c>
      <c r="BI664">
        <f t="shared" si="586"/>
        <v>-48.617674396206894</v>
      </c>
      <c r="BJ664">
        <f t="shared" si="576"/>
        <v>0</v>
      </c>
      <c r="BK664">
        <f t="shared" si="587"/>
        <v>0</v>
      </c>
      <c r="BM664">
        <f t="shared" si="588"/>
        <v>-75.719435327251333</v>
      </c>
      <c r="BN664">
        <f t="shared" si="577"/>
        <v>-91.55940602766357</v>
      </c>
      <c r="BQ664" s="66">
        <f t="shared" si="589"/>
        <v>-1.1085405305674236</v>
      </c>
    </row>
    <row r="665" spans="1:69" x14ac:dyDescent="0.15">
      <c r="A665">
        <f t="shared" si="563"/>
        <v>8900000</v>
      </c>
      <c r="B665">
        <f t="shared" si="578"/>
        <v>8900</v>
      </c>
      <c r="C665">
        <f t="shared" si="539"/>
        <v>36.920975374222984</v>
      </c>
      <c r="D665">
        <f t="shared" si="540"/>
        <v>1.5437081392452137</v>
      </c>
      <c r="F665">
        <f t="shared" si="541"/>
        <v>2.9224886334332749E-7</v>
      </c>
      <c r="G665">
        <f t="shared" si="542"/>
        <v>1.7707123455804719E-4</v>
      </c>
      <c r="H665">
        <f t="shared" si="564"/>
        <v>-3.1414155787654421</v>
      </c>
      <c r="J665">
        <f t="shared" si="565"/>
        <v>15</v>
      </c>
      <c r="M665">
        <f t="shared" si="543"/>
        <v>1.0708130476603402E-4</v>
      </c>
      <c r="N665">
        <f t="shared" si="566"/>
        <v>-1.5707963250000001</v>
      </c>
      <c r="O665">
        <f t="shared" si="544"/>
        <v>3783.0117535203271</v>
      </c>
      <c r="P665">
        <f t="shared" si="567"/>
        <v>1.5705319871425771</v>
      </c>
      <c r="Q665">
        <f t="shared" si="545"/>
        <v>1712.1695429142399</v>
      </c>
      <c r="R665">
        <f t="shared" si="568"/>
        <v>1.5702122724522694</v>
      </c>
      <c r="S665">
        <f t="shared" si="546"/>
        <v>2.8924103583708789E-2</v>
      </c>
      <c r="T665">
        <f t="shared" si="569"/>
        <v>-1.5418681886897787</v>
      </c>
      <c r="U665">
        <f t="shared" si="547"/>
        <v>1.4713314815357557E-2</v>
      </c>
      <c r="V665">
        <f t="shared" si="570"/>
        <v>-1.556082481067415</v>
      </c>
      <c r="X665">
        <f t="shared" si="548"/>
        <v>-86.416283932888717</v>
      </c>
      <c r="Y665">
        <f t="shared" si="549"/>
        <v>-179.09000119505103</v>
      </c>
      <c r="Z665">
        <f t="shared" si="579"/>
        <v>0.90999880494896956</v>
      </c>
      <c r="AC665">
        <v>1</v>
      </c>
      <c r="AD665">
        <f t="shared" si="550"/>
        <v>3783.0116213505003</v>
      </c>
      <c r="AE665">
        <f t="shared" si="551"/>
        <v>-31.732099617013173</v>
      </c>
      <c r="AF665">
        <f t="shared" si="552"/>
        <v>0.46693491556950006</v>
      </c>
      <c r="AG665">
        <f t="shared" si="553"/>
        <v>1.7223831072338081</v>
      </c>
      <c r="AH665">
        <f t="shared" si="554"/>
        <v>-119.19184126448141</v>
      </c>
      <c r="AJ665">
        <f t="shared" si="571"/>
        <v>20000</v>
      </c>
      <c r="AK665">
        <f t="shared" si="555"/>
        <v>691175.51574120007</v>
      </c>
      <c r="AL665">
        <v>40</v>
      </c>
      <c r="AM665">
        <f t="shared" si="556"/>
        <v>1712.1692508870599</v>
      </c>
      <c r="AN665">
        <f t="shared" si="557"/>
        <v>403.73664708683322</v>
      </c>
      <c r="AO665">
        <f t="shared" si="558"/>
        <v>-2.2489214279089182</v>
      </c>
      <c r="AQ665">
        <f t="shared" si="559"/>
        <v>3.1561671406509055E-5</v>
      </c>
      <c r="AR665">
        <f t="shared" si="560"/>
        <v>-0.56179775103586116</v>
      </c>
      <c r="AT665">
        <f t="shared" si="561"/>
        <v>-66.961654002919346</v>
      </c>
      <c r="AU665">
        <f t="shared" si="562"/>
        <v>-0.97139284979443818</v>
      </c>
      <c r="AV665">
        <f t="shared" si="580"/>
        <v>-3.1270869677394093</v>
      </c>
      <c r="AW665">
        <f t="shared" si="581"/>
        <v>404.32050952190281</v>
      </c>
      <c r="AX665">
        <f t="shared" si="582"/>
        <v>-360.89224582858401</v>
      </c>
      <c r="AY665">
        <f t="shared" si="590"/>
        <v>-0.72870579005872571</v>
      </c>
      <c r="BA665">
        <f t="shared" si="572"/>
        <v>0.12356810069859749</v>
      </c>
      <c r="BB665">
        <f t="shared" si="583"/>
        <v>-18.161872571772204</v>
      </c>
      <c r="BC665">
        <f t="shared" si="584"/>
        <v>-2.3983811776806836</v>
      </c>
      <c r="BD665">
        <f t="shared" si="573"/>
        <v>-317.41711930174108</v>
      </c>
      <c r="BF665">
        <f t="shared" si="574"/>
        <v>-93.979527463361904</v>
      </c>
      <c r="BG665">
        <f t="shared" si="575"/>
        <v>-228.95901258750527</v>
      </c>
      <c r="BH665">
        <f t="shared" si="585"/>
        <v>-48.959012587505271</v>
      </c>
      <c r="BI665">
        <f t="shared" si="586"/>
        <v>-48.959012587505271</v>
      </c>
      <c r="BJ665">
        <f t="shared" si="576"/>
        <v>0</v>
      </c>
      <c r="BK665">
        <f t="shared" si="587"/>
        <v>0</v>
      </c>
      <c r="BM665">
        <f t="shared" si="588"/>
        <v>-75.817654891589697</v>
      </c>
      <c r="BN665">
        <f t="shared" si="577"/>
        <v>-91.541893285764175</v>
      </c>
      <c r="BQ665" s="66">
        <f t="shared" si="589"/>
        <v>-1.2599117714870678</v>
      </c>
    </row>
    <row r="666" spans="1:69" x14ac:dyDescent="0.15">
      <c r="A666">
        <f t="shared" si="563"/>
        <v>9000000</v>
      </c>
      <c r="B666">
        <f t="shared" si="578"/>
        <v>9000</v>
      </c>
      <c r="C666">
        <f t="shared" si="539"/>
        <v>37.335515159185526</v>
      </c>
      <c r="D666">
        <f t="shared" si="540"/>
        <v>1.5440089743382059</v>
      </c>
      <c r="F666">
        <f t="shared" si="541"/>
        <v>2.8579052248766149E-7</v>
      </c>
      <c r="G666">
        <f t="shared" si="542"/>
        <v>1.7510377528739778E-4</v>
      </c>
      <c r="H666">
        <f t="shared" si="564"/>
        <v>-3.1414175462247127</v>
      </c>
      <c r="J666">
        <f t="shared" si="565"/>
        <v>15</v>
      </c>
      <c r="M666">
        <f t="shared" si="543"/>
        <v>1.0589151249085586E-4</v>
      </c>
      <c r="N666">
        <f t="shared" si="566"/>
        <v>-1.5707963250000001</v>
      </c>
      <c r="O666">
        <f t="shared" si="544"/>
        <v>3825.5175006062736</v>
      </c>
      <c r="P666">
        <f t="shared" si="567"/>
        <v>1.5705349242496907</v>
      </c>
      <c r="Q666">
        <f t="shared" si="545"/>
        <v>1731.407396421034</v>
      </c>
      <c r="R666">
        <f t="shared" si="568"/>
        <v>1.570218761943514</v>
      </c>
      <c r="S666">
        <f t="shared" si="546"/>
        <v>2.8602989060972916E-2</v>
      </c>
      <c r="T666">
        <f t="shared" si="569"/>
        <v>-1.5421894361320827</v>
      </c>
      <c r="U666">
        <f t="shared" si="547"/>
        <v>1.4549868342789469E-2</v>
      </c>
      <c r="V666">
        <f t="shared" si="570"/>
        <v>-1.5562459450385691</v>
      </c>
      <c r="X666">
        <f t="shared" si="548"/>
        <v>-86.610353474772793</v>
      </c>
      <c r="Y666">
        <f t="shared" si="549"/>
        <v>-179.10010915498916</v>
      </c>
      <c r="Z666">
        <f t="shared" si="579"/>
        <v>0.89989084501084449</v>
      </c>
      <c r="AC666">
        <v>1</v>
      </c>
      <c r="AD666">
        <f t="shared" si="550"/>
        <v>3825.5173699050006</v>
      </c>
      <c r="AE666">
        <f t="shared" si="551"/>
        <v>-32.449186579700374</v>
      </c>
      <c r="AF666">
        <f t="shared" si="552"/>
        <v>0.47218137529500009</v>
      </c>
      <c r="AG666">
        <f t="shared" si="553"/>
        <v>1.6843286247519456</v>
      </c>
      <c r="AH666">
        <f t="shared" si="554"/>
        <v>-117.86804121898061</v>
      </c>
      <c r="AJ666">
        <f t="shared" si="571"/>
        <v>20000</v>
      </c>
      <c r="AK666">
        <f t="shared" si="555"/>
        <v>698941.53277200006</v>
      </c>
      <c r="AL666">
        <v>41</v>
      </c>
      <c r="AM666">
        <f t="shared" si="556"/>
        <v>1731.4071076385999</v>
      </c>
      <c r="AN666">
        <f t="shared" si="557"/>
        <v>403.73125167804852</v>
      </c>
      <c r="AO666">
        <f t="shared" si="558"/>
        <v>-1.990877053693783</v>
      </c>
      <c r="AQ666">
        <f t="shared" si="559"/>
        <v>3.0864197435604332E-5</v>
      </c>
      <c r="AR666">
        <f t="shared" si="560"/>
        <v>-0.55555555384087796</v>
      </c>
      <c r="AT666">
        <f t="shared" si="561"/>
        <v>-65.482192934098975</v>
      </c>
      <c r="AU666">
        <f t="shared" si="562"/>
        <v>-0.93937602446964197</v>
      </c>
      <c r="AV666">
        <f t="shared" si="580"/>
        <v>-3.1272481188231733</v>
      </c>
      <c r="AW666">
        <f t="shared" si="581"/>
        <v>404.43890411255569</v>
      </c>
      <c r="AX666">
        <f t="shared" si="582"/>
        <v>-356.64658968853053</v>
      </c>
      <c r="AY666">
        <f t="shared" si="590"/>
        <v>-0.72268557100381636</v>
      </c>
      <c r="BA666">
        <f t="shared" si="572"/>
        <v>0.12144926179932163</v>
      </c>
      <c r="BB666">
        <f t="shared" si="583"/>
        <v>-18.312102412147041</v>
      </c>
      <c r="BC666">
        <f t="shared" si="584"/>
        <v>-2.4045625478193569</v>
      </c>
      <c r="BD666">
        <f t="shared" si="573"/>
        <v>-317.77128572269999</v>
      </c>
      <c r="BF666">
        <f t="shared" si="574"/>
        <v>-94.226877819601981</v>
      </c>
      <c r="BG666">
        <f t="shared" si="575"/>
        <v>-229.29605515439928</v>
      </c>
      <c r="BH666">
        <f t="shared" si="585"/>
        <v>-49.296055154399284</v>
      </c>
      <c r="BI666">
        <f t="shared" si="586"/>
        <v>-49.296055154399284</v>
      </c>
      <c r="BJ666">
        <f t="shared" si="576"/>
        <v>0</v>
      </c>
      <c r="BK666">
        <f t="shared" si="587"/>
        <v>0</v>
      </c>
      <c r="BM666">
        <f t="shared" si="588"/>
        <v>-75.914775407454925</v>
      </c>
      <c r="BN666">
        <f t="shared" si="577"/>
        <v>-91.524769431699298</v>
      </c>
      <c r="BQ666" s="66">
        <f t="shared" si="589"/>
        <v>-1.4101416118619028</v>
      </c>
    </row>
    <row r="667" spans="1:69" x14ac:dyDescent="0.15">
      <c r="A667">
        <f t="shared" si="563"/>
        <v>9100000</v>
      </c>
      <c r="B667">
        <f t="shared" si="578"/>
        <v>9100</v>
      </c>
      <c r="C667">
        <f t="shared" si="539"/>
        <v>37.750058248868278</v>
      </c>
      <c r="D667">
        <f t="shared" si="540"/>
        <v>1.5443032023624268</v>
      </c>
      <c r="F667">
        <f t="shared" si="541"/>
        <v>2.7954392201780983E-7</v>
      </c>
      <c r="G667">
        <f t="shared" si="542"/>
        <v>1.7317955691579582E-4</v>
      </c>
      <c r="H667">
        <f t="shared" si="564"/>
        <v>-3.1414194704430844</v>
      </c>
      <c r="J667">
        <f t="shared" si="565"/>
        <v>15</v>
      </c>
      <c r="M667">
        <f t="shared" si="543"/>
        <v>1.0472786949645086E-4</v>
      </c>
      <c r="N667">
        <f t="shared" si="566"/>
        <v>-1.5707963250000001</v>
      </c>
      <c r="O667">
        <f t="shared" si="544"/>
        <v>3868.0232477244963</v>
      </c>
      <c r="P667">
        <f t="shared" si="567"/>
        <v>1.5705377968050038</v>
      </c>
      <c r="Q667">
        <f t="shared" si="545"/>
        <v>1750.6452499991412</v>
      </c>
      <c r="R667">
        <f t="shared" si="568"/>
        <v>1.5702251088086243</v>
      </c>
      <c r="S667">
        <f t="shared" si="546"/>
        <v>2.8288923433737616E-2</v>
      </c>
      <c r="T667">
        <f t="shared" si="569"/>
        <v>-1.5425036289044025</v>
      </c>
      <c r="U667">
        <f t="shared" si="547"/>
        <v>1.4390012972120643E-2</v>
      </c>
      <c r="V667">
        <f t="shared" si="570"/>
        <v>-1.5564058171472301</v>
      </c>
      <c r="X667">
        <f t="shared" si="548"/>
        <v>-86.802279221981166</v>
      </c>
      <c r="Y667">
        <f t="shared" si="549"/>
        <v>-179.10999506360545</v>
      </c>
      <c r="Z667">
        <f t="shared" si="579"/>
        <v>0.89000493639454703</v>
      </c>
      <c r="AC667">
        <v>1</v>
      </c>
      <c r="AD667">
        <f t="shared" si="550"/>
        <v>3868.0231184595004</v>
      </c>
      <c r="AE667">
        <f t="shared" si="551"/>
        <v>-33.174285687222081</v>
      </c>
      <c r="AF667">
        <f t="shared" si="552"/>
        <v>0.47742783502050001</v>
      </c>
      <c r="AG667">
        <f t="shared" si="553"/>
        <v>1.6475214333203494</v>
      </c>
      <c r="AH667">
        <f t="shared" si="554"/>
        <v>-116.57331772958131</v>
      </c>
      <c r="AJ667">
        <f t="shared" si="571"/>
        <v>20000</v>
      </c>
      <c r="AK667">
        <f t="shared" si="555"/>
        <v>706707.54980280006</v>
      </c>
      <c r="AL667">
        <v>42</v>
      </c>
      <c r="AM667">
        <f t="shared" si="556"/>
        <v>1750.6449643901399</v>
      </c>
      <c r="AN667">
        <f t="shared" si="557"/>
        <v>403.72581628253636</v>
      </c>
      <c r="AO667">
        <f t="shared" si="558"/>
        <v>-1.7385111076441042</v>
      </c>
      <c r="AQ667">
        <f t="shared" si="559"/>
        <v>3.018959053800993E-5</v>
      </c>
      <c r="AR667">
        <f t="shared" si="560"/>
        <v>-0.54945054779178071</v>
      </c>
      <c r="AT667">
        <f t="shared" si="561"/>
        <v>-64.051223546426272</v>
      </c>
      <c r="AU667">
        <f t="shared" si="562"/>
        <v>-0.90875085476647899</v>
      </c>
      <c r="AV667">
        <f t="shared" si="580"/>
        <v>-3.1274057288771298</v>
      </c>
      <c r="AW667">
        <f t="shared" si="581"/>
        <v>404.55170192104566</v>
      </c>
      <c r="AX667">
        <f t="shared" si="582"/>
        <v>-352.49421428529308</v>
      </c>
      <c r="AY667">
        <f t="shared" si="590"/>
        <v>-0.71674226351268155</v>
      </c>
      <c r="BA667">
        <f t="shared" si="572"/>
        <v>0.11938219401225468</v>
      </c>
      <c r="BB667">
        <f t="shared" si="583"/>
        <v>-18.461208877682395</v>
      </c>
      <c r="BC667">
        <f t="shared" si="584"/>
        <v>-2.4106634653644483</v>
      </c>
      <c r="BD667">
        <f t="shared" si="573"/>
        <v>-318.12084254959046</v>
      </c>
      <c r="BF667">
        <f t="shared" si="574"/>
        <v>-94.472030093765909</v>
      </c>
      <c r="BG667">
        <f t="shared" si="575"/>
        <v>-229.62886420685984</v>
      </c>
      <c r="BH667">
        <f t="shared" si="585"/>
        <v>-49.628864206859845</v>
      </c>
      <c r="BI667">
        <f t="shared" si="586"/>
        <v>-49.628864206859845</v>
      </c>
      <c r="BJ667">
        <f t="shared" si="576"/>
        <v>0</v>
      </c>
      <c r="BK667">
        <f t="shared" si="587"/>
        <v>0</v>
      </c>
      <c r="BM667">
        <f t="shared" si="588"/>
        <v>-76.010821216083514</v>
      </c>
      <c r="BN667">
        <f t="shared" si="577"/>
        <v>-91.50802165726941</v>
      </c>
      <c r="BQ667" s="66">
        <f t="shared" si="589"/>
        <v>-1.5592480773972561</v>
      </c>
    </row>
    <row r="668" spans="1:69" x14ac:dyDescent="0.15">
      <c r="A668">
        <f t="shared" si="563"/>
        <v>9200000</v>
      </c>
      <c r="B668">
        <f t="shared" si="578"/>
        <v>9200</v>
      </c>
      <c r="C668">
        <f t="shared" si="539"/>
        <v>38.164604535583841</v>
      </c>
      <c r="D668">
        <f t="shared" si="540"/>
        <v>1.5445910385652493</v>
      </c>
      <c r="F668">
        <f t="shared" si="541"/>
        <v>2.734999060444671E-7</v>
      </c>
      <c r="G668">
        <f t="shared" si="542"/>
        <v>1.7129716941238657E-4</v>
      </c>
      <c r="H668">
        <f t="shared" si="564"/>
        <v>-3.1414213528305877</v>
      </c>
      <c r="J668">
        <f t="shared" si="565"/>
        <v>15</v>
      </c>
      <c r="M668">
        <f t="shared" si="543"/>
        <v>1.0358952308888075E-4</v>
      </c>
      <c r="N668">
        <f t="shared" si="566"/>
        <v>-1.5707963250000001</v>
      </c>
      <c r="O668">
        <f t="shared" si="544"/>
        <v>3910.5289948739419</v>
      </c>
      <c r="P668">
        <f t="shared" si="567"/>
        <v>1.5705406069134664</v>
      </c>
      <c r="Q668">
        <f t="shared" si="545"/>
        <v>1769.8831036462361</v>
      </c>
      <c r="R668">
        <f t="shared" si="568"/>
        <v>1.5702313176984508</v>
      </c>
      <c r="S668">
        <f t="shared" si="546"/>
        <v>2.7981677212752281E-2</v>
      </c>
      <c r="T668">
        <f t="shared" si="569"/>
        <v>-1.5428109968061514</v>
      </c>
      <c r="U668">
        <f t="shared" si="547"/>
        <v>1.4233631650447045E-2</v>
      </c>
      <c r="V668">
        <f t="shared" si="570"/>
        <v>-1.5565622144871809</v>
      </c>
      <c r="X668">
        <f t="shared" si="548"/>
        <v>-86.99210801342943</v>
      </c>
      <c r="Y668">
        <f t="shared" si="549"/>
        <v>-179.11966615735992</v>
      </c>
      <c r="Z668">
        <f t="shared" si="579"/>
        <v>0.88033384264008419</v>
      </c>
      <c r="AC668">
        <v>1</v>
      </c>
      <c r="AD668">
        <f t="shared" si="550"/>
        <v>3910.5288670140003</v>
      </c>
      <c r="AE668">
        <f t="shared" si="551"/>
        <v>-33.907396939578277</v>
      </c>
      <c r="AF668">
        <f t="shared" si="552"/>
        <v>0.48267429474600004</v>
      </c>
      <c r="AG668">
        <f t="shared" si="553"/>
        <v>1.6119076171285884</v>
      </c>
      <c r="AH668">
        <f t="shared" si="554"/>
        <v>-115.3067234152105</v>
      </c>
      <c r="AJ668">
        <f t="shared" si="571"/>
        <v>20000</v>
      </c>
      <c r="AK668">
        <f t="shared" si="555"/>
        <v>714473.56683360005</v>
      </c>
      <c r="AL668">
        <v>43</v>
      </c>
      <c r="AM668">
        <f t="shared" si="556"/>
        <v>1769.8828211416799</v>
      </c>
      <c r="AN668">
        <f t="shared" si="557"/>
        <v>403.72034732847203</v>
      </c>
      <c r="AO668">
        <f t="shared" si="558"/>
        <v>-1.4916383352276021</v>
      </c>
      <c r="AQ668">
        <f t="shared" si="559"/>
        <v>2.9536861916538098E-5</v>
      </c>
      <c r="AR668">
        <f t="shared" si="560"/>
        <v>-0.54347825926430093</v>
      </c>
      <c r="AT668">
        <f t="shared" si="561"/>
        <v>-62.666649712476101</v>
      </c>
      <c r="AU668">
        <f t="shared" si="562"/>
        <v>-0.87944254461947602</v>
      </c>
      <c r="AV668">
        <f t="shared" si="580"/>
        <v>-3.1275599133374743</v>
      </c>
      <c r="AW668">
        <f t="shared" si="581"/>
        <v>404.65918211507056</v>
      </c>
      <c r="AX668">
        <f t="shared" si="582"/>
        <v>-348.43208204195457</v>
      </c>
      <c r="AY668">
        <f t="shared" si="590"/>
        <v>-0.7108746974880894</v>
      </c>
      <c r="BA668">
        <f t="shared" si="572"/>
        <v>0.1173652499046574</v>
      </c>
      <c r="BB668">
        <f t="shared" si="583"/>
        <v>-18.609209443140628</v>
      </c>
      <c r="BC668">
        <f t="shared" si="584"/>
        <v>-2.4166852158493848</v>
      </c>
      <c r="BD668">
        <f t="shared" si="573"/>
        <v>-318.46586343805245</v>
      </c>
      <c r="BF668">
        <f t="shared" si="574"/>
        <v>-94.715025301508078</v>
      </c>
      <c r="BG668">
        <f t="shared" si="575"/>
        <v>-229.95750114854965</v>
      </c>
      <c r="BH668">
        <f t="shared" si="585"/>
        <v>-49.957501148549653</v>
      </c>
      <c r="BI668">
        <f t="shared" si="586"/>
        <v>-49.957501148549653</v>
      </c>
      <c r="BJ668">
        <f t="shared" si="576"/>
        <v>0</v>
      </c>
      <c r="BK668">
        <f t="shared" si="587"/>
        <v>0</v>
      </c>
      <c r="BM668">
        <f t="shared" si="588"/>
        <v>-76.105815858367436</v>
      </c>
      <c r="BN668">
        <f t="shared" si="577"/>
        <v>-91.491637710497216</v>
      </c>
      <c r="BQ668" s="66">
        <f t="shared" si="589"/>
        <v>-1.7072486428554918</v>
      </c>
    </row>
    <row r="669" spans="1:69" x14ac:dyDescent="0.15">
      <c r="A669">
        <f t="shared" si="563"/>
        <v>9300000</v>
      </c>
      <c r="B669">
        <f t="shared" si="578"/>
        <v>9300</v>
      </c>
      <c r="C669">
        <f t="shared" si="539"/>
        <v>38.579153916272553</v>
      </c>
      <c r="D669">
        <f t="shared" si="540"/>
        <v>1.5448726889466931</v>
      </c>
      <c r="F669">
        <f t="shared" si="541"/>
        <v>2.6764980826955742E-7</v>
      </c>
      <c r="G669">
        <f t="shared" si="542"/>
        <v>1.6945526339288508E-4</v>
      </c>
      <c r="H669">
        <f t="shared" si="564"/>
        <v>-3.1414231947366074</v>
      </c>
      <c r="J669">
        <f t="shared" si="565"/>
        <v>15</v>
      </c>
      <c r="M669">
        <f t="shared" si="543"/>
        <v>1.0247565724921535E-4</v>
      </c>
      <c r="N669">
        <f t="shared" si="566"/>
        <v>-1.5707963250000001</v>
      </c>
      <c r="O669">
        <f t="shared" si="544"/>
        <v>3953.0347420536036</v>
      </c>
      <c r="P669">
        <f t="shared" si="567"/>
        <v>1.5705433565894928</v>
      </c>
      <c r="Q669">
        <f t="shared" si="545"/>
        <v>1789.1209573600931</v>
      </c>
      <c r="R669">
        <f t="shared" si="568"/>
        <v>1.5702373930638069</v>
      </c>
      <c r="S669">
        <f t="shared" si="546"/>
        <v>2.7681030759931762E-2</v>
      </c>
      <c r="T669">
        <f t="shared" si="569"/>
        <v>-1.5431117597658011</v>
      </c>
      <c r="U669">
        <f t="shared" si="547"/>
        <v>1.4080612356846857E-2</v>
      </c>
      <c r="V669">
        <f t="shared" si="570"/>
        <v>-1.5567152491176133</v>
      </c>
      <c r="X669">
        <f t="shared" si="548"/>
        <v>-87.179885169782594</v>
      </c>
      <c r="Y669">
        <f t="shared" si="549"/>
        <v>-179.12912936169658</v>
      </c>
      <c r="Z669">
        <f t="shared" si="579"/>
        <v>0.87087063830341549</v>
      </c>
      <c r="AC669">
        <v>1</v>
      </c>
      <c r="AD669">
        <f t="shared" si="550"/>
        <v>3953.0346155685011</v>
      </c>
      <c r="AE669">
        <f t="shared" si="551"/>
        <v>-34.648520336768961</v>
      </c>
      <c r="AF669">
        <f t="shared" si="552"/>
        <v>0.48792075447150002</v>
      </c>
      <c r="AG669">
        <f t="shared" si="553"/>
        <v>1.5774361422328478</v>
      </c>
      <c r="AH669">
        <f t="shared" si="554"/>
        <v>-114.06735160178582</v>
      </c>
      <c r="AJ669">
        <f t="shared" si="571"/>
        <v>20000</v>
      </c>
      <c r="AK669">
        <f t="shared" si="555"/>
        <v>722239.58386440005</v>
      </c>
      <c r="AL669">
        <v>44</v>
      </c>
      <c r="AM669">
        <f t="shared" si="556"/>
        <v>1789.1206778932199</v>
      </c>
      <c r="AN669">
        <f t="shared" si="557"/>
        <v>403.71485074927131</v>
      </c>
      <c r="AO669">
        <f t="shared" si="558"/>
        <v>-1.250081447644833</v>
      </c>
      <c r="AQ669">
        <f t="shared" si="559"/>
        <v>2.8905075647748077E-5</v>
      </c>
      <c r="AR669">
        <f t="shared" si="560"/>
        <v>-0.53763440704811416</v>
      </c>
      <c r="AT669">
        <f t="shared" si="561"/>
        <v>-61.326487346063857</v>
      </c>
      <c r="AU669">
        <f t="shared" si="562"/>
        <v>-0.85138107041260969</v>
      </c>
      <c r="AV669">
        <f t="shared" si="580"/>
        <v>-3.1277107826771049</v>
      </c>
      <c r="AW669">
        <f t="shared" si="581"/>
        <v>404.76160774257482</v>
      </c>
      <c r="AX669">
        <f t="shared" si="582"/>
        <v>-344.45728571685254</v>
      </c>
      <c r="AY669">
        <f t="shared" si="590"/>
        <v>-0.70508171948102016</v>
      </c>
      <c r="BA669">
        <f t="shared" si="572"/>
        <v>0.11539684814086508</v>
      </c>
      <c r="BB669">
        <f t="shared" si="583"/>
        <v>-18.756121059952974</v>
      </c>
      <c r="BC669">
        <f t="shared" si="584"/>
        <v>-2.4226290631960845</v>
      </c>
      <c r="BD669">
        <f t="shared" si="573"/>
        <v>-318.8064208054775</v>
      </c>
      <c r="BF669">
        <f t="shared" si="574"/>
        <v>-94.955903169537308</v>
      </c>
      <c r="BG669">
        <f t="shared" si="575"/>
        <v>-230.28202667124262</v>
      </c>
      <c r="BH669">
        <f t="shared" si="585"/>
        <v>-50.282026671242619</v>
      </c>
      <c r="BI669">
        <f t="shared" si="586"/>
        <v>-50.282026671242619</v>
      </c>
      <c r="BJ669">
        <f t="shared" si="576"/>
        <v>0</v>
      </c>
      <c r="BK669">
        <f t="shared" si="587"/>
        <v>0</v>
      </c>
      <c r="BM669">
        <f t="shared" si="588"/>
        <v>-76.199782109584334</v>
      </c>
      <c r="BN669">
        <f t="shared" si="577"/>
        <v>-91.475605865765118</v>
      </c>
      <c r="BQ669" s="66">
        <f t="shared" si="589"/>
        <v>-1.8541602596678386</v>
      </c>
    </row>
    <row r="670" spans="1:69" x14ac:dyDescent="0.15">
      <c r="A670">
        <f t="shared" si="563"/>
        <v>9400000</v>
      </c>
      <c r="B670">
        <f t="shared" si="578"/>
        <v>9400</v>
      </c>
      <c r="C670">
        <f t="shared" si="539"/>
        <v>38.993706292256611</v>
      </c>
      <c r="D670">
        <f t="shared" si="540"/>
        <v>1.5451483507506407</v>
      </c>
      <c r="F670">
        <f t="shared" si="541"/>
        <v>2.6198542090315665E-7</v>
      </c>
      <c r="G670">
        <f t="shared" si="542"/>
        <v>1.6765254689368977E-4</v>
      </c>
      <c r="H670">
        <f t="shared" si="564"/>
        <v>-3.1414249974531065</v>
      </c>
      <c r="J670">
        <f t="shared" si="565"/>
        <v>15</v>
      </c>
      <c r="M670">
        <f t="shared" si="543"/>
        <v>1.0138549068273433E-4</v>
      </c>
      <c r="N670">
        <f t="shared" si="566"/>
        <v>-1.5707963250000001</v>
      </c>
      <c r="O670">
        <f t="shared" si="544"/>
        <v>3995.5404892625179</v>
      </c>
      <c r="P670">
        <f t="shared" si="567"/>
        <v>1.5705460477617776</v>
      </c>
      <c r="Q670">
        <f t="shared" si="545"/>
        <v>1808.3588111385818</v>
      </c>
      <c r="R670">
        <f t="shared" si="568"/>
        <v>1.5702433391661106</v>
      </c>
      <c r="S670">
        <f t="shared" si="546"/>
        <v>2.7386773765571335E-2</v>
      </c>
      <c r="T670">
        <f t="shared" si="569"/>
        <v>-1.5434061283651217</v>
      </c>
      <c r="U670">
        <f t="shared" si="547"/>
        <v>1.3930847834882059E-2</v>
      </c>
      <c r="V670">
        <f t="shared" si="570"/>
        <v>-1.5568650283308194</v>
      </c>
      <c r="X670">
        <f t="shared" si="548"/>
        <v>-87.365654558362309</v>
      </c>
      <c r="Y670">
        <f t="shared" si="549"/>
        <v>-179.13839130757242</v>
      </c>
      <c r="Z670">
        <f t="shared" si="579"/>
        <v>0.86160869242758054</v>
      </c>
      <c r="AC670">
        <v>1</v>
      </c>
      <c r="AD670">
        <f t="shared" si="550"/>
        <v>3995.5403641230009</v>
      </c>
      <c r="AE670">
        <f t="shared" si="551"/>
        <v>-35.39765587879414</v>
      </c>
      <c r="AF670">
        <f t="shared" si="552"/>
        <v>0.49316721419700005</v>
      </c>
      <c r="AG670">
        <f t="shared" si="553"/>
        <v>1.5440586736773148</v>
      </c>
      <c r="AH670">
        <f t="shared" si="554"/>
        <v>-112.85433415949781</v>
      </c>
      <c r="AJ670">
        <f t="shared" si="571"/>
        <v>20000</v>
      </c>
      <c r="AK670">
        <f t="shared" si="555"/>
        <v>730005.60089520004</v>
      </c>
      <c r="AL670">
        <v>45</v>
      </c>
      <c r="AM670">
        <f t="shared" si="556"/>
        <v>1808.3585346447599</v>
      </c>
      <c r="AN670">
        <f t="shared" si="557"/>
        <v>403.70933202140048</v>
      </c>
      <c r="AO670">
        <f t="shared" si="558"/>
        <v>-1.0136706985471076</v>
      </c>
      <c r="AQ670">
        <f t="shared" si="559"/>
        <v>2.8293345325109367E-5</v>
      </c>
      <c r="AR670">
        <f t="shared" si="560"/>
        <v>-0.53191489211205611</v>
      </c>
      <c r="AT670">
        <f t="shared" si="561"/>
        <v>-60.028857292241952</v>
      </c>
      <c r="AU670">
        <f t="shared" si="562"/>
        <v>-0.82450082947156333</v>
      </c>
      <c r="AV670">
        <f t="shared" si="580"/>
        <v>-3.1278584426695231</v>
      </c>
      <c r="AW670">
        <f t="shared" si="581"/>
        <v>404.85922680541762</v>
      </c>
      <c r="AX670">
        <f t="shared" si="582"/>
        <v>-340.56704149437337</v>
      </c>
      <c r="AY670">
        <f t="shared" si="590"/>
        <v>-0.6993621925528456</v>
      </c>
      <c r="BA670">
        <f t="shared" si="572"/>
        <v>0.11347547018001433</v>
      </c>
      <c r="BB670">
        <f t="shared" si="583"/>
        <v>-18.901960182072358</v>
      </c>
      <c r="BC670">
        <f t="shared" si="584"/>
        <v>-2.4284962501166776</v>
      </c>
      <c r="BD670">
        <f t="shared" si="573"/>
        <v>-319.14258585402598</v>
      </c>
      <c r="BF670">
        <f t="shared" si="574"/>
        <v>-95.194702194335079</v>
      </c>
      <c r="BG670">
        <f t="shared" si="575"/>
        <v>-230.60250074988105</v>
      </c>
      <c r="BH670">
        <f t="shared" si="585"/>
        <v>-50.602500749881045</v>
      </c>
      <c r="BI670">
        <f t="shared" si="586"/>
        <v>-50.602500749881045</v>
      </c>
      <c r="BJ670">
        <f t="shared" si="576"/>
        <v>0</v>
      </c>
      <c r="BK670">
        <f t="shared" si="587"/>
        <v>0</v>
      </c>
      <c r="BM670">
        <f t="shared" si="588"/>
        <v>-76.292742012262721</v>
      </c>
      <c r="BN670">
        <f t="shared" si="577"/>
        <v>-91.459914895855078</v>
      </c>
      <c r="BQ670" s="66">
        <f t="shared" si="589"/>
        <v>-1.9999993817872213</v>
      </c>
    </row>
    <row r="671" spans="1:69" x14ac:dyDescent="0.15">
      <c r="A671">
        <f t="shared" si="563"/>
        <v>9500000</v>
      </c>
      <c r="B671">
        <f t="shared" si="578"/>
        <v>9500</v>
      </c>
      <c r="C671">
        <f t="shared" si="539"/>
        <v>39.408261569009625</v>
      </c>
      <c r="D671">
        <f t="shared" si="540"/>
        <v>1.5454182129250758</v>
      </c>
      <c r="F671">
        <f t="shared" si="541"/>
        <v>2.5649896585858225E-7</v>
      </c>
      <c r="G671">
        <f t="shared" si="542"/>
        <v>1.6588778234973619E-4</v>
      </c>
      <c r="H671">
        <f t="shared" si="564"/>
        <v>-3.1414267622176504</v>
      </c>
      <c r="J671">
        <f t="shared" si="565"/>
        <v>15</v>
      </c>
      <c r="M671">
        <f t="shared" si="543"/>
        <v>1.0031827499133714E-4</v>
      </c>
      <c r="N671">
        <f t="shared" si="566"/>
        <v>-1.5707963250000001</v>
      </c>
      <c r="O671">
        <f t="shared" si="544"/>
        <v>4038.0462364997593</v>
      </c>
      <c r="P671">
        <f t="shared" si="567"/>
        <v>1.5705486822778076</v>
      </c>
      <c r="Q671">
        <f t="shared" si="545"/>
        <v>1827.596664979661</v>
      </c>
      <c r="R671">
        <f t="shared" si="568"/>
        <v>1.5702491600873509</v>
      </c>
      <c r="S671">
        <f t="shared" si="546"/>
        <v>2.7098704758491875E-2</v>
      </c>
      <c r="T671">
        <f t="shared" si="569"/>
        <v>-1.5436943043303719</v>
      </c>
      <c r="U671">
        <f t="shared" si="547"/>
        <v>1.3784235341983028E-2</v>
      </c>
      <c r="V671">
        <f t="shared" si="570"/>
        <v>-1.5570116549029831</v>
      </c>
      <c r="X671">
        <f t="shared" si="548"/>
        <v>-87.549458654622697</v>
      </c>
      <c r="Y671">
        <f t="shared" si="549"/>
        <v>-179.14745834694347</v>
      </c>
      <c r="Z671">
        <f t="shared" si="579"/>
        <v>0.85254165305653373</v>
      </c>
      <c r="AC671">
        <v>1</v>
      </c>
      <c r="AD671">
        <f t="shared" si="550"/>
        <v>4038.0461126775008</v>
      </c>
      <c r="AE671">
        <f t="shared" si="551"/>
        <v>-36.154803565653815</v>
      </c>
      <c r="AF671">
        <f t="shared" si="552"/>
        <v>0.49841367392250008</v>
      </c>
      <c r="AG671">
        <f t="shared" si="553"/>
        <v>1.5117294060122854</v>
      </c>
      <c r="AH671">
        <f t="shared" si="554"/>
        <v>-111.66683947650056</v>
      </c>
      <c r="AJ671">
        <f t="shared" si="571"/>
        <v>20000</v>
      </c>
      <c r="AK671">
        <f t="shared" si="555"/>
        <v>737771.61792600004</v>
      </c>
      <c r="AL671">
        <v>46</v>
      </c>
      <c r="AM671">
        <f t="shared" si="556"/>
        <v>1827.5963913963001</v>
      </c>
      <c r="AN671">
        <f t="shared" si="557"/>
        <v>403.70379619907806</v>
      </c>
      <c r="AO671">
        <f t="shared" si="558"/>
        <v>-0.78224348744208427</v>
      </c>
      <c r="AQ671">
        <f t="shared" si="559"/>
        <v>2.7700830948197144E-5</v>
      </c>
      <c r="AR671">
        <f t="shared" si="560"/>
        <v>-0.52631578801574574</v>
      </c>
      <c r="AT671">
        <f t="shared" si="561"/>
        <v>-58.771978738141463</v>
      </c>
      <c r="AU671">
        <f t="shared" si="562"/>
        <v>-0.79874031783478927</v>
      </c>
      <c r="AV671">
        <f t="shared" si="580"/>
        <v>-3.1280029946360699</v>
      </c>
      <c r="AW671">
        <f t="shared" si="581"/>
        <v>404.95227325173715</v>
      </c>
      <c r="AX671">
        <f t="shared" si="582"/>
        <v>-336.75868251021149</v>
      </c>
      <c r="AY671">
        <f t="shared" si="590"/>
        <v>-0.69371499614030252</v>
      </c>
      <c r="BA671">
        <f t="shared" si="572"/>
        <v>0.11159965717598648</v>
      </c>
      <c r="BB671">
        <f t="shared" si="583"/>
        <v>-19.046742790192102</v>
      </c>
      <c r="BC671">
        <f t="shared" si="584"/>
        <v>-2.4342879984957673</v>
      </c>
      <c r="BD671">
        <f t="shared" si="573"/>
        <v>-319.47442859252874</v>
      </c>
      <c r="BF671">
        <f t="shared" si="574"/>
        <v>-95.431459697493537</v>
      </c>
      <c r="BG671">
        <f t="shared" si="575"/>
        <v>-230.91898263828108</v>
      </c>
      <c r="BH671">
        <f t="shared" si="585"/>
        <v>-50.918982638281079</v>
      </c>
      <c r="BI671">
        <f t="shared" si="586"/>
        <v>-50.918982638281079</v>
      </c>
      <c r="BJ671">
        <f t="shared" si="576"/>
        <v>0</v>
      </c>
      <c r="BK671">
        <f t="shared" si="587"/>
        <v>0</v>
      </c>
      <c r="BM671">
        <f t="shared" si="588"/>
        <v>-76.384716907301438</v>
      </c>
      <c r="BN671">
        <f t="shared" si="577"/>
        <v>-91.444554045752369</v>
      </c>
      <c r="BQ671" s="66">
        <f t="shared" si="589"/>
        <v>-2.1447819899069658</v>
      </c>
    </row>
    <row r="672" spans="1:69" x14ac:dyDescent="0.15">
      <c r="A672">
        <f t="shared" si="563"/>
        <v>9600000</v>
      </c>
      <c r="B672">
        <f t="shared" si="578"/>
        <v>9600</v>
      </c>
      <c r="C672">
        <f t="shared" si="539"/>
        <v>39.822819655940641</v>
      </c>
      <c r="D672">
        <f t="shared" si="540"/>
        <v>1.5456824565536025</v>
      </c>
      <c r="F672">
        <f t="shared" si="541"/>
        <v>2.5118306803680608E-7</v>
      </c>
      <c r="G672">
        <f t="shared" si="542"/>
        <v>1.6415978376123599E-4</v>
      </c>
      <c r="H672">
        <f t="shared" si="564"/>
        <v>-3.141428490216239</v>
      </c>
      <c r="J672">
        <f t="shared" si="565"/>
        <v>15</v>
      </c>
      <c r="M672">
        <f t="shared" si="543"/>
        <v>9.9273292960177367E-5</v>
      </c>
      <c r="N672">
        <f t="shared" si="566"/>
        <v>-1.5707963250000001</v>
      </c>
      <c r="O672">
        <f t="shared" si="544"/>
        <v>4080.5519837644442</v>
      </c>
      <c r="P672">
        <f t="shared" si="567"/>
        <v>1.5705512619080901</v>
      </c>
      <c r="Q672">
        <f t="shared" si="545"/>
        <v>1846.8345188813746</v>
      </c>
      <c r="R672">
        <f t="shared" si="568"/>
        <v>1.5702548597394346</v>
      </c>
      <c r="S672">
        <f t="shared" si="546"/>
        <v>2.6816630646721195E-2</v>
      </c>
      <c r="T672">
        <f t="shared" si="569"/>
        <v>-1.5439764809928413</v>
      </c>
      <c r="U672">
        <f t="shared" si="547"/>
        <v>1.3640676414486044E-2</v>
      </c>
      <c r="V672">
        <f t="shared" si="570"/>
        <v>-1.5571552273293034</v>
      </c>
      <c r="X672">
        <f t="shared" si="548"/>
        <v>-87.731338600410069</v>
      </c>
      <c r="Y672">
        <f t="shared" si="549"/>
        <v>-179.15633656728417</v>
      </c>
      <c r="Z672">
        <f t="shared" si="579"/>
        <v>0.84366343271582878</v>
      </c>
      <c r="AC672">
        <v>1</v>
      </c>
      <c r="AD672">
        <f t="shared" si="550"/>
        <v>4080.5518612320006</v>
      </c>
      <c r="AE672">
        <f t="shared" si="551"/>
        <v>-36.919963397347985</v>
      </c>
      <c r="AF672">
        <f t="shared" si="552"/>
        <v>0.50366013364800011</v>
      </c>
      <c r="AG672">
        <f t="shared" si="553"/>
        <v>1.4804049060991114</v>
      </c>
      <c r="AH672">
        <f t="shared" si="554"/>
        <v>-110.50407055907863</v>
      </c>
      <c r="AJ672">
        <f t="shared" si="571"/>
        <v>20000</v>
      </c>
      <c r="AK672">
        <f t="shared" si="555"/>
        <v>745537.63495680003</v>
      </c>
      <c r="AL672">
        <v>47</v>
      </c>
      <c r="AM672">
        <f t="shared" si="556"/>
        <v>1846.8342481478401</v>
      </c>
      <c r="AN672">
        <f t="shared" si="557"/>
        <v>403.69824794615033</v>
      </c>
      <c r="AO672">
        <f t="shared" si="558"/>
        <v>-0.55564398784572866</v>
      </c>
      <c r="AQ672">
        <f t="shared" si="559"/>
        <v>2.7126736037525129E-5</v>
      </c>
      <c r="AR672">
        <f t="shared" si="560"/>
        <v>-0.52083333192048253</v>
      </c>
      <c r="AT672">
        <f t="shared" si="561"/>
        <v>-57.554163101507903</v>
      </c>
      <c r="AU672">
        <f t="shared" si="562"/>
        <v>-0.77404183458815745</v>
      </c>
      <c r="AV672">
        <f t="shared" si="580"/>
        <v>-3.1281445356777202</v>
      </c>
      <c r="AW672">
        <f t="shared" si="581"/>
        <v>405.04096789391519</v>
      </c>
      <c r="AX672">
        <f t="shared" si="582"/>
        <v>-333.02965277958384</v>
      </c>
      <c r="AY672">
        <f t="shared" si="590"/>
        <v>-0.68813902592215226</v>
      </c>
      <c r="BA672">
        <f t="shared" si="572"/>
        <v>0.10976800706481803</v>
      </c>
      <c r="BB672">
        <f t="shared" si="583"/>
        <v>-19.190484414446054</v>
      </c>
      <c r="BC672">
        <f t="shared" si="584"/>
        <v>-2.4400055097555677</v>
      </c>
      <c r="BD672">
        <f t="shared" si="573"/>
        <v>-319.80201785740815</v>
      </c>
      <c r="BF672">
        <f t="shared" si="574"/>
        <v>-95.666211877899471</v>
      </c>
      <c r="BG672">
        <f t="shared" si="575"/>
        <v>-231.23153086549164</v>
      </c>
      <c r="BH672">
        <f t="shared" si="585"/>
        <v>-51.231530865491635</v>
      </c>
      <c r="BI672">
        <f t="shared" si="586"/>
        <v>-51.231530865491635</v>
      </c>
      <c r="BJ672">
        <f t="shared" si="576"/>
        <v>0</v>
      </c>
      <c r="BK672">
        <f t="shared" si="587"/>
        <v>0</v>
      </c>
      <c r="BM672">
        <f t="shared" si="588"/>
        <v>-76.47572746345341</v>
      </c>
      <c r="BN672">
        <f t="shared" si="577"/>
        <v>-91.429513008083518</v>
      </c>
      <c r="BQ672" s="66">
        <f t="shared" si="589"/>
        <v>-2.2885236141609182</v>
      </c>
    </row>
    <row r="673" spans="1:69" x14ac:dyDescent="0.15">
      <c r="A673">
        <f t="shared" si="563"/>
        <v>9700000</v>
      </c>
      <c r="B673">
        <f t="shared" si="578"/>
        <v>9700</v>
      </c>
      <c r="C673">
        <f t="shared" si="539"/>
        <v>40.237380466191468</v>
      </c>
      <c r="D673">
        <f t="shared" si="540"/>
        <v>1.5459412552603109</v>
      </c>
      <c r="F673">
        <f t="shared" si="541"/>
        <v>2.4603073052877026E-7</v>
      </c>
      <c r="G673">
        <f t="shared" si="542"/>
        <v>1.6246741403566861E-4</v>
      </c>
      <c r="H673">
        <f t="shared" si="564"/>
        <v>-3.1414301825859647</v>
      </c>
      <c r="J673">
        <f t="shared" si="565"/>
        <v>15</v>
      </c>
      <c r="M673">
        <f t="shared" si="543"/>
        <v>9.8249856950278643E-5</v>
      </c>
      <c r="N673">
        <f t="shared" si="566"/>
        <v>-1.5707963250000001</v>
      </c>
      <c r="O673">
        <f t="shared" si="544"/>
        <v>4123.0577310557237</v>
      </c>
      <c r="P673">
        <f t="shared" si="567"/>
        <v>1.5705537883501226</v>
      </c>
      <c r="Q673">
        <f t="shared" si="545"/>
        <v>1866.0723728418477</v>
      </c>
      <c r="R673">
        <f t="shared" si="568"/>
        <v>1.5702604418729527</v>
      </c>
      <c r="S673">
        <f t="shared" si="546"/>
        <v>2.6540366286514388E-2</v>
      </c>
      <c r="T673">
        <f t="shared" si="569"/>
        <v>-1.5442528437209544</v>
      </c>
      <c r="U673">
        <f t="shared" si="547"/>
        <v>1.3500076647194994E-2</v>
      </c>
      <c r="V673">
        <f t="shared" si="570"/>
        <v>-1.5572958400445822</v>
      </c>
      <c r="X673">
        <f t="shared" si="548"/>
        <v>-87.911334259206271</v>
      </c>
      <c r="Y673">
        <f t="shared" si="549"/>
        <v>-179.16503180520894</v>
      </c>
      <c r="Z673">
        <f t="shared" si="579"/>
        <v>0.83496819479105966</v>
      </c>
      <c r="AC673">
        <v>1</v>
      </c>
      <c r="AD673">
        <f t="shared" si="550"/>
        <v>4123.0576097865005</v>
      </c>
      <c r="AE673">
        <f t="shared" si="551"/>
        <v>-37.69313537387665</v>
      </c>
      <c r="AF673">
        <f t="shared" si="552"/>
        <v>0.50890659337349997</v>
      </c>
      <c r="AG673">
        <f t="shared" si="553"/>
        <v>1.4500439671944905</v>
      </c>
      <c r="AH673">
        <f t="shared" si="554"/>
        <v>-109.36526324917776</v>
      </c>
      <c r="AJ673">
        <f t="shared" si="571"/>
        <v>20000</v>
      </c>
      <c r="AK673">
        <f t="shared" si="555"/>
        <v>753303.65198760002</v>
      </c>
      <c r="AL673">
        <v>48</v>
      </c>
      <c r="AM673">
        <f t="shared" si="556"/>
        <v>1866.0721048993801</v>
      </c>
      <c r="AN673">
        <f t="shared" si="557"/>
        <v>403.69269156538979</v>
      </c>
      <c r="AO673">
        <f t="shared" si="558"/>
        <v>-0.33372279839897701</v>
      </c>
      <c r="AQ673">
        <f t="shared" si="559"/>
        <v>2.65703049565036E-5</v>
      </c>
      <c r="AR673">
        <f t="shared" si="560"/>
        <v>-0.51546391615616982</v>
      </c>
      <c r="AT673">
        <f t="shared" si="561"/>
        <v>-56.373808357761199</v>
      </c>
      <c r="AU673">
        <f t="shared" si="562"/>
        <v>-0.75035121032487961</v>
      </c>
      <c r="AV673">
        <f t="shared" si="580"/>
        <v>-3.1282831588925459</v>
      </c>
      <c r="AW673">
        <f t="shared" si="581"/>
        <v>405.12551925838983</v>
      </c>
      <c r="AX673">
        <f t="shared" si="582"/>
        <v>-329.37750149947033</v>
      </c>
      <c r="AY673">
        <f t="shared" si="590"/>
        <v>-0.68263319368660169</v>
      </c>
      <c r="BA673">
        <f t="shared" si="572"/>
        <v>0.10797917182606871</v>
      </c>
      <c r="BB673">
        <f t="shared" si="583"/>
        <v>-19.333200155696659</v>
      </c>
      <c r="BC673">
        <f t="shared" si="584"/>
        <v>-2.445649965205944</v>
      </c>
      <c r="BD673">
        <f t="shared" si="573"/>
        <v>-320.12542133273382</v>
      </c>
      <c r="BF673">
        <f t="shared" si="574"/>
        <v>-95.898993860972439</v>
      </c>
      <c r="BG673">
        <f t="shared" si="575"/>
        <v>-231.54020323280537</v>
      </c>
      <c r="BH673">
        <f t="shared" si="585"/>
        <v>-51.540203232805368</v>
      </c>
      <c r="BI673">
        <f t="shared" si="586"/>
        <v>-51.540203232805368</v>
      </c>
      <c r="BJ673">
        <f t="shared" si="576"/>
        <v>0</v>
      </c>
      <c r="BK673">
        <f t="shared" si="587"/>
        <v>0</v>
      </c>
      <c r="BM673">
        <f t="shared" si="588"/>
        <v>-76.56579370527578</v>
      </c>
      <c r="BN673">
        <f t="shared" si="577"/>
        <v>-91.414781900071503</v>
      </c>
      <c r="BQ673" s="66">
        <f t="shared" si="589"/>
        <v>-2.4312393554115213</v>
      </c>
    </row>
    <row r="674" spans="1:69" x14ac:dyDescent="0.15">
      <c r="A674">
        <f t="shared" si="563"/>
        <v>9800000</v>
      </c>
      <c r="B674">
        <f t="shared" si="578"/>
        <v>9800</v>
      </c>
      <c r="C674">
        <f t="shared" si="539"/>
        <v>40.651943916446406</v>
      </c>
      <c r="D674">
        <f t="shared" si="540"/>
        <v>1.5461947755898915</v>
      </c>
      <c r="F674">
        <f t="shared" si="541"/>
        <v>2.4103531157985089E-7</v>
      </c>
      <c r="G674">
        <f t="shared" si="542"/>
        <v>1.6080958249250934E-4</v>
      </c>
      <c r="H674">
        <f t="shared" si="564"/>
        <v>-3.1414318404175079</v>
      </c>
      <c r="J674">
        <f t="shared" si="565"/>
        <v>15</v>
      </c>
      <c r="M674">
        <f t="shared" si="543"/>
        <v>9.7247307389561517E-5</v>
      </c>
      <c r="N674">
        <f t="shared" si="566"/>
        <v>-1.5707963250000001</v>
      </c>
      <c r="O674">
        <f t="shared" si="544"/>
        <v>4165.5634783727819</v>
      </c>
      <c r="P674">
        <f t="shared" si="567"/>
        <v>1.5705562632321164</v>
      </c>
      <c r="Q674">
        <f t="shared" si="545"/>
        <v>1885.3102268592811</v>
      </c>
      <c r="R674">
        <f t="shared" si="568"/>
        <v>1.5702659100854111</v>
      </c>
      <c r="S674">
        <f t="shared" si="546"/>
        <v>2.6269734077694791E-2</v>
      </c>
      <c r="T674">
        <f t="shared" si="569"/>
        <v>-1.5445235703259641</v>
      </c>
      <c r="U674">
        <f t="shared" si="547"/>
        <v>1.3362345486430579E-2</v>
      </c>
      <c r="V674">
        <f t="shared" si="570"/>
        <v>-1.5574335836303104</v>
      </c>
      <c r="X674">
        <f t="shared" si="548"/>
        <v>-88.089484268541455</v>
      </c>
      <c r="Y674">
        <f t="shared" si="549"/>
        <v>-179.17354965926131</v>
      </c>
      <c r="Z674">
        <f t="shared" si="579"/>
        <v>0.82645034073868828</v>
      </c>
      <c r="AC674">
        <v>1</v>
      </c>
      <c r="AD674">
        <f t="shared" si="550"/>
        <v>4165.5633583410008</v>
      </c>
      <c r="AE674">
        <f t="shared" si="551"/>
        <v>-38.474319495239804</v>
      </c>
      <c r="AF674">
        <f t="shared" si="552"/>
        <v>0.51415305309900006</v>
      </c>
      <c r="AG674">
        <f t="shared" si="553"/>
        <v>1.4206074733985938</v>
      </c>
      <c r="AH674">
        <f t="shared" si="554"/>
        <v>-108.24968455092721</v>
      </c>
      <c r="AJ674">
        <f t="shared" si="571"/>
        <v>20000</v>
      </c>
      <c r="AK674">
        <f t="shared" si="555"/>
        <v>761069.66901840002</v>
      </c>
      <c r="AL674">
        <v>49</v>
      </c>
      <c r="AM674">
        <f t="shared" si="556"/>
        <v>1885.3099616509201</v>
      </c>
      <c r="AN674">
        <f t="shared" si="557"/>
        <v>403.68713102544427</v>
      </c>
      <c r="AO674">
        <f t="shared" si="558"/>
        <v>-0.11633661531240591</v>
      </c>
      <c r="AQ674">
        <f t="shared" si="559"/>
        <v>2.603082042370153E-5</v>
      </c>
      <c r="AR674">
        <f t="shared" si="560"/>
        <v>-0.51020408030455</v>
      </c>
      <c r="AT674">
        <f t="shared" si="561"/>
        <v>-55.229393769985442</v>
      </c>
      <c r="AU674">
        <f t="shared" si="562"/>
        <v>-0.72761755753856761</v>
      </c>
      <c r="AV674">
        <f t="shared" si="580"/>
        <v>-3.1284189535798683</v>
      </c>
      <c r="AW674">
        <f t="shared" si="581"/>
        <v>405.2061243729886</v>
      </c>
      <c r="AX674">
        <f t="shared" si="582"/>
        <v>-325.79987769829893</v>
      </c>
      <c r="AY674">
        <f t="shared" si="590"/>
        <v>-0.67719642719872108</v>
      </c>
      <c r="BA674">
        <f t="shared" si="572"/>
        <v>0.10623185490575571</v>
      </c>
      <c r="BB674">
        <f t="shared" si="583"/>
        <v>-19.474904705509751</v>
      </c>
      <c r="BC674">
        <f t="shared" si="584"/>
        <v>-2.4512225263811471</v>
      </c>
      <c r="BD674">
        <f t="shared" si="573"/>
        <v>-320.44470556951626</v>
      </c>
      <c r="BF674">
        <f t="shared" si="574"/>
        <v>-96.129839745151159</v>
      </c>
      <c r="BG674">
        <f t="shared" si="575"/>
        <v>-231.84505681141613</v>
      </c>
      <c r="BH674">
        <f t="shared" si="585"/>
        <v>-51.845056811416129</v>
      </c>
      <c r="BI674">
        <f t="shared" si="586"/>
        <v>-51.845056811416129</v>
      </c>
      <c r="BJ674">
        <f t="shared" si="576"/>
        <v>0</v>
      </c>
      <c r="BK674">
        <f t="shared" si="587"/>
        <v>0</v>
      </c>
      <c r="BM674">
        <f t="shared" si="588"/>
        <v>-76.654935039641401</v>
      </c>
      <c r="BN674">
        <f t="shared" si="577"/>
        <v>-91.400351241899841</v>
      </c>
      <c r="BQ674" s="66">
        <f t="shared" si="589"/>
        <v>-2.5729439052246161</v>
      </c>
    </row>
    <row r="675" spans="1:69" x14ac:dyDescent="0.15">
      <c r="A675">
        <f t="shared" si="563"/>
        <v>9900000</v>
      </c>
      <c r="B675">
        <f t="shared" si="578"/>
        <v>9900</v>
      </c>
      <c r="C675">
        <f t="shared" si="539"/>
        <v>41.066509926753511</v>
      </c>
      <c r="D675">
        <f t="shared" si="540"/>
        <v>1.546443177364746</v>
      </c>
      <c r="F675">
        <f t="shared" si="541"/>
        <v>2.361905031747998E-7</v>
      </c>
      <c r="G675">
        <f t="shared" si="542"/>
        <v>1.5918524251918535E-4</v>
      </c>
      <c r="H675">
        <f t="shared" si="564"/>
        <v>-3.1414334647574811</v>
      </c>
      <c r="J675">
        <f t="shared" si="565"/>
        <v>15</v>
      </c>
      <c r="M675">
        <f t="shared" si="543"/>
        <v>9.6265011355323502E-5</v>
      </c>
      <c r="N675">
        <f t="shared" si="566"/>
        <v>-1.5707963250000001</v>
      </c>
      <c r="O675">
        <f t="shared" si="544"/>
        <v>4208.0692257148403</v>
      </c>
      <c r="P675">
        <f t="shared" si="567"/>
        <v>1.5705586881164972</v>
      </c>
      <c r="Q675">
        <f t="shared" si="545"/>
        <v>1904.5480809319492</v>
      </c>
      <c r="R675">
        <f t="shared" si="568"/>
        <v>1.5702712678289614</v>
      </c>
      <c r="S675">
        <f t="shared" si="546"/>
        <v>2.6004563583459747E-2</v>
      </c>
      <c r="T675">
        <f t="shared" si="569"/>
        <v>-1.5447888314430969</v>
      </c>
      <c r="U675">
        <f t="shared" si="547"/>
        <v>1.3227396035614082E-2</v>
      </c>
      <c r="V675">
        <f t="shared" si="570"/>
        <v>-1.5575685450092105</v>
      </c>
      <c r="X675">
        <f t="shared" si="548"/>
        <v>-88.265826089747961</v>
      </c>
      <c r="Y675">
        <f t="shared" si="549"/>
        <v>-179.18189550192801</v>
      </c>
      <c r="Z675">
        <f t="shared" si="579"/>
        <v>0.81810449807198893</v>
      </c>
      <c r="AC675">
        <v>1</v>
      </c>
      <c r="AD675">
        <f t="shared" si="550"/>
        <v>4208.0691068955002</v>
      </c>
      <c r="AE675">
        <f t="shared" si="551"/>
        <v>-39.263515761437461</v>
      </c>
      <c r="AF675">
        <f t="shared" si="552"/>
        <v>0.51939951282450003</v>
      </c>
      <c r="AG675">
        <f t="shared" si="553"/>
        <v>1.3920582736342653</v>
      </c>
      <c r="AH675">
        <f t="shared" si="554"/>
        <v>-107.15663105845918</v>
      </c>
      <c r="AJ675">
        <f t="shared" si="571"/>
        <v>20000</v>
      </c>
      <c r="AK675">
        <f t="shared" si="555"/>
        <v>768835.68604920001</v>
      </c>
      <c r="AL675">
        <v>50</v>
      </c>
      <c r="AM675">
        <f t="shared" si="556"/>
        <v>1904.5478184024598</v>
      </c>
      <c r="AN675">
        <f t="shared" si="557"/>
        <v>403.68156998564058</v>
      </c>
      <c r="AO675">
        <f t="shared" si="558"/>
        <v>9.6652075365811996E-2</v>
      </c>
      <c r="AQ675">
        <f t="shared" si="559"/>
        <v>2.550760120011325E-5</v>
      </c>
      <c r="AR675">
        <f t="shared" si="560"/>
        <v>-0.50505050376224236</v>
      </c>
      <c r="AT675">
        <f t="shared" si="561"/>
        <v>-54.119474989472266</v>
      </c>
      <c r="AU675">
        <f t="shared" si="562"/>
        <v>-0.70579304097636997</v>
      </c>
      <c r="AV675">
        <f t="shared" si="580"/>
        <v>-3.1285520054320441</v>
      </c>
      <c r="AW675">
        <f t="shared" si="581"/>
        <v>405.28296949692776</v>
      </c>
      <c r="AX675">
        <f t="shared" si="582"/>
        <v>-322.29452520862799</v>
      </c>
      <c r="AY675">
        <f t="shared" si="590"/>
        <v>-0.67182767006723121</v>
      </c>
      <c r="BA675">
        <f t="shared" si="572"/>
        <v>0.10452480878948384</v>
      </c>
      <c r="BB675">
        <f t="shared" si="583"/>
        <v>-19.615612364907186</v>
      </c>
      <c r="BC675">
        <f t="shared" si="584"/>
        <v>-2.4567243353648127</v>
      </c>
      <c r="BD675">
        <f t="shared" si="573"/>
        <v>-320.7599360043277</v>
      </c>
      <c r="BF675">
        <f t="shared" si="574"/>
        <v>-96.358782645806755</v>
      </c>
      <c r="BG675">
        <f t="shared" si="575"/>
        <v>-232.14614794071358</v>
      </c>
      <c r="BH675">
        <f t="shared" si="585"/>
        <v>-52.146147940713576</v>
      </c>
      <c r="BI675">
        <f t="shared" si="586"/>
        <v>-52.146147940713576</v>
      </c>
      <c r="BJ675">
        <f t="shared" si="576"/>
        <v>0</v>
      </c>
      <c r="BK675">
        <f t="shared" si="587"/>
        <v>0</v>
      </c>
      <c r="BM675">
        <f t="shared" si="588"/>
        <v>-76.743170280899577</v>
      </c>
      <c r="BN675">
        <f t="shared" si="577"/>
        <v>-91.386211936385919</v>
      </c>
      <c r="BQ675" s="66">
        <f t="shared" si="589"/>
        <v>-2.7136515646220492</v>
      </c>
    </row>
    <row r="676" spans="1:69" x14ac:dyDescent="0.15">
      <c r="A676">
        <f t="shared" si="563"/>
        <v>10000000</v>
      </c>
      <c r="B676">
        <f t="shared" si="578"/>
        <v>10000</v>
      </c>
      <c r="C676">
        <f t="shared" si="539"/>
        <v>41.481078420356532</v>
      </c>
      <c r="D676">
        <f t="shared" si="540"/>
        <v>1.5466866140207001</v>
      </c>
      <c r="F676">
        <f t="shared" si="541"/>
        <v>2.314903111141815E-7</v>
      </c>
      <c r="G676">
        <f t="shared" si="542"/>
        <v>1.5759338936767532E-4</v>
      </c>
      <c r="H676">
        <f t="shared" si="564"/>
        <v>-3.1414350566106326</v>
      </c>
      <c r="J676">
        <f t="shared" si="565"/>
        <v>15</v>
      </c>
      <c r="M676">
        <f t="shared" si="543"/>
        <v>9.5302361241770279E-5</v>
      </c>
      <c r="N676">
        <f t="shared" si="566"/>
        <v>-1.5707963250000001</v>
      </c>
      <c r="O676">
        <f t="shared" si="544"/>
        <v>4250.5749730811467</v>
      </c>
      <c r="P676">
        <f t="shared" si="567"/>
        <v>1.5705610645031931</v>
      </c>
      <c r="Q676">
        <f t="shared" si="545"/>
        <v>1923.7859350581948</v>
      </c>
      <c r="R676">
        <f t="shared" si="568"/>
        <v>1.5702765184176704</v>
      </c>
      <c r="S676">
        <f t="shared" si="546"/>
        <v>2.5744691172943351E-2</v>
      </c>
      <c r="T676">
        <f t="shared" si="569"/>
        <v>-1.5450487908898658</v>
      </c>
      <c r="U676">
        <f t="shared" si="547"/>
        <v>1.3095144872508882E-2</v>
      </c>
      <c r="V676">
        <f t="shared" si="570"/>
        <v>-1.5577008076281103</v>
      </c>
      <c r="X676">
        <f t="shared" si="548"/>
        <v>-88.440396055216013</v>
      </c>
      <c r="Y676">
        <f t="shared" si="549"/>
        <v>-179.19007449093317</v>
      </c>
      <c r="Z676">
        <f t="shared" si="579"/>
        <v>0.80992550906682936</v>
      </c>
      <c r="AC676">
        <v>1</v>
      </c>
      <c r="AD676">
        <f t="shared" si="550"/>
        <v>4250.5748554500005</v>
      </c>
      <c r="AE676">
        <f t="shared" si="551"/>
        <v>-40.060724172469605</v>
      </c>
      <c r="AF676">
        <f t="shared" si="552"/>
        <v>0.52464597255000012</v>
      </c>
      <c r="AG676">
        <f t="shared" si="553"/>
        <v>1.3643610643990822</v>
      </c>
      <c r="AH676">
        <f t="shared" si="554"/>
        <v>-106.08542747794442</v>
      </c>
      <c r="AJ676">
        <f t="shared" si="571"/>
        <v>20000</v>
      </c>
      <c r="AK676">
        <f t="shared" si="555"/>
        <v>776601.70308000001</v>
      </c>
      <c r="AL676">
        <v>51</v>
      </c>
      <c r="AM676">
        <f t="shared" si="556"/>
        <v>1923.7856751539998</v>
      </c>
      <c r="AN676">
        <f t="shared" si="557"/>
        <v>403.67601181882947</v>
      </c>
      <c r="AO676">
        <f t="shared" si="558"/>
        <v>0.3053752870434856</v>
      </c>
      <c r="AQ676">
        <f t="shared" si="559"/>
        <v>2.4999999937500001E-5</v>
      </c>
      <c r="AR676">
        <f t="shared" si="560"/>
        <v>-0.49999999875000001</v>
      </c>
      <c r="AT676">
        <f t="shared" si="561"/>
        <v>-53.042679497338902</v>
      </c>
      <c r="AU676">
        <f t="shared" si="562"/>
        <v>-0.68483266617440808</v>
      </c>
      <c r="AV676">
        <f t="shared" si="580"/>
        <v>-3.1286823967147521</v>
      </c>
      <c r="AW676">
        <f t="shared" si="581"/>
        <v>405.35623079815781</v>
      </c>
      <c r="AX676">
        <f t="shared" si="582"/>
        <v>-318.85927794032665</v>
      </c>
      <c r="AY676">
        <f t="shared" si="590"/>
        <v>-0.66652588161015924</v>
      </c>
      <c r="BA676">
        <f t="shared" si="572"/>
        <v>0.10285683271532221</v>
      </c>
      <c r="BB676">
        <f t="shared" si="583"/>
        <v>-19.755337061981731</v>
      </c>
      <c r="BC676">
        <f t="shared" si="584"/>
        <v>-2.462156515104593</v>
      </c>
      <c r="BD676">
        <f t="shared" si="573"/>
        <v>-321.07117697732923</v>
      </c>
      <c r="BF676">
        <f t="shared" si="574"/>
        <v>-96.585854736749582</v>
      </c>
      <c r="BG676">
        <f t="shared" si="575"/>
        <v>-232.44353222720156</v>
      </c>
      <c r="BH676">
        <f t="shared" si="585"/>
        <v>-52.443532227201558</v>
      </c>
      <c r="BI676">
        <f t="shared" si="586"/>
        <v>-52.443532227201558</v>
      </c>
      <c r="BJ676">
        <f t="shared" si="576"/>
        <v>0</v>
      </c>
      <c r="BK676">
        <f t="shared" si="587"/>
        <v>0</v>
      </c>
      <c r="BM676">
        <f t="shared" si="588"/>
        <v>-76.830517674767833</v>
      </c>
      <c r="BN676">
        <f t="shared" si="577"/>
        <v>-91.372355249872328</v>
      </c>
      <c r="BQ676" s="66">
        <f t="shared" si="589"/>
        <v>-2.8533762616965936</v>
      </c>
    </row>
    <row r="677" spans="1:69" x14ac:dyDescent="0.15">
      <c r="BD677">
        <f t="shared" si="573"/>
        <v>-180</v>
      </c>
    </row>
    <row r="678" spans="1:69" x14ac:dyDescent="0.15">
      <c r="BD678">
        <f t="shared" si="573"/>
        <v>-180</v>
      </c>
    </row>
    <row r="679" spans="1:69" x14ac:dyDescent="0.15">
      <c r="C679" s="624" t="s">
        <v>46</v>
      </c>
      <c r="D679" s="624"/>
      <c r="E679" s="624"/>
      <c r="F679" s="624"/>
      <c r="G679" s="624"/>
      <c r="H679" s="624"/>
      <c r="J679" s="7" t="s">
        <v>76</v>
      </c>
      <c r="M679" s="7" t="s">
        <v>37</v>
      </c>
      <c r="N679" s="5"/>
      <c r="O679" s="5"/>
      <c r="P679" s="5"/>
      <c r="Q679" s="5"/>
      <c r="R679" s="5"/>
      <c r="S679" s="5"/>
      <c r="T679" s="5"/>
      <c r="U679" s="5"/>
      <c r="V679" s="5"/>
      <c r="X679" s="7" t="s">
        <v>105</v>
      </c>
      <c r="Y679" s="5"/>
      <c r="Z679" s="5"/>
      <c r="AD679" s="5"/>
      <c r="AE679" s="5"/>
      <c r="AF679" s="5"/>
      <c r="AG679" s="5"/>
      <c r="AH679" s="5"/>
      <c r="AJ679" s="7" t="s">
        <v>87</v>
      </c>
      <c r="AK679" s="5"/>
      <c r="AL679" s="5"/>
      <c r="AM679" s="5"/>
      <c r="AN679" s="5"/>
      <c r="AO679" s="5"/>
      <c r="AQ679" s="7" t="s">
        <v>438</v>
      </c>
      <c r="AR679" s="5"/>
      <c r="AT679" s="7" t="s">
        <v>108</v>
      </c>
      <c r="AU679" s="5"/>
      <c r="AV679" s="5"/>
      <c r="AW679" s="5"/>
      <c r="AX679" s="5"/>
      <c r="AY679" s="5"/>
      <c r="BA679" s="7" t="s">
        <v>109</v>
      </c>
      <c r="BB679" s="5"/>
      <c r="BC679" s="5"/>
      <c r="BF679" s="7" t="s">
        <v>110</v>
      </c>
      <c r="BG679" s="5"/>
      <c r="BH679" s="5"/>
      <c r="BJ679" t="s">
        <v>85</v>
      </c>
      <c r="BK679" s="4">
        <f>SUM(BK683:BK1300)</f>
        <v>0</v>
      </c>
    </row>
    <row r="680" spans="1:69" x14ac:dyDescent="0.15">
      <c r="C680" s="2" t="s">
        <v>47</v>
      </c>
      <c r="D680" s="2"/>
      <c r="E680" s="2"/>
      <c r="F680" s="2" t="s">
        <v>48</v>
      </c>
      <c r="G680" s="2"/>
      <c r="H680" s="2"/>
      <c r="M680" s="2" t="s">
        <v>50</v>
      </c>
      <c r="N680" s="2"/>
      <c r="O680" s="2" t="s">
        <v>64</v>
      </c>
      <c r="P680" s="2"/>
      <c r="Q680" s="2" t="s">
        <v>65</v>
      </c>
      <c r="R680" s="2"/>
      <c r="S680" s="2" t="s">
        <v>66</v>
      </c>
      <c r="T680" s="2"/>
      <c r="U680" s="2" t="s">
        <v>67</v>
      </c>
      <c r="V680" s="2"/>
      <c r="AD680" s="2"/>
      <c r="AE680" s="2" t="s">
        <v>91</v>
      </c>
      <c r="AF680" s="2"/>
      <c r="AG680" s="2" t="s">
        <v>92</v>
      </c>
      <c r="AH680" s="2"/>
      <c r="AJ680" s="2" t="s">
        <v>90</v>
      </c>
      <c r="AK680" s="2"/>
      <c r="AL680" s="2" t="s">
        <v>91</v>
      </c>
      <c r="AM680" s="2"/>
      <c r="AN680" s="2" t="s">
        <v>92</v>
      </c>
      <c r="AO680" s="2"/>
      <c r="AQ680" s="2" t="s">
        <v>83</v>
      </c>
      <c r="AR680" s="2"/>
      <c r="AT680" s="2" t="s">
        <v>90</v>
      </c>
      <c r="AU680" s="2"/>
      <c r="AV680" s="2"/>
      <c r="AW680" s="2" t="s">
        <v>91</v>
      </c>
      <c r="AX680" s="2"/>
      <c r="AY680" s="2"/>
    </row>
    <row r="681" spans="1:69" x14ac:dyDescent="0.15">
      <c r="A681" s="2" t="s">
        <v>44</v>
      </c>
      <c r="B681" s="2"/>
      <c r="C681" s="2" t="s">
        <v>68</v>
      </c>
      <c r="D681" s="2" t="s">
        <v>69</v>
      </c>
      <c r="E681" s="2"/>
      <c r="F681" s="2" t="s">
        <v>68</v>
      </c>
      <c r="G681" s="2"/>
      <c r="H681" s="2" t="s">
        <v>69</v>
      </c>
      <c r="J681" s="2" t="s">
        <v>68</v>
      </c>
      <c r="M681" s="2" t="s">
        <v>68</v>
      </c>
      <c r="N681" s="2" t="s">
        <v>69</v>
      </c>
      <c r="O681" s="2" t="s">
        <v>68</v>
      </c>
      <c r="P681" s="2" t="s">
        <v>69</v>
      </c>
      <c r="Q681" s="2" t="s">
        <v>68</v>
      </c>
      <c r="R681" s="2" t="s">
        <v>69</v>
      </c>
      <c r="S681" s="2" t="s">
        <v>68</v>
      </c>
      <c r="T681" s="2" t="s">
        <v>69</v>
      </c>
      <c r="U681" s="2" t="s">
        <v>68</v>
      </c>
      <c r="V681" s="2" t="s">
        <v>69</v>
      </c>
      <c r="X681" s="2" t="s">
        <v>71</v>
      </c>
      <c r="Y681" s="2" t="s">
        <v>72</v>
      </c>
      <c r="Z681" s="2" t="s">
        <v>73</v>
      </c>
      <c r="AC681" s="2" t="s">
        <v>88</v>
      </c>
      <c r="AD681" s="2" t="s">
        <v>89</v>
      </c>
      <c r="AE681" s="2" t="s">
        <v>88</v>
      </c>
      <c r="AF681" s="2" t="s">
        <v>89</v>
      </c>
      <c r="AG681" s="2" t="s">
        <v>97</v>
      </c>
      <c r="AH681" s="2" t="s">
        <v>98</v>
      </c>
      <c r="AJ681" s="2" t="s">
        <v>88</v>
      </c>
      <c r="AK681" s="2" t="s">
        <v>89</v>
      </c>
      <c r="AL681" s="2" t="s">
        <v>88</v>
      </c>
      <c r="AM681" s="2" t="s">
        <v>89</v>
      </c>
      <c r="AN681" s="2" t="s">
        <v>100</v>
      </c>
      <c r="AO681" s="2" t="s">
        <v>99</v>
      </c>
      <c r="AQ681" s="2" t="s">
        <v>88</v>
      </c>
      <c r="AR681" s="2" t="s">
        <v>89</v>
      </c>
      <c r="AT681" s="2" t="s">
        <v>88</v>
      </c>
      <c r="AU681" s="2" t="s">
        <v>89</v>
      </c>
      <c r="AV681" s="2" t="s">
        <v>69</v>
      </c>
      <c r="AW681" s="2" t="s">
        <v>88</v>
      </c>
      <c r="AX681" s="2" t="s">
        <v>89</v>
      </c>
      <c r="AY681" s="2" t="s">
        <v>69</v>
      </c>
      <c r="BA681" s="2" t="s">
        <v>437</v>
      </c>
      <c r="BB681" s="2" t="s">
        <v>435</v>
      </c>
      <c r="BC681" s="2" t="s">
        <v>436</v>
      </c>
      <c r="BF681" s="2" t="s">
        <v>71</v>
      </c>
      <c r="BG681" s="2" t="s">
        <v>72</v>
      </c>
      <c r="BH681" s="2" t="s">
        <v>104</v>
      </c>
    </row>
    <row r="682" spans="1:69" x14ac:dyDescent="0.15">
      <c r="A682">
        <f>Fesr</f>
        <v>241143.85344508541</v>
      </c>
      <c r="B682">
        <f t="shared" ref="B682:B692" si="591">A682/1000</f>
        <v>241.1438534450854</v>
      </c>
      <c r="C682">
        <f t="shared" ref="C682:C686" si="592">SQRT((A682/Fesr)^2+1)</f>
        <v>1.4142135623730951</v>
      </c>
      <c r="D682">
        <f t="shared" ref="D682:D686" si="593">ATAN(A682/Fesr)</f>
        <v>0.78539816339744828</v>
      </c>
      <c r="F682">
        <f t="shared" ref="F682:F687" si="594">(Ro/(Ro+Rdcr))/SQRT((A682/(Q*Fo))^2+(1-(A682^2/Fo^2))^2)</f>
        <v>3.982417540767711E-4</v>
      </c>
      <c r="G682">
        <f t="shared" ref="G682:G687" si="595">-ATAN(A682*Fo/(Q*(Fo^2-A682^2)))</f>
        <v>6.537794390583428E-3</v>
      </c>
      <c r="H682">
        <f t="shared" ref="H682:H687" si="596">IF(G682&gt;0,G682-Pi,G682)</f>
        <v>-3.1350548556094169</v>
      </c>
      <c r="J682">
        <f t="shared" ref="J682:J688" si="597">Vin/Vramp</f>
        <v>15</v>
      </c>
      <c r="M682">
        <f t="shared" ref="M682:M687" si="598">1/(2*Pi*_Rfb1*(Cc1ea_u+Cc2ea_u)*A682)</f>
        <v>3.9520958083832337E-3</v>
      </c>
      <c r="N682">
        <f t="shared" ref="N682:N688" si="599">-Pi/2</f>
        <v>-1.5707963250000001</v>
      </c>
      <c r="O682">
        <f t="shared" ref="O682:O687" si="600">SQRT(1+(A682/Fz1_u)^2)</f>
        <v>102.50487793271108</v>
      </c>
      <c r="P682">
        <f t="shared" ref="P682:P687" si="601">ATAN(A682/Fz1_u)</f>
        <v>1.5610405387493822</v>
      </c>
      <c r="Q682">
        <f t="shared" ref="Q682:Q687" si="602">SQRT(1+(A682/Fz2_u)^2)</f>
        <v>46.40168581292054</v>
      </c>
      <c r="R682">
        <f t="shared" ref="R682:R687" si="603">ATAN(A682/Fz2_u)</f>
        <v>1.5492437171032585</v>
      </c>
      <c r="S682">
        <f t="shared" ref="S682:S687" si="604">1/SQRT(1+(A682/Fp1_u)^2)</f>
        <v>0.72995095316658043</v>
      </c>
      <c r="T682">
        <f t="shared" ref="T682:T687" si="605">-ATAN(A682/Fp1_u)</f>
        <v>-0.75254613731442799</v>
      </c>
      <c r="U682">
        <f t="shared" ref="U682:U687" si="606">1/SQRT(1+(A682/Fp2_u)^2)</f>
        <v>0.47724951972007773</v>
      </c>
      <c r="V682">
        <f t="shared" ref="V682:V687" si="607">-ATAN(A682/Fp2_u)</f>
        <v>-1.0732742125094872</v>
      </c>
      <c r="X682">
        <f t="shared" ref="X682:X686" si="608">20*LOG(C682*J682*O682*Q682*F682*M682*S682*U682)</f>
        <v>-25.142040292632288</v>
      </c>
      <c r="Y682">
        <f t="shared" ref="Y682:Y686" si="609">(180/Pi)*(D682+H682+N682+P682+R682+T682+V682)</f>
        <v>-151.03105108581909</v>
      </c>
      <c r="Z682">
        <f t="shared" ref="Z682:Z687" si="610">Y682+180</f>
        <v>28.968948914180913</v>
      </c>
      <c r="AC682">
        <v>1</v>
      </c>
      <c r="AD682">
        <f t="shared" ref="AD682:AD687" si="611">Rcea1_u*Cc1ea_u*A682*2*Pi</f>
        <v>102.5</v>
      </c>
      <c r="AE682">
        <f t="shared" ref="AE682:AE687" si="612">-Rcea1_u*Cc1ea_u*Cc2ea_u*(A682*2*Pi)^2</f>
        <v>-2.3295454545454546E-2</v>
      </c>
      <c r="AF682">
        <f t="shared" ref="AF682:AF687" si="613">(Cc2ea_u+Cc1ea_u)*A682*2*Pi</f>
        <v>1.2651515151515153E-2</v>
      </c>
      <c r="AG682">
        <f t="shared" ref="AG682:AG687" si="614">AC682*AE682/(AE682^2+AF682^2)+AD682*AF682/(AE682^2+AF682^2)</f>
        <v>1812.173195775255</v>
      </c>
      <c r="AH682">
        <f t="shared" ref="AH682:AH687" si="615">AD682*AE682/(AE682^2+AF682^2)-AC682*AF682/(AE682^2+AF682^2)</f>
        <v>-3415.8278904244958</v>
      </c>
      <c r="AJ682">
        <f t="shared" ref="AJ682:AJ688" si="616">_Rfb1</f>
        <v>20000</v>
      </c>
      <c r="AK682">
        <f t="shared" ref="AK682:AK687" si="617">_Rfb1*Rcea2_u*Cc3ea_u*A682*2*Pi</f>
        <v>18727.272727272724</v>
      </c>
      <c r="AL682">
        <v>1</v>
      </c>
      <c r="AM682">
        <f t="shared" ref="AM682:AM687" si="618">(_Rfb1+Rcea2_u)*Cc3ea_u*A682*2*Pi</f>
        <v>46.390909090909084</v>
      </c>
      <c r="AN682">
        <f t="shared" ref="AN682:AN687" si="619">AJ682*AL682/(AL682^2+AM682^2)+AK682*AM682/(AL682^2+AM682^2)</f>
        <v>412.78548038900675</v>
      </c>
      <c r="AO682">
        <f t="shared" ref="AO682:AO687" si="620">AK682*AL682/(AL682^2+AM682^2)-AJ682*AM682/(AL682^2+AM682^2)</f>
        <v>-422.22096750092288</v>
      </c>
      <c r="AQ682">
        <f t="shared" ref="AQ682:AQ687" si="621">Eadcg/(1+(Eadcg*A682/GBP)^2)</f>
        <v>4.2991811842511052E-2</v>
      </c>
      <c r="AR682">
        <f t="shared" ref="AR682:AR687" si="622">-(A682*Eadcg*Eadcg/GBP)/(1+(Eadcg*A682/GBP)^2)</f>
        <v>-20.734422348578342</v>
      </c>
      <c r="AT682">
        <f t="shared" ref="AT682:AT687" si="623">-AR682*AH682+AG682*AQ682</f>
        <v>-70747.309541056064</v>
      </c>
      <c r="AU682">
        <f t="shared" ref="AU682:AU687" si="624">AQ682*AH682+AG682*AR682</f>
        <v>-37721.217039928611</v>
      </c>
      <c r="AV682">
        <f t="shared" ref="AV682:AV687" si="625">IF(AT682&lt;0,ATAN(AU682/AT682)+Pi,ATAN(AU682/AT682))</f>
        <v>3.6314324244175094</v>
      </c>
      <c r="AW682">
        <f t="shared" ref="AW682:AW687" si="626">AG682-AH682*AO682/_Rfb2+AG682*AN682/_Rfb2+AN682-AO682*AR682+AQ682*AN682</f>
        <v>-6694.0290782767306</v>
      </c>
      <c r="AX682">
        <f t="shared" ref="AX682:AX687" si="627">AH682+AH682*AN682/_Rfb2+AG682*AO682/_Rfb2+AO682+AO682*AQ682+AN682*AR682</f>
        <v>-12986.04408218971</v>
      </c>
      <c r="AY682">
        <f t="shared" ref="AY682:AY687" si="628">IF(AW682&lt;0,ATAN(AX682/AW682)+Pi,ATAN(AX682/AW682))</f>
        <v>4.2364352287644511</v>
      </c>
      <c r="BA682">
        <f t="shared" ref="BA682:BA687" si="629">SQRT(AT682^2+AU682^2)/SQRT(AW682^2+AX682^2)</f>
        <v>5.487758194290322</v>
      </c>
      <c r="BB682">
        <f t="shared" ref="BB682:BB687" si="630">20*LOG(BA682)</f>
        <v>14.787899338234132</v>
      </c>
      <c r="BC682">
        <f t="shared" ref="BC682:BC687" si="631">AV682-AY682</f>
        <v>-0.60500280434694176</v>
      </c>
      <c r="BD682">
        <f t="shared" ref="BD682:BD687" si="632">BC682*180/Pi</f>
        <v>-34.664107322268379</v>
      </c>
      <c r="BF682">
        <f t="shared" ref="BF682:BF686" si="633">20*LOG(BA682*J682*F682*C682)</f>
        <v>-26.677039681179643</v>
      </c>
      <c r="BG682">
        <f t="shared" ref="BG682:BG686" si="634">(180/Pi)*(D682+H682+BC682)</f>
        <v>-169.28951924451562</v>
      </c>
      <c r="BH682">
        <f t="shared" ref="BH682:BH687" si="635">IF(BG682&gt;180,BG682-180,BG682+180)</f>
        <v>10.710480755484383</v>
      </c>
      <c r="BI682">
        <f t="shared" ref="BI682:BI687" si="636">IF(BH682&gt;180,BH682-360,BH682)</f>
        <v>10.710480755484383</v>
      </c>
    </row>
    <row r="683" spans="1:69" x14ac:dyDescent="0.15">
      <c r="A683">
        <f>Fo+1</f>
        <v>4851.4458215256936</v>
      </c>
      <c r="B683">
        <f t="shared" si="591"/>
        <v>4.8514458215256937</v>
      </c>
      <c r="C683">
        <f t="shared" si="592"/>
        <v>1.0002023559803335</v>
      </c>
      <c r="D683">
        <f t="shared" si="593"/>
        <v>2.0115758148235508E-2</v>
      </c>
      <c r="F683">
        <f t="shared" si="594"/>
        <v>3.0277728403319792</v>
      </c>
      <c r="G683">
        <f t="shared" si="595"/>
        <v>1.5695273692171423</v>
      </c>
      <c r="H683">
        <f t="shared" si="596"/>
        <v>-1.5720652807828579</v>
      </c>
      <c r="J683">
        <f t="shared" si="597"/>
        <v>15</v>
      </c>
      <c r="M683">
        <f t="shared" si="598"/>
        <v>0.19644115331334233</v>
      </c>
      <c r="N683">
        <f t="shared" si="599"/>
        <v>-1.5707963250000001</v>
      </c>
      <c r="O683">
        <f t="shared" si="600"/>
        <v>2.2918192001294573</v>
      </c>
      <c r="P683">
        <f t="shared" si="601"/>
        <v>1.1192753452259376</v>
      </c>
      <c r="Q683">
        <f t="shared" si="602"/>
        <v>1.3678725786049233</v>
      </c>
      <c r="R683">
        <f t="shared" si="603"/>
        <v>0.7509188353236691</v>
      </c>
      <c r="S683">
        <f t="shared" si="604"/>
        <v>0.99982260822088864</v>
      </c>
      <c r="T683">
        <f t="shared" si="605"/>
        <v>-1.8835977489899978E-2</v>
      </c>
      <c r="U683">
        <f t="shared" si="606"/>
        <v>0.99931455821372828</v>
      </c>
      <c r="V683">
        <f t="shared" si="607"/>
        <v>-3.7027560158926012E-2</v>
      </c>
      <c r="X683">
        <f t="shared" si="608"/>
        <v>28.92772121224521</v>
      </c>
      <c r="Y683">
        <f t="shared" si="609"/>
        <v>-74.966669167656576</v>
      </c>
      <c r="Z683">
        <f t="shared" si="610"/>
        <v>105.03333083234342</v>
      </c>
      <c r="AC683">
        <v>1</v>
      </c>
      <c r="AD683">
        <f t="shared" si="611"/>
        <v>2.0621433621555085</v>
      </c>
      <c r="AE683">
        <f t="shared" si="612"/>
        <v>-9.4289029846608063E-6</v>
      </c>
      <c r="AF683">
        <f t="shared" si="613"/>
        <v>2.5452915113079817E-4</v>
      </c>
      <c r="AG683">
        <f t="shared" si="614"/>
        <v>7945.3517929627369</v>
      </c>
      <c r="AH683">
        <f t="shared" si="615"/>
        <v>-4223.1545835096331</v>
      </c>
      <c r="AJ683">
        <f t="shared" si="616"/>
        <v>20000</v>
      </c>
      <c r="AK683">
        <f t="shared" si="617"/>
        <v>376.76410873972031</v>
      </c>
      <c r="AL683">
        <v>1</v>
      </c>
      <c r="AM683">
        <f t="shared" si="618"/>
        <v>0.93331419752368583</v>
      </c>
      <c r="AN683">
        <f t="shared" si="619"/>
        <v>10876.974485604178</v>
      </c>
      <c r="AO683">
        <f t="shared" si="620"/>
        <v>-9774.8706047775486</v>
      </c>
      <c r="AQ683">
        <f t="shared" si="621"/>
        <v>105.10151592659329</v>
      </c>
      <c r="AR683">
        <f t="shared" si="622"/>
        <v>-1019.7886205561745</v>
      </c>
      <c r="AT683">
        <f t="shared" si="623"/>
        <v>-3471656.4691023147</v>
      </c>
      <c r="AU683">
        <f t="shared" si="624"/>
        <v>-8546439.2934981994</v>
      </c>
      <c r="AV683">
        <f t="shared" si="625"/>
        <v>4.3265399019141517</v>
      </c>
      <c r="AW683">
        <f t="shared" si="626"/>
        <v>-8794443.5694782287</v>
      </c>
      <c r="AX683">
        <f t="shared" si="627"/>
        <v>-12166011.531949744</v>
      </c>
      <c r="AY683">
        <f t="shared" si="628"/>
        <v>4.0864784114150394</v>
      </c>
      <c r="BA683">
        <f t="shared" si="629"/>
        <v>0.61449283251890996</v>
      </c>
      <c r="BB683">
        <f t="shared" si="630"/>
        <v>-4.2296635676950629</v>
      </c>
      <c r="BC683">
        <f t="shared" si="631"/>
        <v>0.2400614904991123</v>
      </c>
      <c r="BD683">
        <f t="shared" si="632"/>
        <v>13.754510244935863</v>
      </c>
      <c r="BF683">
        <f t="shared" si="633"/>
        <v>28.916384856556263</v>
      </c>
      <c r="BG683">
        <f t="shared" si="634"/>
        <v>-75.165647520976918</v>
      </c>
      <c r="BH683">
        <f t="shared" si="635"/>
        <v>104.83435247902308</v>
      </c>
      <c r="BI683">
        <f t="shared" si="636"/>
        <v>104.83435247902308</v>
      </c>
    </row>
    <row r="684" spans="1:69" x14ac:dyDescent="0.15">
      <c r="A684">
        <f>Fz1_u</f>
        <v>2352.6229604398577</v>
      </c>
      <c r="B684">
        <f t="shared" si="591"/>
        <v>2.3526229604398576</v>
      </c>
      <c r="C684">
        <f t="shared" si="592"/>
        <v>1.0000475895874252</v>
      </c>
      <c r="D684">
        <f t="shared" si="593"/>
        <v>9.7557880455145206E-3</v>
      </c>
      <c r="F684">
        <f t="shared" si="594"/>
        <v>1.2601520988796224</v>
      </c>
      <c r="G684">
        <f t="shared" si="595"/>
        <v>-0.20322352466033985</v>
      </c>
      <c r="H684">
        <f t="shared" si="596"/>
        <v>-0.20322352466033985</v>
      </c>
      <c r="J684">
        <f t="shared" si="597"/>
        <v>15</v>
      </c>
      <c r="M684">
        <f t="shared" si="598"/>
        <v>0.40508982035928143</v>
      </c>
      <c r="N684">
        <f t="shared" si="599"/>
        <v>-1.5707963250000001</v>
      </c>
      <c r="O684">
        <f t="shared" si="600"/>
        <v>1.4142135623730951</v>
      </c>
      <c r="P684">
        <f t="shared" si="601"/>
        <v>0.78539816339744828</v>
      </c>
      <c r="Q684">
        <f t="shared" si="602"/>
        <v>1.0976527418019513</v>
      </c>
      <c r="R684">
        <f t="shared" si="603"/>
        <v>0.42500919843151819</v>
      </c>
      <c r="S684">
        <f t="shared" si="604"/>
        <v>0.9999582761696062</v>
      </c>
      <c r="T684">
        <f t="shared" si="605"/>
        <v>-9.1350008805129602E-3</v>
      </c>
      <c r="U684">
        <f t="shared" si="606"/>
        <v>0.99983868510331231</v>
      </c>
      <c r="V684">
        <f t="shared" si="607"/>
        <v>-1.7962139847857293E-2</v>
      </c>
      <c r="X684">
        <f t="shared" si="608"/>
        <v>21.499560062308088</v>
      </c>
      <c r="Y684">
        <f t="shared" si="609"/>
        <v>-33.28620319141671</v>
      </c>
      <c r="Z684">
        <f t="shared" si="610"/>
        <v>146.71379680858328</v>
      </c>
      <c r="AC684">
        <v>1</v>
      </c>
      <c r="AD684">
        <f t="shared" si="611"/>
        <v>1</v>
      </c>
      <c r="AE684">
        <f t="shared" si="612"/>
        <v>-2.2172949002217296E-6</v>
      </c>
      <c r="AF684">
        <f t="shared" si="613"/>
        <v>1.2342941611234295E-4</v>
      </c>
      <c r="AG684">
        <f t="shared" si="614"/>
        <v>7953.6884364470552</v>
      </c>
      <c r="AH684">
        <f t="shared" si="615"/>
        <v>-8244.6770377804842</v>
      </c>
      <c r="AJ684">
        <f t="shared" si="616"/>
        <v>20000</v>
      </c>
      <c r="AK684">
        <f t="shared" si="617"/>
        <v>182.70509977827049</v>
      </c>
      <c r="AL684">
        <v>1</v>
      </c>
      <c r="AM684">
        <f t="shared" si="618"/>
        <v>0.45259423503325941</v>
      </c>
      <c r="AN684">
        <f t="shared" si="619"/>
        <v>16668.325735553437</v>
      </c>
      <c r="AO684">
        <f t="shared" si="620"/>
        <v>-7361.2830357897292</v>
      </c>
      <c r="AQ684">
        <f t="shared" si="621"/>
        <v>432.16445914718724</v>
      </c>
      <c r="AR684">
        <f t="shared" si="622"/>
        <v>-2033.4400585514911</v>
      </c>
      <c r="AT684">
        <f t="shared" si="623"/>
        <v>-13327755.097080104</v>
      </c>
      <c r="AU684">
        <f t="shared" si="624"/>
        <v>-19736405.072784856</v>
      </c>
      <c r="AV684">
        <f t="shared" si="625"/>
        <v>4.1184415672758394</v>
      </c>
      <c r="AW684">
        <f t="shared" si="626"/>
        <v>-7721778.4587772144</v>
      </c>
      <c r="AX684">
        <f t="shared" si="627"/>
        <v>-37142375.379004061</v>
      </c>
      <c r="AY684">
        <f t="shared" si="628"/>
        <v>4.5074120639734403</v>
      </c>
      <c r="BA684">
        <f t="shared" si="629"/>
        <v>0.62775898517542728</v>
      </c>
      <c r="BB684">
        <f t="shared" si="630"/>
        <v>-4.044141249427665</v>
      </c>
      <c r="BC684">
        <f t="shared" si="631"/>
        <v>-0.38897049669760086</v>
      </c>
      <c r="BD684">
        <f t="shared" si="632"/>
        <v>-22.286367841345744</v>
      </c>
      <c r="BF684">
        <f t="shared" si="633"/>
        <v>21.486556622067017</v>
      </c>
      <c r="BG684">
        <f t="shared" si="634"/>
        <v>-33.371252633990181</v>
      </c>
      <c r="BH684">
        <f t="shared" si="635"/>
        <v>146.6287473660098</v>
      </c>
      <c r="BI684">
        <f t="shared" si="636"/>
        <v>146.6287473660098</v>
      </c>
    </row>
    <row r="685" spans="1:69" x14ac:dyDescent="0.15">
      <c r="A685">
        <f>Fz2_u</f>
        <v>5198.0842404388386</v>
      </c>
      <c r="B685">
        <f t="shared" si="591"/>
        <v>5.1980842404388383</v>
      </c>
      <c r="C685">
        <f t="shared" si="592"/>
        <v>1.0002323024537056</v>
      </c>
      <c r="D685">
        <f t="shared" si="593"/>
        <v>2.1552609691638178E-2</v>
      </c>
      <c r="F685">
        <f t="shared" si="594"/>
        <v>2.5993903040177093</v>
      </c>
      <c r="G685">
        <f t="shared" si="595"/>
        <v>1.1677139661821265</v>
      </c>
      <c r="H685">
        <f t="shared" si="596"/>
        <v>-1.9738786838178737</v>
      </c>
      <c r="J685">
        <f t="shared" si="597"/>
        <v>15</v>
      </c>
      <c r="M685">
        <f t="shared" si="598"/>
        <v>0.18334131736526946</v>
      </c>
      <c r="N685">
        <f t="shared" si="599"/>
        <v>-1.5707963250000001</v>
      </c>
      <c r="O685">
        <f t="shared" si="600"/>
        <v>2.4252468477007643</v>
      </c>
      <c r="P685">
        <f t="shared" si="601"/>
        <v>1.1457871283633785</v>
      </c>
      <c r="Q685">
        <f t="shared" si="602"/>
        <v>1.4142135623730951</v>
      </c>
      <c r="R685">
        <f t="shared" si="603"/>
        <v>0.78539816339744828</v>
      </c>
      <c r="S685">
        <f t="shared" si="604"/>
        <v>0.99979636114687043</v>
      </c>
      <c r="T685">
        <f t="shared" si="605"/>
        <v>-2.0181465009686175E-2</v>
      </c>
      <c r="U685">
        <f t="shared" si="606"/>
        <v>0.99921322823741177</v>
      </c>
      <c r="V685">
        <f t="shared" si="607"/>
        <v>-3.9670516823961444E-2</v>
      </c>
      <c r="X685">
        <f t="shared" si="608"/>
        <v>27.783293009339744</v>
      </c>
      <c r="Y685">
        <f t="shared" si="609"/>
        <v>-94.640543565006809</v>
      </c>
      <c r="Z685">
        <f t="shared" si="610"/>
        <v>85.359456434993191</v>
      </c>
      <c r="AC685">
        <v>1</v>
      </c>
      <c r="AD685">
        <f t="shared" si="611"/>
        <v>2.2094846168920244</v>
      </c>
      <c r="AE685">
        <f t="shared" si="612"/>
        <v>-1.082443962812083E-5</v>
      </c>
      <c r="AF685">
        <f t="shared" si="613"/>
        <v>2.7271539617218624E-4</v>
      </c>
      <c r="AG685">
        <f t="shared" si="614"/>
        <v>7943.7405655791017</v>
      </c>
      <c r="AH685">
        <f t="shared" si="615"/>
        <v>-3982.124058327453</v>
      </c>
      <c r="AJ685">
        <f t="shared" si="616"/>
        <v>20000</v>
      </c>
      <c r="AK685">
        <f t="shared" si="617"/>
        <v>403.68410738781108</v>
      </c>
      <c r="AL685">
        <v>1</v>
      </c>
      <c r="AM685">
        <f t="shared" si="618"/>
        <v>0.99999999999999978</v>
      </c>
      <c r="AN685">
        <f t="shared" si="619"/>
        <v>10201.842053693907</v>
      </c>
      <c r="AO685">
        <f t="shared" si="620"/>
        <v>-9798.1579463060953</v>
      </c>
      <c r="AQ685">
        <f t="shared" si="621"/>
        <v>91.675566079063003</v>
      </c>
      <c r="AR685">
        <f t="shared" si="622"/>
        <v>-953.07463053777349</v>
      </c>
      <c r="AT685">
        <f t="shared" si="623"/>
        <v>-3067014.5025113365</v>
      </c>
      <c r="AU685">
        <f t="shared" si="624"/>
        <v>-7936041.0818714518</v>
      </c>
      <c r="AV685">
        <f t="shared" si="625"/>
        <v>4.3436035214956235</v>
      </c>
      <c r="AW685">
        <f t="shared" si="626"/>
        <v>-8373939.4188395031</v>
      </c>
      <c r="AX685">
        <f t="shared" si="627"/>
        <v>-10666244.29856802</v>
      </c>
      <c r="AY685">
        <f t="shared" si="628"/>
        <v>4.0468071446667588</v>
      </c>
      <c r="BA685">
        <f t="shared" si="629"/>
        <v>0.62740833980210087</v>
      </c>
      <c r="BB685">
        <f t="shared" si="630"/>
        <v>-4.0489942551320581</v>
      </c>
      <c r="BC685">
        <f t="shared" si="631"/>
        <v>0.29679637682886462</v>
      </c>
      <c r="BD685">
        <f t="shared" si="632"/>
        <v>17.005179786499575</v>
      </c>
      <c r="BF685">
        <f t="shared" si="633"/>
        <v>27.772278337993338</v>
      </c>
      <c r="BG685">
        <f t="shared" si="634"/>
        <v>-94.854864622097566</v>
      </c>
      <c r="BH685">
        <f t="shared" si="635"/>
        <v>85.145135377902434</v>
      </c>
      <c r="BI685">
        <f t="shared" si="636"/>
        <v>85.145135377902434</v>
      </c>
    </row>
    <row r="686" spans="1:69" x14ac:dyDescent="0.15">
      <c r="A686">
        <f>Fp1_u</f>
        <v>257532.27066950873</v>
      </c>
      <c r="B686">
        <f t="shared" si="591"/>
        <v>257.5322706695087</v>
      </c>
      <c r="C686">
        <f t="shared" si="592"/>
        <v>1.4630587992462378</v>
      </c>
      <c r="D686">
        <f t="shared" si="593"/>
        <v>0.81825018948046857</v>
      </c>
      <c r="F686">
        <f t="shared" si="594"/>
        <v>3.4915266079500393E-4</v>
      </c>
      <c r="G686">
        <f t="shared" si="595"/>
        <v>6.1214583795331833E-3</v>
      </c>
      <c r="H686">
        <f t="shared" si="596"/>
        <v>-3.1354711916204669</v>
      </c>
      <c r="J686">
        <f t="shared" si="597"/>
        <v>15</v>
      </c>
      <c r="M686">
        <f t="shared" si="598"/>
        <v>3.7005988023952087E-3</v>
      </c>
      <c r="N686">
        <f t="shared" si="599"/>
        <v>-1.5707963250000001</v>
      </c>
      <c r="O686">
        <f t="shared" si="600"/>
        <v>109.47058694967875</v>
      </c>
      <c r="P686">
        <f t="shared" si="601"/>
        <v>1.5616613259143837</v>
      </c>
      <c r="Q686">
        <f t="shared" si="602"/>
        <v>49.553780395396309</v>
      </c>
      <c r="R686">
        <f t="shared" si="603"/>
        <v>1.5506148617852105</v>
      </c>
      <c r="S686">
        <f t="shared" si="604"/>
        <v>0.70710678118654746</v>
      </c>
      <c r="T686">
        <f t="shared" si="605"/>
        <v>-0.78539816339744828</v>
      </c>
      <c r="U686">
        <f t="shared" si="606"/>
        <v>0.45328535922608443</v>
      </c>
      <c r="V686">
        <f t="shared" si="607"/>
        <v>-1.1003486670422256</v>
      </c>
      <c r="X686">
        <f t="shared" si="608"/>
        <v>-26.142573358839257</v>
      </c>
      <c r="Y686">
        <f t="shared" si="609"/>
        <v>-152.49202807321757</v>
      </c>
      <c r="Z686">
        <f t="shared" si="610"/>
        <v>27.507971926782432</v>
      </c>
      <c r="AC686">
        <v>1</v>
      </c>
      <c r="AD686">
        <f t="shared" si="611"/>
        <v>109.46601941747575</v>
      </c>
      <c r="AE686">
        <f t="shared" si="612"/>
        <v>-2.6569422188707708E-2</v>
      </c>
      <c r="AF686">
        <f t="shared" si="613"/>
        <v>1.3511326860841427E-2</v>
      </c>
      <c r="AG686">
        <f t="shared" si="614"/>
        <v>1634.7527859253455</v>
      </c>
      <c r="AH686">
        <f t="shared" si="615"/>
        <v>-3288.6804827582591</v>
      </c>
      <c r="AJ686">
        <f t="shared" si="616"/>
        <v>20000</v>
      </c>
      <c r="AK686">
        <f t="shared" si="617"/>
        <v>20000</v>
      </c>
      <c r="AL686">
        <v>1</v>
      </c>
      <c r="AM686">
        <f t="shared" si="618"/>
        <v>49.543689320388353</v>
      </c>
      <c r="AN686">
        <f t="shared" si="619"/>
        <v>411.66443734031935</v>
      </c>
      <c r="AO686">
        <f t="shared" si="620"/>
        <v>-395.3749878412595</v>
      </c>
      <c r="AQ686">
        <f t="shared" si="621"/>
        <v>3.7694245740520493E-2</v>
      </c>
      <c r="AR686">
        <f t="shared" si="622"/>
        <v>-19.414969393461405</v>
      </c>
      <c r="AT686">
        <f t="shared" si="623"/>
        <v>-63788.010144387808</v>
      </c>
      <c r="AU686">
        <f t="shared" si="624"/>
        <v>-31862.639634895491</v>
      </c>
      <c r="AV686">
        <f t="shared" si="625"/>
        <v>3.6048468106904035</v>
      </c>
      <c r="AW686">
        <f t="shared" si="626"/>
        <v>-5778.9229444187367</v>
      </c>
      <c r="AX686">
        <f t="shared" si="627"/>
        <v>-12216.456739278357</v>
      </c>
      <c r="AY686">
        <f t="shared" si="628"/>
        <v>4.2705376777070585</v>
      </c>
      <c r="BA686">
        <f t="shared" si="629"/>
        <v>5.2761043234688367</v>
      </c>
      <c r="BB686">
        <f t="shared" si="630"/>
        <v>14.446267483729621</v>
      </c>
      <c r="BC686">
        <f t="shared" si="631"/>
        <v>-0.66569086701665503</v>
      </c>
      <c r="BD686">
        <f t="shared" si="632"/>
        <v>-38.141277184041634</v>
      </c>
      <c r="BF686">
        <f t="shared" si="633"/>
        <v>-27.866364605649672</v>
      </c>
      <c r="BG686">
        <f t="shared" si="634"/>
        <v>-170.90826095744703</v>
      </c>
      <c r="BH686">
        <f t="shared" si="635"/>
        <v>9.0917390425529732</v>
      </c>
      <c r="BI686">
        <f t="shared" si="636"/>
        <v>9.0917390425529732</v>
      </c>
    </row>
    <row r="687" spans="1:69" x14ac:dyDescent="0.15">
      <c r="A687">
        <f>Fp2_u</f>
        <v>130962.67813115206</v>
      </c>
      <c r="B687">
        <f t="shared" si="591"/>
        <v>130.96267813115207</v>
      </c>
      <c r="C687">
        <f>SQRT((A687/Fesr)^2+1)</f>
        <v>1.1379569982864486</v>
      </c>
      <c r="D687">
        <f>ATAN(A687/Fesr)</f>
        <v>0.49752211428540943</v>
      </c>
      <c r="F687">
        <f t="shared" si="594"/>
        <v>1.3514570301362838E-3</v>
      </c>
      <c r="G687">
        <f t="shared" si="595"/>
        <v>1.2049401453163404E-2</v>
      </c>
      <c r="H687">
        <f t="shared" si="596"/>
        <v>-3.1295432485468369</v>
      </c>
      <c r="J687">
        <f t="shared" si="597"/>
        <v>15</v>
      </c>
      <c r="M687">
        <f t="shared" si="598"/>
        <v>7.2770626411846964E-3</v>
      </c>
      <c r="N687">
        <f t="shared" si="599"/>
        <v>-1.5707963250000001</v>
      </c>
      <c r="O687">
        <f t="shared" si="600"/>
        <v>55.675647978068262</v>
      </c>
      <c r="P687">
        <f t="shared" si="601"/>
        <v>1.5528341869470392</v>
      </c>
      <c r="Q687">
        <f t="shared" si="602"/>
        <v>25.214250276984203</v>
      </c>
      <c r="R687">
        <f t="shared" si="603"/>
        <v>1.5311258099709353</v>
      </c>
      <c r="S687">
        <f t="shared" si="604"/>
        <v>0.89136545990479099</v>
      </c>
      <c r="T687">
        <f t="shared" si="605"/>
        <v>-0.47044765975267105</v>
      </c>
      <c r="U687">
        <f t="shared" si="606"/>
        <v>0.70710678118654746</v>
      </c>
      <c r="V687">
        <f t="shared" si="607"/>
        <v>-0.78539816339744828</v>
      </c>
      <c r="X687">
        <f>20*LOG(C687*J687*O687*Q687*F687*M687*S687*U687)</f>
        <v>-16.563447834542139</v>
      </c>
      <c r="Y687">
        <f>(180/Pi)*(D687+H687+N687+P687+R687+T687+V687)</f>
        <v>-136.06047601010366</v>
      </c>
      <c r="Z687">
        <f t="shared" si="610"/>
        <v>43.939523989896344</v>
      </c>
      <c r="AC687">
        <v>1</v>
      </c>
      <c r="AD687">
        <f t="shared" si="611"/>
        <v>55.666666666666664</v>
      </c>
      <c r="AE687">
        <f t="shared" si="612"/>
        <v>-6.8709041635870889E-3</v>
      </c>
      <c r="AF687">
        <f t="shared" si="613"/>
        <v>6.8709041635870898E-3</v>
      </c>
      <c r="AG687">
        <f t="shared" si="614"/>
        <v>3978.1275771809683</v>
      </c>
      <c r="AH687">
        <f t="shared" si="615"/>
        <v>-4123.6688300046617</v>
      </c>
      <c r="AJ687">
        <f t="shared" si="616"/>
        <v>20000</v>
      </c>
      <c r="AK687">
        <f t="shared" si="617"/>
        <v>10170.583887657056</v>
      </c>
      <c r="AL687">
        <v>1</v>
      </c>
      <c r="AM687">
        <f t="shared" si="618"/>
        <v>25.194412416851435</v>
      </c>
      <c r="AN687">
        <f t="shared" si="619"/>
        <v>434.50763306623753</v>
      </c>
      <c r="AO687">
        <f t="shared" si="620"/>
        <v>-776.58061808368541</v>
      </c>
      <c r="AQ687">
        <f t="shared" si="621"/>
        <v>0.14576007499622678</v>
      </c>
      <c r="AR687">
        <f t="shared" si="622"/>
        <v>-38.178259572206862</v>
      </c>
      <c r="AT687">
        <f t="shared" si="623"/>
        <v>-156854.64680774207</v>
      </c>
      <c r="AU687">
        <f t="shared" si="624"/>
        <v>-152479.05353089047</v>
      </c>
      <c r="AV687">
        <f t="shared" si="625"/>
        <v>3.9128465366063514</v>
      </c>
      <c r="AW687">
        <f t="shared" si="626"/>
        <v>-25559.408894449429</v>
      </c>
      <c r="AX687">
        <f t="shared" si="627"/>
        <v>-22883.478466867909</v>
      </c>
      <c r="AY687">
        <f t="shared" si="628"/>
        <v>3.8718080233723935</v>
      </c>
      <c r="BA687">
        <f t="shared" si="629"/>
        <v>6.3764517893342418</v>
      </c>
      <c r="BB687">
        <f t="shared" si="630"/>
        <v>16.091581608989731</v>
      </c>
      <c r="BC687">
        <f t="shared" si="631"/>
        <v>4.1038513233957907E-2</v>
      </c>
      <c r="BD687">
        <f t="shared" si="632"/>
        <v>2.3513336084843535</v>
      </c>
      <c r="BF687">
        <f>20*LOG(BA687*J687*F687*C687)</f>
        <v>-16.648031354072764</v>
      </c>
      <c r="BG687">
        <f>(180/Pi)*(D687+H687+BC687)</f>
        <v>-148.45236914624957</v>
      </c>
      <c r="BH687">
        <f t="shared" si="635"/>
        <v>31.547630853750434</v>
      </c>
      <c r="BI687">
        <f t="shared" si="636"/>
        <v>31.547630853750434</v>
      </c>
    </row>
    <row r="688" spans="1:69" x14ac:dyDescent="0.15">
      <c r="A688">
        <f>'Bode Plots Calculations'!BK5*1000</f>
        <v>27500</v>
      </c>
      <c r="B688">
        <f t="shared" si="591"/>
        <v>27.5</v>
      </c>
      <c r="C688">
        <f>SQRT((A688/Fesr)^2+1)</f>
        <v>1.0064815343529907</v>
      </c>
      <c r="D688">
        <f>ATAN(A688/Fesr)</f>
        <v>0.11354926968462223</v>
      </c>
      <c r="F688">
        <f t="shared" ref="F688" si="637">(Ro/(Ro+Rdcr))/SQRT((A688/(Q*Fo))^2+(1-(A688^2/Fo^2))^2)</f>
        <v>3.153802301339366E-2</v>
      </c>
      <c r="G688">
        <f t="shared" ref="G688" si="638">-ATAN(A688*Fo/(Q*(Fo^2-A688^2)))</f>
        <v>5.9077892400538415E-2</v>
      </c>
      <c r="H688">
        <f t="shared" ref="H688" si="639">IF(G688&gt;0,G688-Pi,G688)</f>
        <v>-3.0825147575994616</v>
      </c>
      <c r="J688">
        <f t="shared" si="597"/>
        <v>15</v>
      </c>
      <c r="M688">
        <f t="shared" ref="M688" si="640">1/(2*Pi*_Rfb1*(Cc1ea_u+Cc2ea_u)*A688)</f>
        <v>3.465540408791646E-2</v>
      </c>
      <c r="N688">
        <f t="shared" si="599"/>
        <v>-1.5707963250000001</v>
      </c>
      <c r="O688">
        <f t="shared" ref="O688" si="641">SQRT(1+(A688/Fz1_u)^2)</f>
        <v>11.731777835263927</v>
      </c>
      <c r="P688">
        <f t="shared" ref="P688" si="642">ATAN(A688/Fz1_u)</f>
        <v>1.4854541965422889</v>
      </c>
      <c r="Q688">
        <f t="shared" ref="Q688" si="643">SQRT(1+(A688/Fz2_u)^2)</f>
        <v>5.3840917885195347</v>
      </c>
      <c r="R688">
        <f t="shared" ref="R688" si="644">ATAN(A688/Fz2_u)</f>
        <v>1.3839792025033597</v>
      </c>
      <c r="S688">
        <f t="shared" ref="S688" si="645">1/SQRT(1+(A688/Fp1_u)^2)</f>
        <v>0.99434702194787838</v>
      </c>
      <c r="T688">
        <f t="shared" ref="T688" si="646">-ATAN(A688/Fp1_u)</f>
        <v>-0.10637962325864807</v>
      </c>
      <c r="U688">
        <f t="shared" ref="U688" si="647">1/SQRT(1+(A688/Fp2_u)^2)</f>
        <v>0.97865674658610058</v>
      </c>
      <c r="V688">
        <f t="shared" ref="V688" si="648">-ATAN(A688/Fp2_u)</f>
        <v>-0.20697637994264953</v>
      </c>
      <c r="X688">
        <f>20*LOG(C688*J688*O688*Q688*F688*M688*S688*U688)</f>
        <v>0.12294320839832713</v>
      </c>
      <c r="Y688">
        <f>(180/Pi)*(D688+H688+N688+P688+R688+T688+V688)</f>
        <v>-113.65674511387972</v>
      </c>
      <c r="Z688">
        <f t="shared" ref="Z688" si="649">Y688+180</f>
        <v>66.343254886120278</v>
      </c>
      <c r="AC688">
        <v>1</v>
      </c>
      <c r="AD688">
        <f t="shared" ref="AD688" si="650">Rcea1_u*Cc1ea_u*A688*2*Pi</f>
        <v>11.689080852487502</v>
      </c>
      <c r="AE688">
        <f t="shared" ref="AE688" si="651">-Rcea1_u*Cc1ea_u*Cc2ea_u*(A688*2*Pi)^2</f>
        <v>-3.0295922655430136E-4</v>
      </c>
      <c r="AF688">
        <f t="shared" ref="AF688" si="652">(Cc2ea_u+Cc1ea_u)*A688*2*Pi</f>
        <v>1.4427764245125002E-3</v>
      </c>
      <c r="AG688">
        <f t="shared" ref="AG688" si="653">AC688*AE688/(AE688^2+AF688^2)+AD688*AF688/(AE688^2+AF688^2)</f>
        <v>7620.2547628369621</v>
      </c>
      <c r="AH688">
        <f t="shared" ref="AH688" si="654">AD688*AE688/(AE688^2+AF688^2)-AC688*AF688/(AE688^2+AF688^2)</f>
        <v>-2293.2357591119976</v>
      </c>
      <c r="AJ688">
        <f t="shared" si="616"/>
        <v>20000</v>
      </c>
      <c r="AK688">
        <f t="shared" ref="AK688" si="655">_Rfb1*Rcea2_u*Cc3ea_u*A688*2*Pi</f>
        <v>2135.6546834699998</v>
      </c>
      <c r="AL688">
        <v>1</v>
      </c>
      <c r="AM688">
        <f t="shared" ref="AM688" si="656">(_Rfb1+Rcea2_u)*Cc3ea_u*A688*2*Pi</f>
        <v>5.2904106066735004</v>
      </c>
      <c r="AN688">
        <f t="shared" ref="AN688" si="657">AJ688*AL688/(AL688^2+AM688^2)+AK688*AM688/(AL688^2+AM688^2)</f>
        <v>1079.6885052389318</v>
      </c>
      <c r="AO688">
        <f t="shared" ref="AO688" si="658">AK688*AL688/(AL688^2+AM688^2)-AJ688*AM688/(AL688^2+AM688^2)</f>
        <v>-3576.340836549502</v>
      </c>
      <c r="AQ688">
        <f t="shared" ref="AQ688" si="659">Eadcg/(1+(Eadcg*A688/GBP)^2)</f>
        <v>3.3046926635822866</v>
      </c>
      <c r="AR688">
        <f t="shared" ref="AR688" si="660">-(A688*Eadcg*Eadcg/GBP)/(1+(Eadcg*A688/GBP)^2)</f>
        <v>-181.75809649702578</v>
      </c>
      <c r="AT688">
        <f t="shared" ref="AT688" si="661">-AR688*AH688+AG688*AQ688</f>
        <v>-391631.56638573331</v>
      </c>
      <c r="AU688">
        <f t="shared" ref="AU688" si="662">AQ688*AH688+AG688*AR688</f>
        <v>-1392621.4399046428</v>
      </c>
      <c r="AV688">
        <f t="shared" ref="AV688" si="663">IF(AT688&lt;0,ATAN(AU688/AT688)+Pi,ATAN(AU688/AT688))</f>
        <v>4.4382502816726177</v>
      </c>
      <c r="AW688">
        <f t="shared" ref="AW688" si="664">AG688-AH688*AO688/_Rfb2+AG688*AN688/_Rfb2+AN688-AO688*AR688+AQ688*AN688</f>
        <v>-637754.0673704393</v>
      </c>
      <c r="AX688">
        <f t="shared" ref="AX688" si="665">AH688+AH688*AN688/_Rfb2+AG688*AO688/_Rfb2+AO688+AO688*AQ688+AN688*AR688</f>
        <v>-221734.17119544087</v>
      </c>
      <c r="AY688">
        <f t="shared" ref="AY688" si="666">IF(AW688&lt;0,ATAN(AX688/AW688)+Pi,ATAN(AX688/AW688))</f>
        <v>3.4761989330572072</v>
      </c>
      <c r="BA688">
        <f t="shared" ref="BA688" si="667">SQRT(AT688^2+AU688^2)/SQRT(AW688^2+AX688^2)</f>
        <v>2.1425338643176914</v>
      </c>
      <c r="BB688">
        <f t="shared" ref="BB688" si="668">20*LOG(BA688)</f>
        <v>6.6185538998400997</v>
      </c>
      <c r="BC688">
        <f t="shared" ref="BC688" si="669">AV688-AY688</f>
        <v>0.96205134861541053</v>
      </c>
      <c r="BD688">
        <f t="shared" ref="BD688" si="670">BC688*180/Pi</f>
        <v>55.121482013517529</v>
      </c>
      <c r="BF688">
        <v>0</v>
      </c>
      <c r="BG688">
        <f>(180/Pi)*(D688+H688+BC688)</f>
        <v>-114.98771015838007</v>
      </c>
      <c r="BH688">
        <f t="shared" ref="BH688:BH690" si="671">IF(BG688&gt;180,BG688-180,BG688+180)</f>
        <v>65.012289841619932</v>
      </c>
      <c r="BI688">
        <f t="shared" ref="BI688:BI690" si="672">IF(BH688&gt;180,BH688-360,BH688)</f>
        <v>65.012289841619932</v>
      </c>
    </row>
    <row r="689" spans="1:61" x14ac:dyDescent="0.15">
      <c r="A689">
        <v>1000000</v>
      </c>
      <c r="B689">
        <f t="shared" si="591"/>
        <v>1000</v>
      </c>
      <c r="BG689">
        <f>BG688</f>
        <v>-114.98771015838007</v>
      </c>
      <c r="BH689">
        <f t="shared" si="671"/>
        <v>65.012289841619932</v>
      </c>
      <c r="BI689">
        <f t="shared" si="672"/>
        <v>65.012289841619932</v>
      </c>
    </row>
    <row r="690" spans="1:61" x14ac:dyDescent="0.15">
      <c r="A690">
        <f>'Bode Plots Calculations'!BK5*1000</f>
        <v>27500</v>
      </c>
      <c r="B690">
        <f t="shared" si="591"/>
        <v>27.5</v>
      </c>
      <c r="BG690">
        <f>BG688</f>
        <v>-114.98771015838007</v>
      </c>
      <c r="BH690">
        <f t="shared" si="671"/>
        <v>65.012289841619932</v>
      </c>
      <c r="BI690">
        <f t="shared" si="672"/>
        <v>65.012289841619932</v>
      </c>
    </row>
    <row r="691" spans="1:61" x14ac:dyDescent="0.15">
      <c r="A691">
        <f>'Bode Plots Calculations'!BK5*1000</f>
        <v>27500</v>
      </c>
      <c r="B691">
        <f t="shared" si="591"/>
        <v>27.5</v>
      </c>
      <c r="BG691">
        <v>-90</v>
      </c>
    </row>
    <row r="692" spans="1:61" x14ac:dyDescent="0.15">
      <c r="A692">
        <f>'Bode Plots Calculations'!BK5*1000</f>
        <v>27500</v>
      </c>
      <c r="B692">
        <f t="shared" si="591"/>
        <v>27.5</v>
      </c>
      <c r="BG692">
        <v>-80</v>
      </c>
    </row>
  </sheetData>
  <mergeCells count="8">
    <mergeCell ref="A1:G1"/>
    <mergeCell ref="C6:H6"/>
    <mergeCell ref="C679:H679"/>
    <mergeCell ref="O7:P7"/>
    <mergeCell ref="U7:V7"/>
    <mergeCell ref="S7:T7"/>
    <mergeCell ref="Q7:R7"/>
    <mergeCell ref="M7:N7"/>
  </mergeCells>
  <phoneticPr fontId="5" type="noConversion"/>
  <pageMargins left="0.75" right="0.75" top="1" bottom="1" header="0.5" footer="0.5"/>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2:C9"/>
  <sheetViews>
    <sheetView zoomScaleNormal="100" workbookViewId="0">
      <selection activeCell="B2" sqref="B2"/>
    </sheetView>
  </sheetViews>
  <sheetFormatPr defaultColWidth="9.16796875" defaultRowHeight="12.75" x14ac:dyDescent="0.15"/>
  <cols>
    <col min="1" max="1" width="10.515625" style="439" customWidth="1"/>
    <col min="2" max="2" width="133.7734375" style="439" customWidth="1"/>
    <col min="3" max="16384" width="9.16796875" style="439"/>
  </cols>
  <sheetData>
    <row r="2" spans="1:3" x14ac:dyDescent="0.15">
      <c r="A2" s="439" t="str">
        <f>IF(RDSON_sense=1, "SCH_RDSON", "SCH_SHUNT")</f>
        <v>SCH_RDSON</v>
      </c>
    </row>
    <row r="5" spans="1:3" ht="403.5" customHeight="1" x14ac:dyDescent="0.15">
      <c r="B5" s="440"/>
    </row>
    <row r="6" spans="1:3" ht="12" customHeight="1" x14ac:dyDescent="0.15">
      <c r="B6" s="440"/>
    </row>
    <row r="7" spans="1:3" ht="34.5" customHeight="1" x14ac:dyDescent="0.15"/>
    <row r="8" spans="1:3" ht="404.1" customHeight="1" x14ac:dyDescent="0.15">
      <c r="B8" s="440"/>
      <c r="C8" s="441"/>
    </row>
    <row r="9" spans="1:3" x14ac:dyDescent="0.15">
      <c r="B9" s="440"/>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BQ209"/>
  <sheetViews>
    <sheetView topLeftCell="A28" workbookViewId="0">
      <selection activeCell="B34" sqref="B34"/>
    </sheetView>
  </sheetViews>
  <sheetFormatPr defaultRowHeight="12.75" x14ac:dyDescent="0.15"/>
  <cols>
    <col min="1" max="1" width="19.8203125" customWidth="1"/>
    <col min="2" max="2" width="13.078125" bestFit="1" customWidth="1"/>
    <col min="4" max="4" width="61.625" customWidth="1"/>
    <col min="8" max="8" width="11.0546875" bestFit="1" customWidth="1"/>
    <col min="10" max="10" width="12.40625" bestFit="1" customWidth="1"/>
    <col min="11" max="11" width="12.40625" customWidth="1"/>
    <col min="12" max="12" width="9.9765625" customWidth="1"/>
    <col min="13" max="13" width="11.0546875" customWidth="1"/>
    <col min="14" max="14" width="11.4609375" customWidth="1"/>
    <col min="15" max="15" width="10.24609375" bestFit="1" customWidth="1"/>
    <col min="16" max="16" width="7.953125" customWidth="1"/>
    <col min="17" max="17" width="11.8671875" style="45" customWidth="1"/>
    <col min="18" max="18" width="10.24609375" style="9" customWidth="1"/>
    <col min="19" max="19" width="9.4375" bestFit="1" customWidth="1"/>
    <col min="20" max="20" width="11.59375" customWidth="1"/>
    <col min="21" max="21" width="12.5390625" bestFit="1" customWidth="1"/>
    <col min="22" max="22" width="12.26953125" bestFit="1" customWidth="1"/>
    <col min="23" max="23" width="10.515625" bestFit="1" customWidth="1"/>
    <col min="24" max="25" width="10.24609375" customWidth="1"/>
    <col min="26" max="27" width="12.40625" customWidth="1"/>
    <col min="28" max="28" width="11.19140625" bestFit="1" customWidth="1"/>
    <col min="29" max="29" width="11.8671875" customWidth="1"/>
    <col min="30" max="30" width="12.40625" customWidth="1"/>
    <col min="31" max="31" width="9.57421875" bestFit="1" customWidth="1"/>
    <col min="32" max="32" width="11.59375" customWidth="1"/>
    <col min="33" max="34" width="12.67578125" customWidth="1"/>
    <col min="35" max="35" width="14.29296875" customWidth="1"/>
    <col min="36" max="36" width="10.78515625" bestFit="1" customWidth="1"/>
    <col min="37" max="37" width="9.9765625" customWidth="1"/>
    <col min="38" max="38" width="11.32421875" customWidth="1"/>
    <col min="39" max="39" width="10.65234375" customWidth="1"/>
    <col min="41" max="41" width="9.9765625" style="4" bestFit="1" customWidth="1"/>
    <col min="42" max="42" width="14.96875" style="100" customWidth="1"/>
    <col min="43" max="43" width="14.83203125" style="10" customWidth="1"/>
    <col min="55" max="55" width="28.453125" customWidth="1"/>
    <col min="58" max="58" width="12.40625" bestFit="1" customWidth="1"/>
  </cols>
  <sheetData>
    <row r="1" spans="1:69" ht="12.75" customHeight="1" x14ac:dyDescent="0.15">
      <c r="A1" s="625" t="s">
        <v>195</v>
      </c>
      <c r="B1" s="625"/>
      <c r="C1" s="625"/>
      <c r="D1" s="625"/>
    </row>
    <row r="2" spans="1:69" ht="12.75" customHeight="1" x14ac:dyDescent="0.15">
      <c r="A2" s="625"/>
      <c r="B2" s="625"/>
      <c r="C2" s="625"/>
      <c r="D2" s="625"/>
    </row>
    <row r="3" spans="1:69" ht="12.75" customHeight="1" x14ac:dyDescent="0.15">
      <c r="A3" s="625"/>
      <c r="B3" s="625"/>
      <c r="C3" s="625"/>
      <c r="D3" s="625"/>
      <c r="AG3">
        <f>VsdBot</f>
        <v>1</v>
      </c>
    </row>
    <row r="4" spans="1:69" ht="12.75" customHeight="1" x14ac:dyDescent="0.15">
      <c r="A4" s="625"/>
      <c r="B4" s="625"/>
      <c r="C4" s="625"/>
      <c r="D4" s="625"/>
    </row>
    <row r="5" spans="1:69" x14ac:dyDescent="0.15">
      <c r="A5" s="11"/>
      <c r="B5" s="12"/>
      <c r="C5" s="6"/>
      <c r="D5" s="6"/>
    </row>
    <row r="6" spans="1:69" ht="13.5" customHeight="1" thickBot="1" x14ac:dyDescent="0.2">
      <c r="A6" s="626" t="s">
        <v>198</v>
      </c>
      <c r="B6" s="626"/>
      <c r="C6" s="626"/>
      <c r="D6" s="626"/>
      <c r="I6" s="13"/>
      <c r="J6" s="13"/>
      <c r="K6" s="13"/>
      <c r="L6" s="13"/>
      <c r="M6" s="13"/>
      <c r="AJ6" s="13"/>
      <c r="AK6" s="13"/>
      <c r="AM6" s="13"/>
      <c r="AN6" s="13"/>
      <c r="AO6" s="14"/>
      <c r="BH6">
        <v>80</v>
      </c>
      <c r="BI6">
        <v>100</v>
      </c>
      <c r="BJ6">
        <v>120</v>
      </c>
      <c r="BK6">
        <v>140</v>
      </c>
      <c r="BL6">
        <v>160</v>
      </c>
      <c r="BM6">
        <v>180</v>
      </c>
      <c r="BN6">
        <v>20</v>
      </c>
      <c r="BO6">
        <v>30</v>
      </c>
      <c r="BP6">
        <v>40</v>
      </c>
      <c r="BQ6">
        <v>50</v>
      </c>
    </row>
    <row r="7" spans="1:69" ht="13.5" thickBot="1" x14ac:dyDescent="0.2">
      <c r="A7" s="626"/>
      <c r="B7" s="626"/>
      <c r="C7" s="626"/>
      <c r="D7" s="626"/>
      <c r="G7" s="15" t="s">
        <v>118</v>
      </c>
      <c r="H7" s="16"/>
      <c r="I7" s="17"/>
      <c r="J7" s="17"/>
      <c r="K7" s="563"/>
      <c r="L7" s="563"/>
      <c r="M7" s="563"/>
      <c r="N7" s="15" t="s">
        <v>143</v>
      </c>
      <c r="O7" s="16"/>
      <c r="P7" s="16"/>
      <c r="Q7" s="18"/>
      <c r="R7" s="82" t="s">
        <v>36</v>
      </c>
      <c r="S7" s="19"/>
      <c r="T7" s="17"/>
      <c r="U7" s="20" t="s">
        <v>127</v>
      </c>
      <c r="V7" s="21"/>
      <c r="W7" s="17"/>
      <c r="X7" s="15" t="s">
        <v>256</v>
      </c>
      <c r="Y7" s="16"/>
      <c r="Z7" s="16"/>
      <c r="AA7" s="544"/>
      <c r="AB7" s="16"/>
      <c r="AC7" s="17"/>
      <c r="AD7" s="20" t="s">
        <v>255</v>
      </c>
      <c r="AE7" s="21"/>
      <c r="AF7" s="83"/>
      <c r="AG7" s="17"/>
      <c r="AH7" s="471" t="s">
        <v>620</v>
      </c>
      <c r="AI7" s="84" t="s">
        <v>372</v>
      </c>
      <c r="AJ7" s="16" t="s">
        <v>371</v>
      </c>
      <c r="AK7" s="85" t="s">
        <v>237</v>
      </c>
      <c r="AL7" s="86"/>
      <c r="AM7" s="87"/>
      <c r="AN7" s="88"/>
      <c r="AO7" s="15" t="s">
        <v>254</v>
      </c>
      <c r="AP7" s="101"/>
      <c r="AQ7" s="16"/>
      <c r="AR7" s="16"/>
      <c r="AS7" s="16"/>
    </row>
    <row r="8" spans="1:69" ht="62.25" thickBot="1" x14ac:dyDescent="0.4">
      <c r="A8" s="22" t="s">
        <v>189</v>
      </c>
      <c r="B8" s="22"/>
      <c r="C8" s="22"/>
      <c r="D8" s="6"/>
      <c r="G8" s="23" t="s">
        <v>120</v>
      </c>
      <c r="H8" s="24" t="s">
        <v>6</v>
      </c>
      <c r="I8" s="24" t="s">
        <v>247</v>
      </c>
      <c r="J8" s="25" t="s">
        <v>248</v>
      </c>
      <c r="K8" s="564" t="s">
        <v>743</v>
      </c>
      <c r="L8" s="564" t="s">
        <v>744</v>
      </c>
      <c r="M8" s="564" t="s">
        <v>742</v>
      </c>
      <c r="N8" s="23" t="s">
        <v>252</v>
      </c>
      <c r="O8" s="24" t="s">
        <v>165</v>
      </c>
      <c r="P8" s="24" t="s">
        <v>121</v>
      </c>
      <c r="Q8" s="89" t="s">
        <v>373</v>
      </c>
      <c r="R8" s="90" t="s">
        <v>157</v>
      </c>
      <c r="S8" s="26" t="s">
        <v>164</v>
      </c>
      <c r="T8" s="89" t="s">
        <v>374</v>
      </c>
      <c r="U8" s="23" t="s">
        <v>157</v>
      </c>
      <c r="V8" s="24" t="s">
        <v>163</v>
      </c>
      <c r="W8" s="89" t="s">
        <v>375</v>
      </c>
      <c r="X8" s="23" t="s">
        <v>157</v>
      </c>
      <c r="Y8" s="24" t="s">
        <v>162</v>
      </c>
      <c r="Z8" s="24" t="s">
        <v>745</v>
      </c>
      <c r="AA8" s="565" t="s">
        <v>732</v>
      </c>
      <c r="AB8" s="91" t="s">
        <v>377</v>
      </c>
      <c r="AC8" s="89" t="s">
        <v>376</v>
      </c>
      <c r="AD8" s="23" t="s">
        <v>157</v>
      </c>
      <c r="AE8" s="24" t="s">
        <v>162</v>
      </c>
      <c r="AF8" s="24" t="s">
        <v>172</v>
      </c>
      <c r="AG8" s="92" t="s">
        <v>747</v>
      </c>
      <c r="AH8" s="92" t="s">
        <v>621</v>
      </c>
      <c r="AI8" s="89" t="s">
        <v>172</v>
      </c>
      <c r="AJ8" s="93" t="s">
        <v>171</v>
      </c>
      <c r="AK8" s="94" t="s">
        <v>197</v>
      </c>
      <c r="AL8" s="95" t="s">
        <v>270</v>
      </c>
      <c r="AM8" s="96" t="s">
        <v>379</v>
      </c>
      <c r="AN8" s="97" t="s">
        <v>253</v>
      </c>
      <c r="AO8" s="98" t="s">
        <v>122</v>
      </c>
      <c r="AP8" s="102" t="s">
        <v>123</v>
      </c>
      <c r="AQ8" s="99" t="s">
        <v>124</v>
      </c>
      <c r="AR8" s="24" t="s">
        <v>257</v>
      </c>
      <c r="AS8" s="24" t="s">
        <v>258</v>
      </c>
      <c r="BF8" t="s">
        <v>220</v>
      </c>
      <c r="BH8" t="s">
        <v>212</v>
      </c>
      <c r="BI8" t="s">
        <v>213</v>
      </c>
      <c r="BJ8" t="s">
        <v>214</v>
      </c>
      <c r="BK8" t="s">
        <v>215</v>
      </c>
      <c r="BL8" t="s">
        <v>216</v>
      </c>
      <c r="BM8" t="s">
        <v>217</v>
      </c>
      <c r="BN8" t="s">
        <v>221</v>
      </c>
      <c r="BO8" t="s">
        <v>222</v>
      </c>
      <c r="BP8" t="s">
        <v>223</v>
      </c>
      <c r="BQ8" t="s">
        <v>224</v>
      </c>
    </row>
    <row r="9" spans="1:69" x14ac:dyDescent="0.15">
      <c r="A9" s="27" t="s">
        <v>125</v>
      </c>
      <c r="B9" s="28" t="s">
        <v>201</v>
      </c>
      <c r="C9" s="29" t="s">
        <v>148</v>
      </c>
      <c r="D9" s="30" t="s">
        <v>188</v>
      </c>
      <c r="G9">
        <v>0</v>
      </c>
      <c r="H9">
        <f t="shared" ref="H9:H72" si="0">Iout*(G9/200)</f>
        <v>0</v>
      </c>
      <c r="I9" s="463">
        <f t="shared" ref="I9:I73" si="1">(Vout+Rdcr*H9+RdsonBot*H9)/(Vin-RdsonTop*H9+RdsonBot*H9)</f>
        <v>0.41666666666666669</v>
      </c>
      <c r="J9" s="464">
        <f t="shared" ref="J9:J72" si="2">(Vin-Vout)*I9/(Fsw*Lout2)</f>
        <v>3.5353535353535359</v>
      </c>
      <c r="K9" s="464">
        <f>H9+J9/2</f>
        <v>1.767676767676768</v>
      </c>
      <c r="L9" s="464">
        <f>H9-J9/2</f>
        <v>-1.767676767676768</v>
      </c>
      <c r="M9" s="77">
        <f t="shared" ref="M9:M72" si="3">IF(MIN(Vin, -L9/(CossTop+CossBot)*0.00000002)&lt;0, 0, MIN(Vin, -L9/(CossTop+CossBot)*0.00000002))</f>
        <v>12</v>
      </c>
      <c r="N9" s="463">
        <f t="shared" ref="N9:N40" si="4">SQRT(H9^2+(J9^2)/12)</f>
        <v>1.0205686576584296</v>
      </c>
      <c r="O9" s="463">
        <f t="shared" ref="O9:O73" si="5">(N9^2*Rdcr*(1+Ltc*Ta-Ltc*25))/(1-N9^2*Rdcr*Ltc*ThetaCa)</f>
        <v>7.0866259629474137E-3</v>
      </c>
      <c r="P9">
        <f t="shared" ref="P9:P72" si="6">Core_Loss</f>
        <v>0.4</v>
      </c>
      <c r="Q9" s="463">
        <f>O9+P9</f>
        <v>0.40708662596294742</v>
      </c>
      <c r="R9" s="9">
        <f>J9/(2*SQRT(3))</f>
        <v>1.0205686576584296</v>
      </c>
      <c r="S9" s="9">
        <f t="shared" ref="S9:S73" si="7">RCoutEsr*R9^2</f>
        <v>2.083120769989458E-3</v>
      </c>
      <c r="T9" s="9">
        <f>S9</f>
        <v>2.083120769989458E-3</v>
      </c>
      <c r="U9" s="463">
        <f t="shared" ref="U9:U40" si="8">SQRT(I9)*SQRT(H9^2+(J9^2)/12)</f>
        <v>0.65877423579539274</v>
      </c>
      <c r="V9" s="465">
        <f t="shared" ref="V9:V73" si="9">RCinEsr*U9^2</f>
        <v>1.4321455293677521E-4</v>
      </c>
      <c r="W9" s="463">
        <f>V9</f>
        <v>1.4321455293677521E-4</v>
      </c>
      <c r="X9" s="463">
        <f t="shared" ref="X9:X40" si="10">SQRT(I9)*SQRT(H9^2+(J9^2)/12)</f>
        <v>0.65877423579539274</v>
      </c>
      <c r="Y9" s="463">
        <f t="shared" ref="Y9:Y73" si="11">RdsonTop*X9^2</f>
        <v>1.7359339749912148E-3</v>
      </c>
      <c r="Z9" s="463">
        <f t="shared" ref="Z9:Z72" si="12">IF(L9&lt;0, (Vin*K9*Tf/2)*Fsw, (Vin*L9*Tr/2+Vin*K9*Tf/2)*Fsw)</f>
        <v>3.8522012578616364E-2</v>
      </c>
      <c r="AA9" s="463">
        <f t="shared" ref="AA9:AA72" si="13">(0.5*CossTop*(Vin-M9)^2-0.5*CossBot*(Vin-M9)^2+(QossBot*(Vin-M9)/Vin)*Vin)*Fsw</f>
        <v>0</v>
      </c>
      <c r="AB9" s="463">
        <f t="shared" ref="AB9:AB72" si="14">IF(L9&gt;0,0,-L9*VsdTop*Deadtime*Fsw)</f>
        <v>1.3257575757575758E-2</v>
      </c>
      <c r="AC9" s="463">
        <f t="shared" ref="AC9:AC40" si="15">(AB9+AA9+Z9+Y9*(1+RdsonTopTc*Ta-RdsonTopTc*25))/(1-Y9*RdsonTopTc*ThetaJaTop)</f>
        <v>5.3524813865472753E-2</v>
      </c>
      <c r="AD9" s="463">
        <f t="shared" ref="AD9:AD40" si="16">SQRT(1-I9)*SQRT(H9^2+(J9^2)/12)</f>
        <v>0.77947218760320447</v>
      </c>
      <c r="AE9" s="463">
        <f t="shared" ref="AE9:AE73" si="17">RdsonBot*AD9^2</f>
        <v>2.4303075649877008E-3</v>
      </c>
      <c r="AF9" s="463">
        <f t="shared" ref="AF9:AF72" si="18">IF(L9&lt;0, Deadtime*Fsw*IF(VfdSky&gt;0,0,VsdBot)*K9, Deadtime*Fsw*IF(VfdSky&gt;0,0,VsdBot)*(K9+L9))</f>
        <v>1.325757575757576E-2</v>
      </c>
      <c r="AG9" s="463">
        <f t="shared" ref="AG9:AG40" si="19">(AF9+AE9*(1+RdsonBotTc*Ta-RdsonBotTc*25))/(1-AE9*RdsonBotTc*ThetaJaBot)</f>
        <v>1.5691696887528788E-2</v>
      </c>
      <c r="AH9" s="463">
        <f t="shared" ref="AH9:AH40" si="20">IF(RDSON_sense=1, 0, AD9^2*Rshunt)</f>
        <v>0</v>
      </c>
      <c r="AI9">
        <f t="shared" ref="AI9:AI72" si="21">2*Deadtime*Fsw*IF(VfdSky&gt;0,VfdSky,0)*H9</f>
        <v>0</v>
      </c>
      <c r="AJ9" s="464">
        <f t="shared" ref="AJ9:AJ72" si="22">IF(QrrSky&gt;0,QrrSky,QrrBot)*Fsw*(Vin-H9*RdsonTop)</f>
        <v>0.12</v>
      </c>
      <c r="AK9">
        <f t="shared" ref="AK9:AK73" si="23">Iq*Vin</f>
        <v>3.6000000000000004E-2</v>
      </c>
      <c r="AL9" s="464">
        <f t="shared" ref="AL9:AL73" si="24">Vin*(QgTop+QgBot)*Fsw</f>
        <v>0.27</v>
      </c>
      <c r="AM9" s="464">
        <f t="shared" ref="AM9:AM73" si="25">(Vin-Vdd)*Fsw*(QgTop+QgBot)+(RdsonDRT+RdsonDRT2)*Fsw*QgTop*Vdd/(RdsonDRT+2*RGateTop+RdsonDRT2)+(RdsonDRB+RdsonDRB2)*Fsw*QgBot*Vdd/(RdsonDRB+2*RGateBot+RdsonDRB2)</f>
        <v>0.17963774597495527</v>
      </c>
      <c r="AN9" s="464">
        <f>SUM(AK9:AL9)</f>
        <v>0.30600000000000005</v>
      </c>
      <c r="AO9" s="464">
        <f t="shared" ref="AO9:AO40" si="26">SUM(Q9,T9,W9,AC9,AJ9,AI9,AG9,AN9, AH9)</f>
        <v>0.90452947203887524</v>
      </c>
      <c r="AP9" s="100">
        <f t="shared" ref="AP9:AP72" si="27">Vout*H9</f>
        <v>0</v>
      </c>
      <c r="AQ9" s="10">
        <f>AP9/(AP9+AO9)</f>
        <v>0</v>
      </c>
      <c r="AR9" s="77">
        <f t="shared" ref="AR9:AR40" si="28">ThetaJaTop*AC9</f>
        <v>1.3381203466368188</v>
      </c>
      <c r="AS9" s="77">
        <f>AG9*ThetaJaBot</f>
        <v>0.39229242218821969</v>
      </c>
      <c r="AU9">
        <f>AQ9*100</f>
        <v>0</v>
      </c>
      <c r="BC9" t="s">
        <v>225</v>
      </c>
      <c r="BD9" s="31">
        <v>70</v>
      </c>
      <c r="BE9" s="31">
        <v>70</v>
      </c>
      <c r="BF9" s="31">
        <v>70</v>
      </c>
      <c r="BG9" s="32">
        <f>250000*(5-Vdd)*BF9/1000000000+((250000*BF9/1000000000*Vdd)*2.5/(2*4))</f>
        <v>-2.7343749999999972E-3</v>
      </c>
      <c r="BH9">
        <f t="shared" ref="BH9:BQ17" si="29">BH$6*$BG9</f>
        <v>-0.21874999999999978</v>
      </c>
      <c r="BI9">
        <f t="shared" si="29"/>
        <v>-0.27343749999999972</v>
      </c>
      <c r="BJ9">
        <f t="shared" si="29"/>
        <v>-0.32812499999999967</v>
      </c>
      <c r="BK9">
        <f t="shared" si="29"/>
        <v>-0.38281249999999961</v>
      </c>
      <c r="BL9">
        <f t="shared" si="29"/>
        <v>-0.43749999999999956</v>
      </c>
      <c r="BM9">
        <f t="shared" si="29"/>
        <v>-0.4921874999999995</v>
      </c>
      <c r="BN9">
        <f t="shared" si="29"/>
        <v>-5.4687499999999944E-2</v>
      </c>
      <c r="BO9">
        <f t="shared" si="29"/>
        <v>-8.2031249999999917E-2</v>
      </c>
      <c r="BP9">
        <f t="shared" si="29"/>
        <v>-0.10937499999999989</v>
      </c>
      <c r="BQ9">
        <f t="shared" si="29"/>
        <v>-0.13671874999999986</v>
      </c>
    </row>
    <row r="10" spans="1:69" x14ac:dyDescent="0.15">
      <c r="A10" s="409"/>
      <c r="B10" s="410"/>
      <c r="C10" s="29"/>
      <c r="D10" s="30"/>
      <c r="G10">
        <v>1</v>
      </c>
      <c r="H10">
        <f t="shared" si="0"/>
        <v>0.06</v>
      </c>
      <c r="I10" s="463">
        <f t="shared" ref="I10" si="30">(Vout+Rdcr*H10+RdsonBot*H10)/(Vin-RdsonTop*H10+RdsonBot*H10)</f>
        <v>0.41672066666666668</v>
      </c>
      <c r="J10" s="464">
        <f t="shared" si="2"/>
        <v>3.5358117171717178</v>
      </c>
      <c r="K10" s="464">
        <f t="shared" ref="K10:K73" si="31">H10+J10/2</f>
        <v>1.827905858585859</v>
      </c>
      <c r="L10" s="464">
        <f t="shared" ref="L10:L73" si="32">H10-J10/2</f>
        <v>-1.7079058585858589</v>
      </c>
      <c r="M10" s="77">
        <f t="shared" si="3"/>
        <v>12</v>
      </c>
      <c r="N10" s="463">
        <f t="shared" si="4"/>
        <v>1.0224628966083484</v>
      </c>
      <c r="O10" s="463">
        <f t="shared" ref="O10" si="33">(N10^2*Rdcr*(1+Ltc*Ta-Ltc*25))/(1-N10^2*Rdcr*Ltc*ThetaCa)</f>
        <v>7.1129717971214002E-3</v>
      </c>
      <c r="P10">
        <f t="shared" si="6"/>
        <v>0.4</v>
      </c>
      <c r="Q10" s="463">
        <f t="shared" ref="Q10:Q73" si="34">O10+P10</f>
        <v>0.40711297179712141</v>
      </c>
      <c r="R10" s="9">
        <f>J10/(2*SQRT(3))</f>
        <v>1.0207009233564621</v>
      </c>
      <c r="S10" s="9">
        <f t="shared" ref="S10" si="35">RCoutEsr*R10^2</f>
        <v>2.0836607498814688E-3</v>
      </c>
      <c r="T10" s="9">
        <f>S10</f>
        <v>2.0836607498814688E-3</v>
      </c>
      <c r="U10" s="463">
        <f t="shared" si="8"/>
        <v>0.66003972819739121</v>
      </c>
      <c r="V10" s="465">
        <f t="shared" ref="V10" si="36">RCinEsr*U10^2</f>
        <v>1.437653061236324E-4</v>
      </c>
      <c r="W10" s="463">
        <f>V10</f>
        <v>1.437653061236324E-4</v>
      </c>
      <c r="X10" s="463">
        <f t="shared" si="10"/>
        <v>0.66003972819739121</v>
      </c>
      <c r="Y10" s="463">
        <f t="shared" ref="Y10" si="37">RdsonTop*X10^2</f>
        <v>1.7426097711955443E-3</v>
      </c>
      <c r="Z10" s="463">
        <f t="shared" si="12"/>
        <v>3.9834552201257874E-2</v>
      </c>
      <c r="AA10" s="463">
        <f t="shared" si="13"/>
        <v>0</v>
      </c>
      <c r="AB10" s="463">
        <f t="shared" si="14"/>
        <v>1.280929393939394E-2</v>
      </c>
      <c r="AC10" s="463">
        <f t="shared" si="15"/>
        <v>5.4395935000631904E-2</v>
      </c>
      <c r="AD10" s="463">
        <f t="shared" si="16"/>
        <v>0.78088279027127239</v>
      </c>
      <c r="AE10" s="463">
        <f t="shared" ref="AE10" si="38">RdsonBot*AD10^2</f>
        <v>2.4391117285673916E-3</v>
      </c>
      <c r="AF10" s="463">
        <f t="shared" si="18"/>
        <v>1.3709293939393942E-2</v>
      </c>
      <c r="AG10" s="463">
        <f t="shared" si="19"/>
        <v>1.615234540547357E-2</v>
      </c>
      <c r="AH10" s="463">
        <f t="shared" si="20"/>
        <v>0</v>
      </c>
      <c r="AI10">
        <f t="shared" si="21"/>
        <v>0</v>
      </c>
      <c r="AJ10" s="464">
        <f t="shared" si="22"/>
        <v>0.11999760000000001</v>
      </c>
      <c r="AK10">
        <f t="shared" si="23"/>
        <v>3.6000000000000004E-2</v>
      </c>
      <c r="AL10" s="464">
        <f t="shared" si="24"/>
        <v>0.27</v>
      </c>
      <c r="AM10" s="464">
        <f t="shared" si="25"/>
        <v>0.17963774597495527</v>
      </c>
      <c r="AN10" s="464">
        <f>SUM(AK10:AL10)</f>
        <v>0.30600000000000005</v>
      </c>
      <c r="AO10" s="464">
        <f t="shared" si="26"/>
        <v>0.90588627825923207</v>
      </c>
      <c r="AP10" s="100">
        <f t="shared" si="27"/>
        <v>0.3</v>
      </c>
      <c r="AQ10" s="10">
        <f>AP10/(AP10+AO10)</f>
        <v>0.24877967799174866</v>
      </c>
      <c r="AR10" s="77">
        <f t="shared" si="28"/>
        <v>1.3598983750157976</v>
      </c>
      <c r="AS10" s="77">
        <f>AG10*ThetaJaBot</f>
        <v>0.40380863513683923</v>
      </c>
      <c r="AU10">
        <f>AQ10*100</f>
        <v>24.877967799174865</v>
      </c>
      <c r="BD10" s="31"/>
      <c r="BE10" s="31"/>
      <c r="BF10" s="31"/>
      <c r="BG10" s="32"/>
    </row>
    <row r="11" spans="1:69" x14ac:dyDescent="0.15">
      <c r="A11" s="33" t="s">
        <v>4</v>
      </c>
      <c r="B11" s="5">
        <f>Vin</f>
        <v>12</v>
      </c>
      <c r="C11" s="473" t="s">
        <v>0</v>
      </c>
      <c r="D11" s="34" t="s">
        <v>4</v>
      </c>
      <c r="G11">
        <v>2</v>
      </c>
      <c r="H11">
        <f t="shared" si="0"/>
        <v>0.12</v>
      </c>
      <c r="I11" s="463">
        <f t="shared" si="1"/>
        <v>0.41677466666666668</v>
      </c>
      <c r="J11" s="464">
        <f t="shared" si="2"/>
        <v>3.5362698989898993</v>
      </c>
      <c r="K11" s="464">
        <f t="shared" si="31"/>
        <v>1.8881349494949498</v>
      </c>
      <c r="L11" s="464">
        <f t="shared" si="32"/>
        <v>-1.6481349494949495</v>
      </c>
      <c r="M11" s="77">
        <f t="shared" si="3"/>
        <v>12</v>
      </c>
      <c r="N11" s="463">
        <f t="shared" si="4"/>
        <v>1.0278620529405535</v>
      </c>
      <c r="O11" s="463">
        <f t="shared" si="5"/>
        <v>7.1883341151108273E-3</v>
      </c>
      <c r="P11">
        <f t="shared" si="6"/>
        <v>0.4</v>
      </c>
      <c r="Q11" s="463">
        <f t="shared" si="34"/>
        <v>0.40718833411511085</v>
      </c>
      <c r="R11" s="9">
        <f t="shared" ref="R11:R74" si="39">J11/(2*SQRT(3))</f>
        <v>1.0208331890544946</v>
      </c>
      <c r="S11" s="9">
        <f t="shared" si="7"/>
        <v>2.0842007997503389E-3</v>
      </c>
      <c r="T11" s="9">
        <f t="shared" ref="T11:T74" si="40">S11</f>
        <v>2.0842007997503389E-3</v>
      </c>
      <c r="U11" s="463">
        <f t="shared" si="8"/>
        <v>0.66356808391541389</v>
      </c>
      <c r="V11" s="465">
        <f t="shared" si="9"/>
        <v>1.4530645865708735E-4</v>
      </c>
      <c r="W11" s="463">
        <f t="shared" ref="W11:W74" si="41">V11</f>
        <v>1.4530645865708735E-4</v>
      </c>
      <c r="X11" s="463">
        <f t="shared" si="10"/>
        <v>0.66356808391541389</v>
      </c>
      <c r="Y11" s="463">
        <f t="shared" si="11"/>
        <v>1.7612904079646952E-3</v>
      </c>
      <c r="Z11" s="463">
        <f t="shared" si="12"/>
        <v>4.1147091823899383E-2</v>
      </c>
      <c r="AA11" s="463">
        <f t="shared" si="13"/>
        <v>0</v>
      </c>
      <c r="AB11" s="463">
        <f t="shared" si="14"/>
        <v>1.236101212121212E-2</v>
      </c>
      <c r="AC11" s="463">
        <f t="shared" si="15"/>
        <v>5.5279130613327183E-2</v>
      </c>
      <c r="AD11" s="463">
        <f t="shared" si="16"/>
        <v>0.78496993438220009</v>
      </c>
      <c r="AE11" s="463">
        <f t="shared" si="17"/>
        <v>2.464711191535982E-3</v>
      </c>
      <c r="AF11" s="463">
        <f t="shared" si="18"/>
        <v>1.4161012121212123E-2</v>
      </c>
      <c r="AG11" s="463">
        <f t="shared" si="19"/>
        <v>1.6629822083608376E-2</v>
      </c>
      <c r="AH11" s="463">
        <f t="shared" si="20"/>
        <v>0</v>
      </c>
      <c r="AI11">
        <f t="shared" si="21"/>
        <v>0</v>
      </c>
      <c r="AJ11" s="464">
        <f t="shared" si="22"/>
        <v>0.11999520000000001</v>
      </c>
      <c r="AK11">
        <f t="shared" si="23"/>
        <v>3.6000000000000004E-2</v>
      </c>
      <c r="AL11" s="464">
        <f t="shared" si="24"/>
        <v>0.27</v>
      </c>
      <c r="AM11" s="464">
        <f t="shared" si="25"/>
        <v>0.17963774597495527</v>
      </c>
      <c r="AN11" s="464">
        <f t="shared" ref="AN11:AN74" si="42">SUM(AK11:AL11)</f>
        <v>0.30600000000000005</v>
      </c>
      <c r="AO11" s="464">
        <f t="shared" si="26"/>
        <v>0.90732199407045389</v>
      </c>
      <c r="AP11" s="100">
        <f t="shared" si="27"/>
        <v>0.6</v>
      </c>
      <c r="AQ11" s="10">
        <f t="shared" ref="AQ11:AQ74" si="43">AP11/(AP11+AO11)</f>
        <v>0.39805695290077175</v>
      </c>
      <c r="AR11" s="77">
        <f t="shared" si="28"/>
        <v>1.3819782653331796</v>
      </c>
      <c r="AS11" s="77">
        <f t="shared" ref="AS11:AS74" si="44">AG11*ThetaJaBot</f>
        <v>0.41574555209020941</v>
      </c>
      <c r="AT11" s="10"/>
      <c r="AU11">
        <f t="shared" ref="AU11:AU74" si="45">AQ11*100</f>
        <v>39.805695290077175</v>
      </c>
      <c r="BC11" t="s">
        <v>226</v>
      </c>
      <c r="BD11" s="31">
        <v>90</v>
      </c>
      <c r="BE11" s="31">
        <v>90</v>
      </c>
      <c r="BF11" s="31">
        <v>90</v>
      </c>
      <c r="BG11" s="32">
        <f>250000*(12-Vdd)*BF11/1000000000+((250000*BF9/1000000000*Vdd)*2.5/(2*4))</f>
        <v>0.14226562500000001</v>
      </c>
      <c r="BH11">
        <f t="shared" si="29"/>
        <v>11.381250000000001</v>
      </c>
      <c r="BI11">
        <f t="shared" si="29"/>
        <v>14.2265625</v>
      </c>
      <c r="BJ11">
        <f t="shared" si="29"/>
        <v>17.071875000000002</v>
      </c>
      <c r="BK11">
        <f t="shared" si="29"/>
        <v>19.917187500000001</v>
      </c>
      <c r="BL11">
        <f t="shared" si="29"/>
        <v>22.762500000000003</v>
      </c>
      <c r="BM11">
        <f t="shared" si="29"/>
        <v>25.607812500000001</v>
      </c>
      <c r="BN11">
        <f t="shared" si="29"/>
        <v>2.8453125000000004</v>
      </c>
      <c r="BO11">
        <f t="shared" si="29"/>
        <v>4.2679687500000005</v>
      </c>
      <c r="BP11">
        <f t="shared" si="29"/>
        <v>5.6906250000000007</v>
      </c>
      <c r="BQ11">
        <f t="shared" si="29"/>
        <v>7.11328125</v>
      </c>
    </row>
    <row r="12" spans="1:69" x14ac:dyDescent="0.15">
      <c r="A12" s="35" t="s">
        <v>5</v>
      </c>
      <c r="B12" s="5">
        <f>Vout</f>
        <v>5</v>
      </c>
      <c r="C12" s="473" t="s">
        <v>0</v>
      </c>
      <c r="D12" s="34" t="s">
        <v>5</v>
      </c>
      <c r="G12">
        <v>3</v>
      </c>
      <c r="H12">
        <f t="shared" si="0"/>
        <v>0.18</v>
      </c>
      <c r="I12" s="463">
        <f t="shared" si="1"/>
        <v>0.41682866666666668</v>
      </c>
      <c r="J12" s="464">
        <f t="shared" si="2"/>
        <v>3.5367280808080812</v>
      </c>
      <c r="K12" s="464">
        <f t="shared" si="31"/>
        <v>1.9483640404040405</v>
      </c>
      <c r="L12" s="464">
        <f t="shared" si="32"/>
        <v>-1.5883640404040407</v>
      </c>
      <c r="M12" s="77">
        <f t="shared" si="3"/>
        <v>12</v>
      </c>
      <c r="N12" s="463">
        <f t="shared" si="4"/>
        <v>1.0367113676419462</v>
      </c>
      <c r="O12" s="463">
        <f t="shared" si="5"/>
        <v>7.3127146890390529E-3</v>
      </c>
      <c r="P12">
        <f t="shared" si="6"/>
        <v>0.4</v>
      </c>
      <c r="Q12" s="463">
        <f t="shared" si="34"/>
        <v>0.40731271468903907</v>
      </c>
      <c r="R12" s="9">
        <f t="shared" si="39"/>
        <v>1.0209654547525271</v>
      </c>
      <c r="S12" s="9">
        <f t="shared" si="7"/>
        <v>2.0847409195960689E-3</v>
      </c>
      <c r="T12" s="9">
        <f t="shared" si="40"/>
        <v>2.0847409195960689E-3</v>
      </c>
      <c r="U12" s="463">
        <f t="shared" si="8"/>
        <v>0.66932438901502389</v>
      </c>
      <c r="V12" s="465">
        <f t="shared" si="9"/>
        <v>1.4783839545101058E-4</v>
      </c>
      <c r="W12" s="463">
        <f t="shared" si="41"/>
        <v>1.4783839545101058E-4</v>
      </c>
      <c r="X12" s="463">
        <f t="shared" si="10"/>
        <v>0.66932438901502389</v>
      </c>
      <c r="Y12" s="463">
        <f t="shared" si="11"/>
        <v>1.7919805509213403E-3</v>
      </c>
      <c r="Z12" s="463">
        <f t="shared" si="12"/>
        <v>4.2459631446540892E-2</v>
      </c>
      <c r="AA12" s="463">
        <f t="shared" si="13"/>
        <v>0</v>
      </c>
      <c r="AB12" s="463">
        <f t="shared" si="14"/>
        <v>1.1912730303030304E-2</v>
      </c>
      <c r="AC12" s="463">
        <f t="shared" si="15"/>
        <v>5.6174408645267723E-2</v>
      </c>
      <c r="AD12" s="463">
        <f t="shared" si="16"/>
        <v>0.79169143109402118</v>
      </c>
      <c r="AE12" s="463">
        <f t="shared" si="17"/>
        <v>2.5071012882707973E-3</v>
      </c>
      <c r="AF12" s="463">
        <f t="shared" si="18"/>
        <v>1.4612730303030303E-2</v>
      </c>
      <c r="AG12" s="463">
        <f t="shared" si="19"/>
        <v>1.7124124782831453E-2</v>
      </c>
      <c r="AH12" s="463">
        <f t="shared" si="20"/>
        <v>0</v>
      </c>
      <c r="AI12">
        <f t="shared" si="21"/>
        <v>0</v>
      </c>
      <c r="AJ12" s="464">
        <f t="shared" si="22"/>
        <v>0.11999280000000001</v>
      </c>
      <c r="AK12">
        <f t="shared" si="23"/>
        <v>3.6000000000000004E-2</v>
      </c>
      <c r="AL12" s="464">
        <f t="shared" si="24"/>
        <v>0.27</v>
      </c>
      <c r="AM12" s="464">
        <f t="shared" si="25"/>
        <v>0.17963774597495527</v>
      </c>
      <c r="AN12" s="464">
        <f t="shared" si="42"/>
        <v>0.30600000000000005</v>
      </c>
      <c r="AO12" s="464">
        <f t="shared" si="26"/>
        <v>0.90883662743218541</v>
      </c>
      <c r="AP12" s="100">
        <f t="shared" si="27"/>
        <v>0.89999999999999991</v>
      </c>
      <c r="AQ12" s="10">
        <f t="shared" si="43"/>
        <v>0.49755737270625433</v>
      </c>
      <c r="AR12" s="77">
        <f t="shared" si="28"/>
        <v>1.404360216131693</v>
      </c>
      <c r="AS12" s="77">
        <f t="shared" si="44"/>
        <v>0.42810311957078634</v>
      </c>
      <c r="AT12" s="10"/>
      <c r="AU12">
        <f t="shared" si="45"/>
        <v>49.755737270625431</v>
      </c>
      <c r="BC12" t="s">
        <v>231</v>
      </c>
      <c r="BD12" s="31">
        <v>60</v>
      </c>
      <c r="BE12" s="31">
        <v>60</v>
      </c>
      <c r="BF12" s="31">
        <v>60</v>
      </c>
      <c r="BG12" s="32">
        <f>250000*(18-Vdd)*BF12/1000000000+((250000*BF9/1000000000*Vdd)*2.5/(2*4))</f>
        <v>0.198515625</v>
      </c>
      <c r="BH12">
        <f t="shared" si="29"/>
        <v>15.88125</v>
      </c>
      <c r="BI12">
        <f t="shared" si="29"/>
        <v>19.8515625</v>
      </c>
      <c r="BJ12">
        <f t="shared" si="29"/>
        <v>23.821874999999999</v>
      </c>
      <c r="BK12">
        <f t="shared" si="29"/>
        <v>27.792187500000001</v>
      </c>
      <c r="BL12">
        <f t="shared" si="29"/>
        <v>31.762499999999999</v>
      </c>
      <c r="BM12">
        <f t="shared" si="29"/>
        <v>35.732812500000001</v>
      </c>
      <c r="BN12">
        <f t="shared" si="29"/>
        <v>3.9703124999999999</v>
      </c>
      <c r="BO12">
        <f t="shared" si="29"/>
        <v>5.9554687499999996</v>
      </c>
      <c r="BP12">
        <f t="shared" si="29"/>
        <v>7.9406249999999998</v>
      </c>
      <c r="BQ12">
        <f t="shared" si="29"/>
        <v>9.92578125</v>
      </c>
    </row>
    <row r="13" spans="1:69" x14ac:dyDescent="0.15">
      <c r="A13" s="35" t="s">
        <v>7</v>
      </c>
      <c r="B13" s="5">
        <f>Fsw/1000</f>
        <v>250</v>
      </c>
      <c r="C13" s="473" t="s">
        <v>3</v>
      </c>
      <c r="D13" s="34" t="s">
        <v>173</v>
      </c>
      <c r="G13">
        <v>4</v>
      </c>
      <c r="H13">
        <f t="shared" si="0"/>
        <v>0.24</v>
      </c>
      <c r="I13" s="463">
        <f t="shared" si="1"/>
        <v>0.41688266666666668</v>
      </c>
      <c r="J13" s="464">
        <f t="shared" si="2"/>
        <v>3.5371862626262631</v>
      </c>
      <c r="K13" s="464">
        <f t="shared" si="31"/>
        <v>2.0085931313131313</v>
      </c>
      <c r="L13" s="464">
        <f t="shared" si="32"/>
        <v>-1.5285931313131316</v>
      </c>
      <c r="M13" s="77">
        <f t="shared" si="3"/>
        <v>12</v>
      </c>
      <c r="N13" s="463">
        <f t="shared" si="4"/>
        <v>1.0489235218591151</v>
      </c>
      <c r="O13" s="463">
        <f t="shared" si="5"/>
        <v>7.486116443749768E-3</v>
      </c>
      <c r="P13">
        <f t="shared" si="6"/>
        <v>0.4</v>
      </c>
      <c r="Q13" s="463">
        <f t="shared" si="34"/>
        <v>0.40748611644374977</v>
      </c>
      <c r="R13" s="9">
        <f t="shared" si="39"/>
        <v>1.0210977204505598</v>
      </c>
      <c r="S13" s="9">
        <f t="shared" si="7"/>
        <v>2.0852811094186591E-3</v>
      </c>
      <c r="T13" s="9">
        <f t="shared" si="40"/>
        <v>2.0852811094186591E-3</v>
      </c>
      <c r="U13" s="463">
        <f t="shared" si="8"/>
        <v>0.6772526976114881</v>
      </c>
      <c r="V13" s="465">
        <f t="shared" si="9"/>
        <v>1.5136150141927245E-4</v>
      </c>
      <c r="W13" s="463">
        <f t="shared" si="41"/>
        <v>1.5136150141927245E-4</v>
      </c>
      <c r="X13" s="463">
        <f t="shared" si="10"/>
        <v>0.6772526976114881</v>
      </c>
      <c r="Y13" s="463">
        <f t="shared" si="11"/>
        <v>1.834684865688151E-3</v>
      </c>
      <c r="Z13" s="463">
        <f t="shared" si="12"/>
        <v>4.3772171069182395E-2</v>
      </c>
      <c r="AA13" s="463">
        <f t="shared" si="13"/>
        <v>0</v>
      </c>
      <c r="AB13" s="463">
        <f t="shared" si="14"/>
        <v>1.1464448484848486E-2</v>
      </c>
      <c r="AC13" s="463">
        <f t="shared" si="15"/>
        <v>5.708177712697917E-2</v>
      </c>
      <c r="AD13" s="463">
        <f t="shared" si="16"/>
        <v>0.80098023589055656</v>
      </c>
      <c r="AE13" s="463">
        <f t="shared" si="17"/>
        <v>2.5662773531491666E-3</v>
      </c>
      <c r="AF13" s="463">
        <f t="shared" si="18"/>
        <v>1.5064448484848484E-2</v>
      </c>
      <c r="AG13" s="463">
        <f t="shared" si="19"/>
        <v>1.7635251532660184E-2</v>
      </c>
      <c r="AH13" s="463">
        <f t="shared" si="20"/>
        <v>0</v>
      </c>
      <c r="AI13">
        <f t="shared" si="21"/>
        <v>0</v>
      </c>
      <c r="AJ13" s="464">
        <f t="shared" si="22"/>
        <v>0.11999040000000001</v>
      </c>
      <c r="AK13">
        <f t="shared" si="23"/>
        <v>3.6000000000000004E-2</v>
      </c>
      <c r="AL13" s="464">
        <f t="shared" si="24"/>
        <v>0.27</v>
      </c>
      <c r="AM13" s="464">
        <f t="shared" si="25"/>
        <v>0.17963774597495527</v>
      </c>
      <c r="AN13" s="464">
        <f t="shared" si="42"/>
        <v>0.30600000000000005</v>
      </c>
      <c r="AO13" s="464">
        <f t="shared" si="26"/>
        <v>0.91043018771422712</v>
      </c>
      <c r="AP13" s="100">
        <f t="shared" si="27"/>
        <v>1.2</v>
      </c>
      <c r="AQ13" s="10">
        <f t="shared" si="43"/>
        <v>0.5686044518249147</v>
      </c>
      <c r="AR13" s="77">
        <f t="shared" si="28"/>
        <v>1.4270444281744792</v>
      </c>
      <c r="AS13" s="77">
        <f t="shared" si="44"/>
        <v>0.44088128831650464</v>
      </c>
      <c r="AT13" s="10"/>
      <c r="AU13">
        <f t="shared" si="45"/>
        <v>56.860445182491468</v>
      </c>
      <c r="BC13" t="s">
        <v>227</v>
      </c>
      <c r="BD13" s="31">
        <v>30</v>
      </c>
      <c r="BE13" s="31">
        <v>30</v>
      </c>
      <c r="BF13" s="31">
        <v>30</v>
      </c>
      <c r="BG13" s="32">
        <f>500000*(5-Vdd)*BF13/1000000000+((500000*BF9/1000000000*Vdd)*2.5/(2*4))</f>
        <v>4.4531250000000001E-2</v>
      </c>
      <c r="BH13">
        <f t="shared" si="29"/>
        <v>3.5625</v>
      </c>
      <c r="BI13">
        <f t="shared" si="29"/>
        <v>4.453125</v>
      </c>
      <c r="BJ13">
        <f t="shared" si="29"/>
        <v>5.34375</v>
      </c>
      <c r="BK13">
        <f t="shared" si="29"/>
        <v>6.234375</v>
      </c>
      <c r="BL13">
        <f t="shared" si="29"/>
        <v>7.125</v>
      </c>
      <c r="BM13">
        <f t="shared" si="29"/>
        <v>8.015625</v>
      </c>
      <c r="BN13">
        <f t="shared" si="29"/>
        <v>0.890625</v>
      </c>
      <c r="BO13">
        <f t="shared" si="29"/>
        <v>1.3359375</v>
      </c>
      <c r="BP13">
        <f t="shared" si="29"/>
        <v>1.78125</v>
      </c>
      <c r="BQ13">
        <f t="shared" si="29"/>
        <v>2.2265625</v>
      </c>
    </row>
    <row r="14" spans="1:69" x14ac:dyDescent="0.15">
      <c r="A14" s="35" t="s">
        <v>6</v>
      </c>
      <c r="B14" s="5">
        <f>Iout</f>
        <v>12</v>
      </c>
      <c r="C14" s="473" t="s">
        <v>2</v>
      </c>
      <c r="D14" s="34" t="s">
        <v>174</v>
      </c>
      <c r="G14">
        <v>5</v>
      </c>
      <c r="H14">
        <f t="shared" si="0"/>
        <v>0.30000000000000004</v>
      </c>
      <c r="I14" s="463">
        <f t="shared" si="1"/>
        <v>0.41693666666666668</v>
      </c>
      <c r="J14" s="464">
        <f t="shared" si="2"/>
        <v>3.537644444444445</v>
      </c>
      <c r="K14" s="464">
        <f t="shared" si="31"/>
        <v>2.0688222222222228</v>
      </c>
      <c r="L14" s="464">
        <f t="shared" si="32"/>
        <v>-1.4688222222222225</v>
      </c>
      <c r="M14" s="77">
        <f t="shared" si="3"/>
        <v>12</v>
      </c>
      <c r="N14" s="463">
        <f t="shared" si="4"/>
        <v>1.0643827716611416</v>
      </c>
      <c r="O14" s="463">
        <f t="shared" si="5"/>
        <v>7.7085434569789477E-3</v>
      </c>
      <c r="P14">
        <f t="shared" si="6"/>
        <v>0.4</v>
      </c>
      <c r="Q14" s="463">
        <f t="shared" si="34"/>
        <v>0.40770854345697899</v>
      </c>
      <c r="R14" s="9">
        <f t="shared" si="39"/>
        <v>1.0212299861485923</v>
      </c>
      <c r="S14" s="9">
        <f t="shared" si="7"/>
        <v>2.0858213692181078E-3</v>
      </c>
      <c r="T14" s="9">
        <f t="shared" si="40"/>
        <v>2.0858213692181078E-3</v>
      </c>
      <c r="U14" s="463">
        <f t="shared" si="8"/>
        <v>0.68727869490618598</v>
      </c>
      <c r="V14" s="465">
        <f t="shared" si="9"/>
        <v>1.5587616147574358E-4</v>
      </c>
      <c r="W14" s="463">
        <f t="shared" si="41"/>
        <v>1.5587616147574358E-4</v>
      </c>
      <c r="X14" s="463">
        <f t="shared" si="10"/>
        <v>0.68727869490618598</v>
      </c>
      <c r="Y14" s="463">
        <f t="shared" si="11"/>
        <v>1.889408017887801E-3</v>
      </c>
      <c r="Z14" s="463">
        <f t="shared" si="12"/>
        <v>4.5084710691823918E-2</v>
      </c>
      <c r="AA14" s="463">
        <f t="shared" si="13"/>
        <v>0</v>
      </c>
      <c r="AB14" s="463">
        <f t="shared" si="14"/>
        <v>1.1016166666666667E-2</v>
      </c>
      <c r="AC14" s="463">
        <f t="shared" si="15"/>
        <v>5.8001244177958121E-2</v>
      </c>
      <c r="AD14" s="463">
        <f t="shared" si="16"/>
        <v>0.81274761158498865</v>
      </c>
      <c r="AE14" s="463">
        <f t="shared" si="17"/>
        <v>2.6422347205484146E-3</v>
      </c>
      <c r="AF14" s="463">
        <f t="shared" si="18"/>
        <v>1.5516166666666671E-2</v>
      </c>
      <c r="AG14" s="463">
        <f t="shared" si="19"/>
        <v>1.8163200531123046E-2</v>
      </c>
      <c r="AH14" s="463">
        <f t="shared" si="20"/>
        <v>0</v>
      </c>
      <c r="AI14">
        <f t="shared" si="21"/>
        <v>0</v>
      </c>
      <c r="AJ14" s="464">
        <f t="shared" si="22"/>
        <v>0.119988</v>
      </c>
      <c r="AK14">
        <f t="shared" si="23"/>
        <v>3.6000000000000004E-2</v>
      </c>
      <c r="AL14" s="464">
        <f t="shared" si="24"/>
        <v>0.27</v>
      </c>
      <c r="AM14" s="464">
        <f t="shared" si="25"/>
        <v>0.17963774597495527</v>
      </c>
      <c r="AN14" s="464">
        <f t="shared" si="42"/>
        <v>0.30600000000000005</v>
      </c>
      <c r="AO14" s="464">
        <f t="shared" si="26"/>
        <v>0.91210268569675401</v>
      </c>
      <c r="AP14" s="100">
        <f t="shared" si="27"/>
        <v>1.5000000000000002</v>
      </c>
      <c r="AQ14" s="10">
        <f t="shared" si="43"/>
        <v>0.62186407274229027</v>
      </c>
      <c r="AR14" s="77">
        <f t="shared" si="28"/>
        <v>1.4500311044489531</v>
      </c>
      <c r="AS14" s="77">
        <f t="shared" si="44"/>
        <v>0.45408001327807612</v>
      </c>
      <c r="AT14" s="10"/>
      <c r="AU14">
        <f t="shared" si="45"/>
        <v>62.186407274229026</v>
      </c>
      <c r="BC14" t="s">
        <v>230</v>
      </c>
      <c r="BD14" s="31">
        <v>45</v>
      </c>
      <c r="BE14" s="31">
        <v>45</v>
      </c>
      <c r="BF14" s="31">
        <v>45</v>
      </c>
      <c r="BG14" s="32">
        <f>500000*(12-Vdd)*BF14/1000000000+((500000*BF9/1000000000*Vdd)*2.5/(2*4))</f>
        <v>0.18328125000000001</v>
      </c>
      <c r="BH14">
        <f t="shared" si="29"/>
        <v>14.662500000000001</v>
      </c>
      <c r="BI14">
        <f t="shared" si="29"/>
        <v>18.328125</v>
      </c>
      <c r="BJ14">
        <f t="shared" si="29"/>
        <v>21.993750000000002</v>
      </c>
      <c r="BK14">
        <f t="shared" si="29"/>
        <v>25.659375000000001</v>
      </c>
      <c r="BL14">
        <f t="shared" si="29"/>
        <v>29.325000000000003</v>
      </c>
      <c r="BM14">
        <f t="shared" si="29"/>
        <v>32.990625000000001</v>
      </c>
      <c r="BN14">
        <f t="shared" si="29"/>
        <v>3.6656250000000004</v>
      </c>
      <c r="BO14">
        <f t="shared" si="29"/>
        <v>5.4984375000000005</v>
      </c>
      <c r="BP14">
        <f t="shared" si="29"/>
        <v>7.3312500000000007</v>
      </c>
      <c r="BQ14">
        <f t="shared" si="29"/>
        <v>9.1640625</v>
      </c>
    </row>
    <row r="15" spans="1:69" x14ac:dyDescent="0.15">
      <c r="A15" s="36" t="s">
        <v>156</v>
      </c>
      <c r="B15" s="5">
        <f>Ta</f>
        <v>25</v>
      </c>
      <c r="C15" s="473" t="s">
        <v>720</v>
      </c>
      <c r="D15" s="34" t="s">
        <v>175</v>
      </c>
      <c r="G15">
        <v>6</v>
      </c>
      <c r="H15">
        <f t="shared" si="0"/>
        <v>0.36</v>
      </c>
      <c r="I15" s="463">
        <f t="shared" si="1"/>
        <v>0.41699066666666668</v>
      </c>
      <c r="J15" s="464">
        <f t="shared" si="2"/>
        <v>3.5381026262626269</v>
      </c>
      <c r="K15" s="464">
        <f t="shared" si="31"/>
        <v>2.1290513131313133</v>
      </c>
      <c r="L15" s="464">
        <f t="shared" si="32"/>
        <v>-1.4090513131313136</v>
      </c>
      <c r="M15" s="77">
        <f t="shared" si="3"/>
        <v>12</v>
      </c>
      <c r="N15" s="463">
        <f t="shared" si="4"/>
        <v>1.0829500678688784</v>
      </c>
      <c r="O15" s="463">
        <f t="shared" si="5"/>
        <v>7.9800009595945992E-3</v>
      </c>
      <c r="P15">
        <f t="shared" si="6"/>
        <v>0.4</v>
      </c>
      <c r="Q15" s="463">
        <f t="shared" si="34"/>
        <v>0.40798000095959464</v>
      </c>
      <c r="R15" s="9">
        <f t="shared" si="39"/>
        <v>1.0213622518466248</v>
      </c>
      <c r="S15" s="9">
        <f t="shared" si="7"/>
        <v>2.0863616989944163E-3</v>
      </c>
      <c r="T15" s="9">
        <f t="shared" si="40"/>
        <v>2.0863616989944163E-3</v>
      </c>
      <c r="U15" s="463">
        <f t="shared" si="8"/>
        <v>0.69931299736651575</v>
      </c>
      <c r="V15" s="465">
        <f t="shared" si="9"/>
        <v>1.6138276053429438E-4</v>
      </c>
      <c r="W15" s="463">
        <f t="shared" si="41"/>
        <v>1.6138276053429438E-4</v>
      </c>
      <c r="X15" s="463">
        <f t="shared" si="10"/>
        <v>0.69931299736651575</v>
      </c>
      <c r="Y15" s="463">
        <f t="shared" si="11"/>
        <v>1.9561546731429618E-3</v>
      </c>
      <c r="Z15" s="463">
        <f t="shared" si="12"/>
        <v>4.639725031446542E-2</v>
      </c>
      <c r="AA15" s="463">
        <f t="shared" si="13"/>
        <v>0</v>
      </c>
      <c r="AB15" s="463">
        <f t="shared" si="14"/>
        <v>1.0567884848484851E-2</v>
      </c>
      <c r="AC15" s="463">
        <f t="shared" si="15"/>
        <v>5.8932818006827786E-2</v>
      </c>
      <c r="AD15" s="463">
        <f t="shared" si="16"/>
        <v>0.82688704259497725</v>
      </c>
      <c r="AE15" s="463">
        <f t="shared" si="17"/>
        <v>2.7349687248458708E-3</v>
      </c>
      <c r="AF15" s="463">
        <f t="shared" si="18"/>
        <v>1.596788484848485E-2</v>
      </c>
      <c r="AG15" s="463">
        <f t="shared" si="19"/>
        <v>1.8707970144655819E-2</v>
      </c>
      <c r="AH15" s="463">
        <f t="shared" si="20"/>
        <v>0</v>
      </c>
      <c r="AI15">
        <f t="shared" si="21"/>
        <v>0</v>
      </c>
      <c r="AJ15" s="464">
        <f t="shared" si="22"/>
        <v>0.1199856</v>
      </c>
      <c r="AK15">
        <f t="shared" si="23"/>
        <v>3.6000000000000004E-2</v>
      </c>
      <c r="AL15" s="464">
        <f t="shared" si="24"/>
        <v>0.27</v>
      </c>
      <c r="AM15" s="464">
        <f t="shared" si="25"/>
        <v>0.17963774597495527</v>
      </c>
      <c r="AN15" s="464">
        <f t="shared" si="42"/>
        <v>0.30600000000000005</v>
      </c>
      <c r="AO15" s="464">
        <f t="shared" si="26"/>
        <v>0.91385413357060707</v>
      </c>
      <c r="AP15" s="100">
        <f t="shared" si="27"/>
        <v>1.7999999999999998</v>
      </c>
      <c r="AQ15" s="10">
        <f t="shared" si="43"/>
        <v>0.66326335587968654</v>
      </c>
      <c r="AR15" s="77">
        <f t="shared" si="28"/>
        <v>1.4733204501706947</v>
      </c>
      <c r="AS15" s="77">
        <f t="shared" si="44"/>
        <v>0.46769925361639547</v>
      </c>
      <c r="AT15" s="10"/>
      <c r="AU15">
        <f t="shared" si="45"/>
        <v>66.326335587968657</v>
      </c>
      <c r="BC15" t="s">
        <v>228</v>
      </c>
      <c r="BD15" s="31">
        <v>20</v>
      </c>
      <c r="BE15" s="31">
        <v>20</v>
      </c>
      <c r="BF15" s="31">
        <v>20</v>
      </c>
      <c r="BG15" s="32">
        <f>1000000*(5-Vdd)*BF15/1000000000+((1000000*BF9/1000000000*Vdd)*2.5/(2*4))</f>
        <v>0.1140625</v>
      </c>
      <c r="BH15">
        <f t="shared" si="29"/>
        <v>9.125</v>
      </c>
      <c r="BI15">
        <f t="shared" si="29"/>
        <v>11.40625</v>
      </c>
      <c r="BJ15">
        <f t="shared" si="29"/>
        <v>13.6875</v>
      </c>
      <c r="BK15">
        <f t="shared" si="29"/>
        <v>15.96875</v>
      </c>
      <c r="BL15">
        <f t="shared" si="29"/>
        <v>18.25</v>
      </c>
      <c r="BM15">
        <f t="shared" si="29"/>
        <v>20.53125</v>
      </c>
      <c r="BN15">
        <f t="shared" si="29"/>
        <v>2.28125</v>
      </c>
      <c r="BO15">
        <f t="shared" si="29"/>
        <v>3.421875</v>
      </c>
      <c r="BP15">
        <f t="shared" si="29"/>
        <v>4.5625</v>
      </c>
      <c r="BQ15">
        <f t="shared" si="29"/>
        <v>5.703125</v>
      </c>
    </row>
    <row r="16" spans="1:69" x14ac:dyDescent="0.15">
      <c r="A16" s="462" t="s">
        <v>619</v>
      </c>
      <c r="B16" s="5">
        <v>7.5</v>
      </c>
      <c r="C16" s="473" t="s">
        <v>0</v>
      </c>
      <c r="D16" s="474" t="s">
        <v>624</v>
      </c>
      <c r="G16">
        <v>7</v>
      </c>
      <c r="H16">
        <f t="shared" si="0"/>
        <v>0.42000000000000004</v>
      </c>
      <c r="I16" s="463">
        <f t="shared" si="1"/>
        <v>0.41704466666666673</v>
      </c>
      <c r="J16" s="464">
        <f t="shared" si="2"/>
        <v>3.5385608080808089</v>
      </c>
      <c r="K16" s="464">
        <f t="shared" si="31"/>
        <v>2.1892804040404044</v>
      </c>
      <c r="L16" s="464">
        <f t="shared" si="32"/>
        <v>-1.3492804040404045</v>
      </c>
      <c r="M16" s="77">
        <f t="shared" si="3"/>
        <v>12</v>
      </c>
      <c r="N16" s="463">
        <f t="shared" si="4"/>
        <v>1.1044686728802191</v>
      </c>
      <c r="O16" s="463">
        <f t="shared" si="5"/>
        <v>8.3004953359043163E-3</v>
      </c>
      <c r="P16">
        <f t="shared" si="6"/>
        <v>0.4</v>
      </c>
      <c r="Q16" s="463">
        <f t="shared" si="34"/>
        <v>0.40830049533590435</v>
      </c>
      <c r="R16" s="9">
        <f t="shared" si="39"/>
        <v>1.0214945175446575</v>
      </c>
      <c r="S16" s="9">
        <f t="shared" si="7"/>
        <v>2.086902098747585E-3</v>
      </c>
      <c r="T16" s="9">
        <f t="shared" si="40"/>
        <v>2.086902098747585E-3</v>
      </c>
      <c r="U16" s="463">
        <f t="shared" si="8"/>
        <v>0.7132547751463546</v>
      </c>
      <c r="V16" s="465">
        <f t="shared" si="9"/>
        <v>1.6788168350879539E-4</v>
      </c>
      <c r="W16" s="463">
        <f t="shared" si="41"/>
        <v>1.6788168350879539E-4</v>
      </c>
      <c r="X16" s="463">
        <f t="shared" si="10"/>
        <v>0.7132547751463546</v>
      </c>
      <c r="Y16" s="463">
        <f t="shared" si="11"/>
        <v>2.0349294970763076E-3</v>
      </c>
      <c r="Z16" s="463">
        <f t="shared" si="12"/>
        <v>4.7709789937106929E-2</v>
      </c>
      <c r="AA16" s="463">
        <f t="shared" si="13"/>
        <v>0</v>
      </c>
      <c r="AB16" s="463">
        <f t="shared" si="14"/>
        <v>1.0119603030303034E-2</v>
      </c>
      <c r="AC16" s="463">
        <f t="shared" si="15"/>
        <v>5.9876506911495889E-2</v>
      </c>
      <c r="AD16" s="463">
        <f t="shared" si="16"/>
        <v>0.84327852759614097</v>
      </c>
      <c r="AE16" s="463">
        <f t="shared" si="17"/>
        <v>2.8444747004188618E-3</v>
      </c>
      <c r="AF16" s="463">
        <f t="shared" si="18"/>
        <v>1.6419603030303032E-2</v>
      </c>
      <c r="AG16" s="463">
        <f t="shared" si="19"/>
        <v>1.9269558908002096E-2</v>
      </c>
      <c r="AH16" s="463">
        <f t="shared" si="20"/>
        <v>0</v>
      </c>
      <c r="AI16">
        <f t="shared" si="21"/>
        <v>0</v>
      </c>
      <c r="AJ16" s="464">
        <f t="shared" si="22"/>
        <v>0.1199832</v>
      </c>
      <c r="AK16">
        <f t="shared" si="23"/>
        <v>3.6000000000000004E-2</v>
      </c>
      <c r="AL16" s="464">
        <f t="shared" si="24"/>
        <v>0.27</v>
      </c>
      <c r="AM16" s="464">
        <f t="shared" si="25"/>
        <v>0.17963774597495527</v>
      </c>
      <c r="AN16" s="464">
        <f t="shared" si="42"/>
        <v>0.30600000000000005</v>
      </c>
      <c r="AO16" s="464">
        <f t="shared" si="26"/>
        <v>0.91568454493765872</v>
      </c>
      <c r="AP16" s="100">
        <f t="shared" si="27"/>
        <v>2.1</v>
      </c>
      <c r="AQ16" s="10">
        <f t="shared" si="43"/>
        <v>0.69635930705192906</v>
      </c>
      <c r="AR16" s="77">
        <f t="shared" si="28"/>
        <v>1.4969126727873971</v>
      </c>
      <c r="AS16" s="77">
        <f t="shared" si="44"/>
        <v>0.48173897270005239</v>
      </c>
      <c r="AT16" s="10"/>
      <c r="AU16">
        <f t="shared" si="45"/>
        <v>69.635930705192905</v>
      </c>
      <c r="BC16" t="s">
        <v>229</v>
      </c>
      <c r="BD16" s="31">
        <v>25</v>
      </c>
      <c r="BE16" s="31">
        <v>25</v>
      </c>
      <c r="BF16" s="31">
        <v>25</v>
      </c>
      <c r="BG16" s="32">
        <f>1000000*(12-Vdd)*BF16/1000000000+((1000000*BF9/1000000000*Vdd)*2.5/(2*4))</f>
        <v>0.27656249999999999</v>
      </c>
      <c r="BH16">
        <f t="shared" si="29"/>
        <v>22.125</v>
      </c>
      <c r="BI16">
        <f t="shared" si="29"/>
        <v>27.65625</v>
      </c>
      <c r="BJ16">
        <f t="shared" si="29"/>
        <v>33.1875</v>
      </c>
      <c r="BK16">
        <f t="shared" si="29"/>
        <v>38.71875</v>
      </c>
      <c r="BL16">
        <f t="shared" si="29"/>
        <v>44.25</v>
      </c>
      <c r="BM16">
        <f t="shared" si="29"/>
        <v>49.78125</v>
      </c>
      <c r="BN16">
        <f t="shared" si="29"/>
        <v>5.53125</v>
      </c>
      <c r="BO16">
        <f t="shared" si="29"/>
        <v>8.296875</v>
      </c>
      <c r="BP16">
        <f t="shared" si="29"/>
        <v>11.0625</v>
      </c>
      <c r="BQ16">
        <f t="shared" si="29"/>
        <v>13.828125</v>
      </c>
    </row>
    <row r="17" spans="1:69" x14ac:dyDescent="0.15">
      <c r="A17" s="37" t="s">
        <v>128</v>
      </c>
      <c r="B17" s="29" t="s">
        <v>201</v>
      </c>
      <c r="C17" s="37" t="s">
        <v>148</v>
      </c>
      <c r="D17" s="30" t="s">
        <v>188</v>
      </c>
      <c r="G17">
        <v>8</v>
      </c>
      <c r="H17">
        <f t="shared" si="0"/>
        <v>0.48</v>
      </c>
      <c r="I17" s="463">
        <f t="shared" si="1"/>
        <v>0.41709866666666667</v>
      </c>
      <c r="J17" s="464">
        <f t="shared" si="2"/>
        <v>3.5390189898989903</v>
      </c>
      <c r="K17" s="464">
        <f t="shared" si="31"/>
        <v>2.2495094949494954</v>
      </c>
      <c r="L17" s="464">
        <f t="shared" si="32"/>
        <v>-1.2895094949494952</v>
      </c>
      <c r="M17" s="77">
        <f t="shared" si="3"/>
        <v>12</v>
      </c>
      <c r="N17" s="463">
        <f t="shared" si="4"/>
        <v>1.1287698101202059</v>
      </c>
      <c r="O17" s="463">
        <f t="shared" si="5"/>
        <v>8.6700341240306816E-3</v>
      </c>
      <c r="P17">
        <f t="shared" si="6"/>
        <v>0.4</v>
      </c>
      <c r="Q17" s="463">
        <f t="shared" si="34"/>
        <v>0.40867003412403069</v>
      </c>
      <c r="R17" s="9">
        <f t="shared" si="39"/>
        <v>1.0216267832426897</v>
      </c>
      <c r="S17" s="9">
        <f t="shared" si="7"/>
        <v>2.0874425684776115E-3</v>
      </c>
      <c r="T17" s="9">
        <f t="shared" si="40"/>
        <v>2.0874425684776115E-3</v>
      </c>
      <c r="U17" s="463">
        <f t="shared" si="8"/>
        <v>0.72899539698658389</v>
      </c>
      <c r="V17" s="465">
        <f t="shared" si="9"/>
        <v>1.7537331531311691E-4</v>
      </c>
      <c r="W17" s="463">
        <f t="shared" si="41"/>
        <v>1.7537331531311691E-4</v>
      </c>
      <c r="X17" s="463">
        <f t="shared" si="10"/>
        <v>0.72899539698658389</v>
      </c>
      <c r="Y17" s="463">
        <f t="shared" si="11"/>
        <v>2.1257371553105079E-3</v>
      </c>
      <c r="Z17" s="463">
        <f t="shared" si="12"/>
        <v>4.9022329559748445E-2</v>
      </c>
      <c r="AA17" s="463">
        <f t="shared" si="13"/>
        <v>0</v>
      </c>
      <c r="AB17" s="463">
        <f t="shared" si="14"/>
        <v>9.671321212121213E-3</v>
      </c>
      <c r="AC17" s="463">
        <f t="shared" si="15"/>
        <v>6.0832319279313742E-2</v>
      </c>
      <c r="AD17" s="463">
        <f t="shared" si="16"/>
        <v>0.86179289589273056</v>
      </c>
      <c r="AE17" s="463">
        <f t="shared" si="17"/>
        <v>2.9707479816447153E-3</v>
      </c>
      <c r="AF17" s="463">
        <f t="shared" si="18"/>
        <v>1.6871321212121215E-2</v>
      </c>
      <c r="AG17" s="463">
        <f t="shared" si="19"/>
        <v>1.9847965524117984E-2</v>
      </c>
      <c r="AH17" s="463">
        <f t="shared" si="20"/>
        <v>0</v>
      </c>
      <c r="AI17">
        <f t="shared" si="21"/>
        <v>0</v>
      </c>
      <c r="AJ17" s="464">
        <f t="shared" si="22"/>
        <v>0.1199808</v>
      </c>
      <c r="AK17">
        <f t="shared" si="23"/>
        <v>3.6000000000000004E-2</v>
      </c>
      <c r="AL17" s="464">
        <f t="shared" si="24"/>
        <v>0.27</v>
      </c>
      <c r="AM17" s="464">
        <f t="shared" si="25"/>
        <v>0.17963774597495527</v>
      </c>
      <c r="AN17" s="464">
        <f t="shared" si="42"/>
        <v>0.30600000000000005</v>
      </c>
      <c r="AO17" s="464">
        <f t="shared" si="26"/>
        <v>0.91759393481125318</v>
      </c>
      <c r="AP17" s="100">
        <f t="shared" si="27"/>
        <v>2.4</v>
      </c>
      <c r="AQ17" s="10">
        <f t="shared" si="43"/>
        <v>0.72341583905642826</v>
      </c>
      <c r="AR17" s="77">
        <f t="shared" si="28"/>
        <v>1.5208079819828435</v>
      </c>
      <c r="AS17" s="77">
        <f t="shared" si="44"/>
        <v>0.49619913810294958</v>
      </c>
      <c r="AT17" s="10"/>
      <c r="AU17">
        <f t="shared" si="45"/>
        <v>72.341583905642821</v>
      </c>
      <c r="BC17" t="s">
        <v>232</v>
      </c>
      <c r="BD17" s="31">
        <v>50</v>
      </c>
      <c r="BE17" s="31">
        <v>50</v>
      </c>
      <c r="BF17" s="31">
        <v>50</v>
      </c>
      <c r="BG17" s="32">
        <f>500000*(18-Vdd)*BF17/1000000000+((500000*BF15/1000000000*Vdd)*2.5/(2*4))</f>
        <v>0.28593750000000001</v>
      </c>
      <c r="BH17">
        <f t="shared" si="29"/>
        <v>22.875</v>
      </c>
      <c r="BI17">
        <f t="shared" si="29"/>
        <v>28.59375</v>
      </c>
      <c r="BJ17">
        <f t="shared" si="29"/>
        <v>34.3125</v>
      </c>
      <c r="BK17">
        <f t="shared" si="29"/>
        <v>40.03125</v>
      </c>
      <c r="BL17">
        <f t="shared" si="29"/>
        <v>45.75</v>
      </c>
      <c r="BM17">
        <f t="shared" si="29"/>
        <v>51.46875</v>
      </c>
      <c r="BN17">
        <f t="shared" si="29"/>
        <v>5.71875</v>
      </c>
      <c r="BO17">
        <f t="shared" si="29"/>
        <v>8.578125</v>
      </c>
      <c r="BP17">
        <f t="shared" si="29"/>
        <v>11.4375</v>
      </c>
      <c r="BQ17">
        <f t="shared" si="29"/>
        <v>14.296875</v>
      </c>
    </row>
    <row r="18" spans="1:69" x14ac:dyDescent="0.15">
      <c r="A18" s="54" t="s">
        <v>126</v>
      </c>
      <c r="B18" s="57">
        <f>Lout2*1000000</f>
        <v>3.3</v>
      </c>
      <c r="C18" s="476" t="s">
        <v>11</v>
      </c>
      <c r="D18" s="34" t="s">
        <v>190</v>
      </c>
      <c r="G18">
        <v>9</v>
      </c>
      <c r="H18">
        <f t="shared" si="0"/>
        <v>0.54</v>
      </c>
      <c r="I18" s="463">
        <f t="shared" si="1"/>
        <v>0.41715266666666667</v>
      </c>
      <c r="J18" s="464">
        <f t="shared" si="2"/>
        <v>3.5394771717171722</v>
      </c>
      <c r="K18" s="464">
        <f t="shared" si="31"/>
        <v>2.3097385858585859</v>
      </c>
      <c r="L18" s="464">
        <f t="shared" si="32"/>
        <v>-1.2297385858585861</v>
      </c>
      <c r="M18" s="77">
        <f t="shared" si="3"/>
        <v>12</v>
      </c>
      <c r="N18" s="463">
        <f t="shared" si="4"/>
        <v>1.1556779629690312</v>
      </c>
      <c r="O18" s="463">
        <f t="shared" si="5"/>
        <v>9.0886260163545833E-3</v>
      </c>
      <c r="P18">
        <f t="shared" si="6"/>
        <v>0.4</v>
      </c>
      <c r="Q18" s="463">
        <f t="shared" si="34"/>
        <v>0.4090886260163546</v>
      </c>
      <c r="R18" s="9">
        <f t="shared" si="39"/>
        <v>1.0217590489407224</v>
      </c>
      <c r="S18" s="9">
        <f t="shared" si="7"/>
        <v>2.0879831081844994E-3</v>
      </c>
      <c r="T18" s="9">
        <f t="shared" si="40"/>
        <v>2.0879831081844994E-3</v>
      </c>
      <c r="U18" s="463">
        <f t="shared" si="8"/>
        <v>0.74642185014042794</v>
      </c>
      <c r="V18" s="465">
        <f t="shared" si="9"/>
        <v>1.8385804086112963E-4</v>
      </c>
      <c r="W18" s="463">
        <f t="shared" si="41"/>
        <v>1.8385804086112963E-4</v>
      </c>
      <c r="X18" s="463">
        <f t="shared" si="10"/>
        <v>0.74642185014042794</v>
      </c>
      <c r="Y18" s="463">
        <f t="shared" si="11"/>
        <v>2.2285823134682381E-3</v>
      </c>
      <c r="Z18" s="463">
        <f t="shared" si="12"/>
        <v>5.0334869182389948E-2</v>
      </c>
      <c r="AA18" s="463">
        <f t="shared" si="13"/>
        <v>0</v>
      </c>
      <c r="AB18" s="463">
        <f t="shared" si="14"/>
        <v>9.2230393939393956E-3</v>
      </c>
      <c r="AC18" s="463">
        <f t="shared" si="15"/>
        <v>6.1800263587237399E-2</v>
      </c>
      <c r="AD18" s="463">
        <f t="shared" si="16"/>
        <v>0.88229585498583751</v>
      </c>
      <c r="AE18" s="463">
        <f t="shared" si="17"/>
        <v>3.11378390290076E-3</v>
      </c>
      <c r="AF18" s="463">
        <f t="shared" si="18"/>
        <v>1.7323039393939393E-2</v>
      </c>
      <c r="AG18" s="463">
        <f t="shared" si="19"/>
        <v>2.0443188864081047E-2</v>
      </c>
      <c r="AH18" s="463">
        <f t="shared" si="20"/>
        <v>0</v>
      </c>
      <c r="AI18">
        <f t="shared" si="21"/>
        <v>0</v>
      </c>
      <c r="AJ18" s="464">
        <f t="shared" si="22"/>
        <v>0.1199784</v>
      </c>
      <c r="AK18">
        <f t="shared" si="23"/>
        <v>3.6000000000000004E-2</v>
      </c>
      <c r="AL18" s="464">
        <f t="shared" si="24"/>
        <v>0.27</v>
      </c>
      <c r="AM18" s="464">
        <f t="shared" si="25"/>
        <v>0.17963774597495527</v>
      </c>
      <c r="AN18" s="464">
        <f t="shared" si="42"/>
        <v>0.30600000000000005</v>
      </c>
      <c r="AO18" s="464">
        <f t="shared" si="26"/>
        <v>0.91958231961671866</v>
      </c>
      <c r="AP18" s="100">
        <f t="shared" si="27"/>
        <v>2.7</v>
      </c>
      <c r="AQ18" s="10">
        <f t="shared" si="43"/>
        <v>0.74594242141339273</v>
      </c>
      <c r="AR18" s="77">
        <f t="shared" si="28"/>
        <v>1.5450065896809351</v>
      </c>
      <c r="AS18" s="77">
        <f t="shared" si="44"/>
        <v>0.51107972160202619</v>
      </c>
      <c r="AT18" s="10"/>
      <c r="AU18">
        <f t="shared" si="45"/>
        <v>74.594242141339279</v>
      </c>
      <c r="BC18" t="s">
        <v>233</v>
      </c>
      <c r="BE18" s="31"/>
      <c r="BF18" s="32"/>
    </row>
    <row r="19" spans="1:69" x14ac:dyDescent="0.15">
      <c r="A19" s="54" t="s">
        <v>12</v>
      </c>
      <c r="B19" s="58">
        <f>Rdcr*1000</f>
        <v>6.8</v>
      </c>
      <c r="C19" s="473" t="s">
        <v>622</v>
      </c>
      <c r="D19" s="34" t="s">
        <v>191</v>
      </c>
      <c r="G19">
        <v>10</v>
      </c>
      <c r="H19">
        <f t="shared" si="0"/>
        <v>0.60000000000000009</v>
      </c>
      <c r="I19" s="463">
        <f t="shared" si="1"/>
        <v>0.41720666666666667</v>
      </c>
      <c r="J19" s="464">
        <f t="shared" si="2"/>
        <v>3.5399353535353542</v>
      </c>
      <c r="K19" s="464">
        <f t="shared" si="31"/>
        <v>2.3699676767676774</v>
      </c>
      <c r="L19" s="464">
        <f t="shared" si="32"/>
        <v>-1.169967676767677</v>
      </c>
      <c r="M19" s="77">
        <f t="shared" si="3"/>
        <v>12</v>
      </c>
      <c r="N19" s="463">
        <f t="shared" si="4"/>
        <v>1.1850155521908237</v>
      </c>
      <c r="O19" s="463">
        <f t="shared" si="5"/>
        <v>9.5562808600264306E-3</v>
      </c>
      <c r="P19">
        <f t="shared" si="6"/>
        <v>0.4</v>
      </c>
      <c r="Q19" s="463">
        <f t="shared" si="34"/>
        <v>0.40955628086002643</v>
      </c>
      <c r="R19" s="9">
        <f t="shared" si="39"/>
        <v>1.0218913146387549</v>
      </c>
      <c r="S19" s="9">
        <f t="shared" si="7"/>
        <v>2.0885237178682459E-3</v>
      </c>
      <c r="T19" s="9">
        <f t="shared" si="40"/>
        <v>2.0885237178682459E-3</v>
      </c>
      <c r="U19" s="463">
        <f t="shared" si="8"/>
        <v>0.76541976019243341</v>
      </c>
      <c r="V19" s="465">
        <f t="shared" si="9"/>
        <v>1.9333624506670394E-4</v>
      </c>
      <c r="W19" s="463">
        <f t="shared" si="41"/>
        <v>1.9333624506670394E-4</v>
      </c>
      <c r="X19" s="463">
        <f t="shared" si="10"/>
        <v>0.76541976019243341</v>
      </c>
      <c r="Y19" s="463">
        <f t="shared" si="11"/>
        <v>2.3434696371721691E-3</v>
      </c>
      <c r="Z19" s="463">
        <f t="shared" si="12"/>
        <v>5.1647408805031464E-2</v>
      </c>
      <c r="AA19" s="463">
        <f t="shared" si="13"/>
        <v>0</v>
      </c>
      <c r="AB19" s="463">
        <f t="shared" si="14"/>
        <v>8.7747575757575764E-3</v>
      </c>
      <c r="AC19" s="463">
        <f t="shared" si="15"/>
        <v>6.2780348401990316E-2</v>
      </c>
      <c r="AD19" s="463">
        <f t="shared" si="16"/>
        <v>0.90465156255935375</v>
      </c>
      <c r="AE19" s="463">
        <f t="shared" si="17"/>
        <v>3.2735777985643212E-3</v>
      </c>
      <c r="AF19" s="463">
        <f t="shared" si="18"/>
        <v>1.7774757575757579E-2</v>
      </c>
      <c r="AG19" s="463">
        <f t="shared" si="19"/>
        <v>2.1055227967003553E-2</v>
      </c>
      <c r="AH19" s="463">
        <f t="shared" si="20"/>
        <v>0</v>
      </c>
      <c r="AI19">
        <f t="shared" si="21"/>
        <v>0</v>
      </c>
      <c r="AJ19" s="464">
        <f t="shared" si="22"/>
        <v>0.119976</v>
      </c>
      <c r="AK19">
        <f t="shared" si="23"/>
        <v>3.6000000000000004E-2</v>
      </c>
      <c r="AL19" s="464">
        <f t="shared" si="24"/>
        <v>0.27</v>
      </c>
      <c r="AM19" s="464">
        <f t="shared" si="25"/>
        <v>0.17963774597495527</v>
      </c>
      <c r="AN19" s="464">
        <f t="shared" si="42"/>
        <v>0.30600000000000005</v>
      </c>
      <c r="AO19" s="464">
        <f t="shared" si="26"/>
        <v>0.92164971719195521</v>
      </c>
      <c r="AP19" s="100">
        <f t="shared" si="27"/>
        <v>3.0000000000000004</v>
      </c>
      <c r="AQ19" s="10">
        <f t="shared" si="43"/>
        <v>0.76498418174586746</v>
      </c>
      <c r="AR19" s="77">
        <f t="shared" si="28"/>
        <v>1.569508710049758</v>
      </c>
      <c r="AS19" s="77">
        <f t="shared" si="44"/>
        <v>0.52638069917508878</v>
      </c>
      <c r="AT19" s="10"/>
      <c r="AU19">
        <f t="shared" si="45"/>
        <v>76.498418174586746</v>
      </c>
      <c r="BC19" t="s">
        <v>234</v>
      </c>
      <c r="BE19" s="31"/>
      <c r="BF19" s="32"/>
    </row>
    <row r="20" spans="1:69" x14ac:dyDescent="0.15">
      <c r="A20" s="54" t="s">
        <v>155</v>
      </c>
      <c r="B20" s="58">
        <f>Ltc*1000000</f>
        <v>4000</v>
      </c>
      <c r="C20" s="476" t="s">
        <v>154</v>
      </c>
      <c r="D20" s="34" t="s">
        <v>176</v>
      </c>
      <c r="G20">
        <v>11</v>
      </c>
      <c r="H20">
        <f t="shared" si="0"/>
        <v>0.66</v>
      </c>
      <c r="I20" s="463">
        <f t="shared" si="1"/>
        <v>0.41726066666666672</v>
      </c>
      <c r="J20" s="464">
        <f t="shared" si="2"/>
        <v>3.5403935353535365</v>
      </c>
      <c r="K20" s="464">
        <f t="shared" si="31"/>
        <v>2.4301967676767684</v>
      </c>
      <c r="L20" s="464">
        <f t="shared" si="32"/>
        <v>-1.1101967676767681</v>
      </c>
      <c r="M20" s="77">
        <f t="shared" si="3"/>
        <v>12</v>
      </c>
      <c r="N20" s="463">
        <f t="shared" si="4"/>
        <v>1.2166068382038735</v>
      </c>
      <c r="O20" s="463">
        <f t="shared" si="5"/>
        <v>1.0073009657545429E-2</v>
      </c>
      <c r="P20">
        <f t="shared" si="6"/>
        <v>0.4</v>
      </c>
      <c r="Q20" s="463">
        <f t="shared" si="34"/>
        <v>0.41007300965754545</v>
      </c>
      <c r="R20" s="9">
        <f t="shared" si="39"/>
        <v>1.0220235803367876</v>
      </c>
      <c r="S20" s="9">
        <f t="shared" si="7"/>
        <v>2.0890643975288526E-3</v>
      </c>
      <c r="T20" s="9">
        <f t="shared" si="40"/>
        <v>2.0890643975288526E-3</v>
      </c>
      <c r="U20" s="463">
        <f t="shared" si="8"/>
        <v>0.78587591133158141</v>
      </c>
      <c r="V20" s="465">
        <f t="shared" si="9"/>
        <v>2.0380831284371039E-4</v>
      </c>
      <c r="W20" s="463">
        <f t="shared" si="41"/>
        <v>2.0380831284371039E-4</v>
      </c>
      <c r="X20" s="463">
        <f t="shared" si="10"/>
        <v>0.78587591133158141</v>
      </c>
      <c r="Y20" s="463">
        <f t="shared" si="11"/>
        <v>2.4704037920449747E-3</v>
      </c>
      <c r="Z20" s="463">
        <f t="shared" si="12"/>
        <v>5.295994842767298E-2</v>
      </c>
      <c r="AA20" s="463">
        <f t="shared" si="13"/>
        <v>0</v>
      </c>
      <c r="AB20" s="463">
        <f t="shared" si="14"/>
        <v>8.3264757575757607E-3</v>
      </c>
      <c r="AC20" s="463">
        <f t="shared" si="15"/>
        <v>6.3772582380227788E-2</v>
      </c>
      <c r="AD20" s="463">
        <f t="shared" si="16"/>
        <v>0.92872560573787477</v>
      </c>
      <c r="AE20" s="463">
        <f t="shared" si="17"/>
        <v>3.4501250030127295E-3</v>
      </c>
      <c r="AF20" s="463">
        <f t="shared" si="18"/>
        <v>1.8226475757575761E-2</v>
      </c>
      <c r="AG20" s="463">
        <f t="shared" si="19"/>
        <v>2.1684082039949832E-2</v>
      </c>
      <c r="AH20" s="463">
        <f t="shared" si="20"/>
        <v>0</v>
      </c>
      <c r="AI20">
        <f t="shared" si="21"/>
        <v>0</v>
      </c>
      <c r="AJ20" s="464">
        <f t="shared" si="22"/>
        <v>0.11997360000000001</v>
      </c>
      <c r="AK20">
        <f t="shared" si="23"/>
        <v>3.6000000000000004E-2</v>
      </c>
      <c r="AL20" s="464">
        <f t="shared" si="24"/>
        <v>0.27</v>
      </c>
      <c r="AM20" s="464">
        <f t="shared" si="25"/>
        <v>0.17963774597495527</v>
      </c>
      <c r="AN20" s="464">
        <f t="shared" si="42"/>
        <v>0.30600000000000005</v>
      </c>
      <c r="AO20" s="464">
        <f t="shared" si="26"/>
        <v>0.92379614678809574</v>
      </c>
      <c r="AP20" s="100">
        <f t="shared" si="27"/>
        <v>3.3000000000000003</v>
      </c>
      <c r="AQ20" s="10">
        <f t="shared" si="43"/>
        <v>0.78128770549436222</v>
      </c>
      <c r="AR20" s="77">
        <f t="shared" si="28"/>
        <v>1.5943145595056947</v>
      </c>
      <c r="AS20" s="77">
        <f t="shared" si="44"/>
        <v>0.54210205099874575</v>
      </c>
      <c r="AT20" s="10"/>
      <c r="AU20">
        <f t="shared" si="45"/>
        <v>78.128770549436226</v>
      </c>
      <c r="BE20" s="31"/>
      <c r="BF20" s="32"/>
    </row>
    <row r="21" spans="1:69" x14ac:dyDescent="0.15">
      <c r="A21" s="38" t="s">
        <v>250</v>
      </c>
      <c r="B21" s="58">
        <f>ThetaCa</f>
        <v>20</v>
      </c>
      <c r="C21" s="477" t="s">
        <v>721</v>
      </c>
      <c r="D21" s="40" t="s">
        <v>251</v>
      </c>
      <c r="G21">
        <v>12</v>
      </c>
      <c r="H21">
        <f t="shared" si="0"/>
        <v>0.72</v>
      </c>
      <c r="I21" s="463">
        <f t="shared" si="1"/>
        <v>0.41731466666666667</v>
      </c>
      <c r="J21" s="464">
        <f t="shared" si="2"/>
        <v>3.5408517171717175</v>
      </c>
      <c r="K21" s="464">
        <f t="shared" si="31"/>
        <v>2.4904258585858585</v>
      </c>
      <c r="L21" s="464">
        <f t="shared" si="32"/>
        <v>-1.0504258585858588</v>
      </c>
      <c r="M21" s="77">
        <f t="shared" si="3"/>
        <v>12</v>
      </c>
      <c r="N21" s="463">
        <f t="shared" si="4"/>
        <v>1.2502809978493468</v>
      </c>
      <c r="O21" s="463">
        <f t="shared" si="5"/>
        <v>1.0638824567406833E-2</v>
      </c>
      <c r="P21">
        <f t="shared" si="6"/>
        <v>0.4</v>
      </c>
      <c r="Q21" s="463">
        <f t="shared" si="34"/>
        <v>0.41063882456740686</v>
      </c>
      <c r="R21" s="9">
        <f t="shared" si="39"/>
        <v>1.0221558460348199</v>
      </c>
      <c r="S21" s="9">
        <f t="shared" si="7"/>
        <v>2.0896051471663169E-3</v>
      </c>
      <c r="T21" s="9">
        <f t="shared" si="40"/>
        <v>2.0896051471663169E-3</v>
      </c>
      <c r="U21" s="463">
        <f t="shared" si="8"/>
        <v>0.80768023432997982</v>
      </c>
      <c r="V21" s="465">
        <f t="shared" si="9"/>
        <v>2.1527462910601929E-4</v>
      </c>
      <c r="W21" s="463">
        <f t="shared" si="41"/>
        <v>2.1527462910601929E-4</v>
      </c>
      <c r="X21" s="463">
        <f t="shared" si="10"/>
        <v>0.80768023432997982</v>
      </c>
      <c r="Y21" s="463">
        <f t="shared" si="11"/>
        <v>2.6093894437093246E-3</v>
      </c>
      <c r="Z21" s="463">
        <f t="shared" si="12"/>
        <v>5.4272488050314475E-2</v>
      </c>
      <c r="AA21" s="463">
        <f t="shared" si="13"/>
        <v>0</v>
      </c>
      <c r="AB21" s="463">
        <f t="shared" si="14"/>
        <v>7.8781939393939415E-3</v>
      </c>
      <c r="AC21" s="463">
        <f t="shared" si="15"/>
        <v>6.4776974268702964E-2</v>
      </c>
      <c r="AD21" s="463">
        <f t="shared" si="16"/>
        <v>0.95438734937960434</v>
      </c>
      <c r="AE21" s="463">
        <f t="shared" si="17"/>
        <v>3.6434208506233075E-3</v>
      </c>
      <c r="AF21" s="463">
        <f t="shared" si="18"/>
        <v>1.8678193939393937E-2</v>
      </c>
      <c r="AG21" s="463">
        <f t="shared" si="19"/>
        <v>2.232975045785798E-2</v>
      </c>
      <c r="AH21" s="463">
        <f t="shared" si="20"/>
        <v>0</v>
      </c>
      <c r="AI21">
        <f t="shared" si="21"/>
        <v>0</v>
      </c>
      <c r="AJ21" s="464">
        <f t="shared" si="22"/>
        <v>0.11997120000000001</v>
      </c>
      <c r="AK21">
        <f t="shared" si="23"/>
        <v>3.6000000000000004E-2</v>
      </c>
      <c r="AL21" s="464">
        <f t="shared" si="24"/>
        <v>0.27</v>
      </c>
      <c r="AM21" s="464">
        <f t="shared" si="25"/>
        <v>0.17963774597495527</v>
      </c>
      <c r="AN21" s="464">
        <f t="shared" si="42"/>
        <v>0.30600000000000005</v>
      </c>
      <c r="AO21" s="464">
        <f t="shared" si="26"/>
        <v>0.92602162907024033</v>
      </c>
      <c r="AP21" s="100">
        <f t="shared" si="27"/>
        <v>3.5999999999999996</v>
      </c>
      <c r="AQ21" s="10">
        <f t="shared" si="43"/>
        <v>0.79540052943572248</v>
      </c>
      <c r="AR21" s="77">
        <f t="shared" si="28"/>
        <v>1.6194243567175741</v>
      </c>
      <c r="AS21" s="77">
        <f t="shared" si="44"/>
        <v>0.55824376144644949</v>
      </c>
      <c r="AT21" s="10"/>
      <c r="AU21">
        <f t="shared" si="45"/>
        <v>79.540052943572249</v>
      </c>
      <c r="BE21" s="31"/>
      <c r="BF21" s="32"/>
    </row>
    <row r="22" spans="1:69" x14ac:dyDescent="0.15">
      <c r="A22" s="55" t="s">
        <v>127</v>
      </c>
      <c r="B22" s="58">
        <f>Cin*1000000</f>
        <v>24</v>
      </c>
      <c r="C22" s="478" t="s">
        <v>30</v>
      </c>
      <c r="D22" s="34" t="s">
        <v>177</v>
      </c>
      <c r="G22">
        <v>13</v>
      </c>
      <c r="H22">
        <f t="shared" si="0"/>
        <v>0.78</v>
      </c>
      <c r="I22" s="463">
        <f t="shared" si="1"/>
        <v>0.41736866666666667</v>
      </c>
      <c r="J22" s="464">
        <f t="shared" si="2"/>
        <v>3.5413098989898995</v>
      </c>
      <c r="K22" s="464">
        <f t="shared" si="31"/>
        <v>2.55065494949495</v>
      </c>
      <c r="L22" s="464">
        <f t="shared" si="32"/>
        <v>-0.9906549494949497</v>
      </c>
      <c r="M22" s="77">
        <f t="shared" si="3"/>
        <v>12</v>
      </c>
      <c r="N22" s="463">
        <f t="shared" si="4"/>
        <v>1.2858744042052945</v>
      </c>
      <c r="O22" s="463">
        <f t="shared" si="5"/>
        <v>1.1253738904817422E-2</v>
      </c>
      <c r="P22">
        <f t="shared" si="6"/>
        <v>0.4</v>
      </c>
      <c r="Q22" s="463">
        <f t="shared" si="34"/>
        <v>0.41125373890481742</v>
      </c>
      <c r="R22" s="9">
        <f t="shared" si="39"/>
        <v>1.0222881117328524</v>
      </c>
      <c r="S22" s="9">
        <f t="shared" si="7"/>
        <v>2.0901459667806419E-3</v>
      </c>
      <c r="T22" s="9">
        <f t="shared" si="40"/>
        <v>2.0901459667806419E-3</v>
      </c>
      <c r="U22" s="463">
        <f t="shared" si="8"/>
        <v>0.83072728042780308</v>
      </c>
      <c r="V22" s="465">
        <f t="shared" si="9"/>
        <v>2.2773557876750133E-4</v>
      </c>
      <c r="W22" s="463">
        <f t="shared" si="41"/>
        <v>2.2773557876750133E-4</v>
      </c>
      <c r="X22" s="463">
        <f t="shared" si="10"/>
        <v>0.83072728042780308</v>
      </c>
      <c r="Y22" s="463">
        <f t="shared" si="11"/>
        <v>2.760431257787895E-3</v>
      </c>
      <c r="Z22" s="463">
        <f t="shared" si="12"/>
        <v>5.5585027672955992E-2</v>
      </c>
      <c r="AA22" s="463">
        <f t="shared" si="13"/>
        <v>0</v>
      </c>
      <c r="AB22" s="463">
        <f t="shared" si="14"/>
        <v>7.4299121212121223E-3</v>
      </c>
      <c r="AC22" s="463">
        <f t="shared" si="15"/>
        <v>6.5793532904434973E-2</v>
      </c>
      <c r="AD22" s="463">
        <f t="shared" si="16"/>
        <v>0.98151167539838624</v>
      </c>
      <c r="AE22" s="463">
        <f t="shared" si="17"/>
        <v>3.8534606757733886E-3</v>
      </c>
      <c r="AF22" s="463">
        <f t="shared" si="18"/>
        <v>1.9129912121212123E-2</v>
      </c>
      <c r="AG22" s="463">
        <f t="shared" si="19"/>
        <v>2.2992232763465736E-2</v>
      </c>
      <c r="AH22" s="463">
        <f t="shared" si="20"/>
        <v>0</v>
      </c>
      <c r="AI22">
        <f t="shared" si="21"/>
        <v>0</v>
      </c>
      <c r="AJ22" s="464">
        <f t="shared" si="22"/>
        <v>0.11996880000000001</v>
      </c>
      <c r="AK22">
        <f t="shared" si="23"/>
        <v>3.6000000000000004E-2</v>
      </c>
      <c r="AL22" s="464">
        <f t="shared" si="24"/>
        <v>0.27</v>
      </c>
      <c r="AM22" s="464">
        <f t="shared" si="25"/>
        <v>0.17963774597495527</v>
      </c>
      <c r="AN22" s="464">
        <f t="shared" si="42"/>
        <v>0.30600000000000005</v>
      </c>
      <c r="AO22" s="464">
        <f t="shared" si="26"/>
        <v>0.92832618611826634</v>
      </c>
      <c r="AP22" s="100">
        <f t="shared" si="27"/>
        <v>3.9000000000000004</v>
      </c>
      <c r="AQ22" s="10">
        <f t="shared" si="43"/>
        <v>0.80773333235288436</v>
      </c>
      <c r="AR22" s="77">
        <f t="shared" si="28"/>
        <v>1.6448383226108743</v>
      </c>
      <c r="AS22" s="77">
        <f t="shared" si="44"/>
        <v>0.57480581908664341</v>
      </c>
      <c r="AT22" s="10"/>
      <c r="AU22">
        <f t="shared" si="45"/>
        <v>80.773333235288433</v>
      </c>
      <c r="BE22" s="31"/>
      <c r="BF22" s="32"/>
    </row>
    <row r="23" spans="1:69" x14ac:dyDescent="0.15">
      <c r="A23" s="55" t="s">
        <v>159</v>
      </c>
      <c r="B23" s="58">
        <f>RCinEsr*1000</f>
        <v>0.33</v>
      </c>
      <c r="C23" s="473" t="s">
        <v>622</v>
      </c>
      <c r="D23" s="34" t="s">
        <v>178</v>
      </c>
      <c r="G23">
        <v>14</v>
      </c>
      <c r="H23">
        <f t="shared" si="0"/>
        <v>0.84000000000000008</v>
      </c>
      <c r="I23" s="463">
        <f t="shared" si="1"/>
        <v>0.41742266666666666</v>
      </c>
      <c r="J23" s="464">
        <f t="shared" si="2"/>
        <v>3.5417680808080814</v>
      </c>
      <c r="K23" s="464">
        <f t="shared" si="31"/>
        <v>2.6108840404040405</v>
      </c>
      <c r="L23" s="464">
        <f t="shared" si="32"/>
        <v>-0.9308840404040406</v>
      </c>
      <c r="M23" s="77">
        <f t="shared" si="3"/>
        <v>12</v>
      </c>
      <c r="N23" s="463">
        <f t="shared" si="4"/>
        <v>1.3232321898238091</v>
      </c>
      <c r="O23" s="463">
        <f t="shared" si="5"/>
        <v>1.1917767142479094E-2</v>
      </c>
      <c r="P23">
        <f t="shared" si="6"/>
        <v>0.4</v>
      </c>
      <c r="Q23" s="463">
        <f t="shared" si="34"/>
        <v>0.41191776714247913</v>
      </c>
      <c r="R23" s="9">
        <f t="shared" si="39"/>
        <v>1.0224203774308851</v>
      </c>
      <c r="S23" s="9">
        <f t="shared" si="7"/>
        <v>2.0906868563718272E-3</v>
      </c>
      <c r="T23" s="9">
        <f t="shared" si="40"/>
        <v>2.0906868563718272E-3</v>
      </c>
      <c r="U23" s="463">
        <f t="shared" si="8"/>
        <v>0.8549172328218908</v>
      </c>
      <c r="V23" s="465">
        <f t="shared" si="9"/>
        <v>2.411915467420269E-4</v>
      </c>
      <c r="W23" s="463">
        <f t="shared" si="41"/>
        <v>2.411915467420269E-4</v>
      </c>
      <c r="X23" s="463">
        <f t="shared" si="10"/>
        <v>0.8549172328218908</v>
      </c>
      <c r="Y23" s="463">
        <f t="shared" si="11"/>
        <v>2.9235338999033561E-3</v>
      </c>
      <c r="Z23" s="463">
        <f t="shared" si="12"/>
        <v>5.6897567295597494E-2</v>
      </c>
      <c r="AA23" s="463">
        <f t="shared" si="13"/>
        <v>0</v>
      </c>
      <c r="AB23" s="463">
        <f t="shared" si="14"/>
        <v>6.9816303030303039E-3</v>
      </c>
      <c r="AC23" s="463">
        <f t="shared" si="15"/>
        <v>6.6822267214878259E-2</v>
      </c>
      <c r="AD23" s="463">
        <f t="shared" si="16"/>
        <v>1.0099801746618962</v>
      </c>
      <c r="AE23" s="463">
        <f t="shared" si="17"/>
        <v>4.0802398128402971E-3</v>
      </c>
      <c r="AF23" s="463">
        <f t="shared" si="18"/>
        <v>1.9581630303030305E-2</v>
      </c>
      <c r="AG23" s="463">
        <f t="shared" si="19"/>
        <v>2.3671528667240489E-2</v>
      </c>
      <c r="AH23" s="463">
        <f t="shared" si="20"/>
        <v>0</v>
      </c>
      <c r="AI23">
        <f t="shared" si="21"/>
        <v>0</v>
      </c>
      <c r="AJ23" s="464">
        <f t="shared" si="22"/>
        <v>0.1199664</v>
      </c>
      <c r="AK23">
        <f t="shared" si="23"/>
        <v>3.6000000000000004E-2</v>
      </c>
      <c r="AL23" s="464">
        <f t="shared" si="24"/>
        <v>0.27</v>
      </c>
      <c r="AM23" s="464">
        <f t="shared" si="25"/>
        <v>0.17963774597495527</v>
      </c>
      <c r="AN23" s="464">
        <f t="shared" si="42"/>
        <v>0.30600000000000005</v>
      </c>
      <c r="AO23" s="464">
        <f t="shared" si="26"/>
        <v>0.93070984142771185</v>
      </c>
      <c r="AP23" s="100">
        <f t="shared" si="27"/>
        <v>4.2</v>
      </c>
      <c r="AQ23" s="10">
        <f t="shared" si="43"/>
        <v>0.81860018005447666</v>
      </c>
      <c r="AR23" s="77">
        <f t="shared" si="28"/>
        <v>1.6705566803719565</v>
      </c>
      <c r="AS23" s="77">
        <f t="shared" si="44"/>
        <v>0.59178821668101222</v>
      </c>
      <c r="AT23" s="10"/>
      <c r="AU23">
        <f t="shared" si="45"/>
        <v>81.860018005447671</v>
      </c>
      <c r="BE23" s="31"/>
      <c r="BF23" s="32"/>
    </row>
    <row r="24" spans="1:69" x14ac:dyDescent="0.15">
      <c r="A24" s="54" t="s">
        <v>36</v>
      </c>
      <c r="B24" s="58">
        <f>Cout*1000000</f>
        <v>330</v>
      </c>
      <c r="C24" s="476" t="s">
        <v>30</v>
      </c>
      <c r="D24" s="34" t="s">
        <v>199</v>
      </c>
      <c r="G24">
        <v>15</v>
      </c>
      <c r="H24">
        <f t="shared" si="0"/>
        <v>0.89999999999999991</v>
      </c>
      <c r="I24" s="463">
        <f t="shared" si="1"/>
        <v>0.41747666666666666</v>
      </c>
      <c r="J24" s="464">
        <f t="shared" si="2"/>
        <v>3.5422262626262628</v>
      </c>
      <c r="K24" s="464">
        <f t="shared" si="31"/>
        <v>2.6711131313131311</v>
      </c>
      <c r="L24" s="464">
        <f t="shared" si="32"/>
        <v>-0.87111313131313151</v>
      </c>
      <c r="M24" s="77">
        <f t="shared" si="3"/>
        <v>12</v>
      </c>
      <c r="N24" s="463">
        <f t="shared" si="4"/>
        <v>1.3622092012499163</v>
      </c>
      <c r="O24" s="463">
        <f t="shared" si="5"/>
        <v>1.2630924911440846E-2</v>
      </c>
      <c r="P24">
        <f t="shared" si="6"/>
        <v>0.4</v>
      </c>
      <c r="Q24" s="463">
        <f t="shared" si="34"/>
        <v>0.41263092491144088</v>
      </c>
      <c r="R24" s="9">
        <f t="shared" si="39"/>
        <v>1.0225526431289176</v>
      </c>
      <c r="S24" s="9">
        <f t="shared" si="7"/>
        <v>2.0912278159398714E-3</v>
      </c>
      <c r="T24" s="9">
        <f t="shared" si="40"/>
        <v>2.0912278159398714E-3</v>
      </c>
      <c r="U24" s="463">
        <f t="shared" si="8"/>
        <v>0.880156525238321</v>
      </c>
      <c r="V24" s="465">
        <f t="shared" si="9"/>
        <v>2.556429179434664E-4</v>
      </c>
      <c r="W24" s="463">
        <f t="shared" si="41"/>
        <v>2.556429179434664E-4</v>
      </c>
      <c r="X24" s="463">
        <f t="shared" si="10"/>
        <v>0.880156525238321</v>
      </c>
      <c r="Y24" s="463">
        <f t="shared" si="11"/>
        <v>3.0987020356783804E-3</v>
      </c>
      <c r="Z24" s="463">
        <f t="shared" si="12"/>
        <v>5.8210106918238996E-2</v>
      </c>
      <c r="AA24" s="463">
        <f t="shared" si="13"/>
        <v>0</v>
      </c>
      <c r="AB24" s="463">
        <f t="shared" si="14"/>
        <v>6.5333484848484856E-3</v>
      </c>
      <c r="AC24" s="463">
        <f t="shared" si="15"/>
        <v>6.7863186218094035E-2</v>
      </c>
      <c r="AD24" s="463">
        <f t="shared" si="16"/>
        <v>1.0396818739645026</v>
      </c>
      <c r="AE24" s="463">
        <f t="shared" si="17"/>
        <v>4.3237535962013596E-3</v>
      </c>
      <c r="AF24" s="463">
        <f t="shared" si="18"/>
        <v>2.0033348484848484E-2</v>
      </c>
      <c r="AG24" s="463">
        <f t="shared" si="19"/>
        <v>2.4367638047313643E-2</v>
      </c>
      <c r="AH24" s="463">
        <f t="shared" si="20"/>
        <v>0</v>
      </c>
      <c r="AI24">
        <f t="shared" si="21"/>
        <v>0</v>
      </c>
      <c r="AJ24" s="464">
        <f t="shared" si="22"/>
        <v>0.119964</v>
      </c>
      <c r="AK24">
        <f t="shared" si="23"/>
        <v>3.6000000000000004E-2</v>
      </c>
      <c r="AL24" s="464">
        <f t="shared" si="24"/>
        <v>0.27</v>
      </c>
      <c r="AM24" s="464">
        <f t="shared" si="25"/>
        <v>0.17963774597495527</v>
      </c>
      <c r="AN24" s="464">
        <f t="shared" si="42"/>
        <v>0.30600000000000005</v>
      </c>
      <c r="AO24" s="464">
        <f t="shared" si="26"/>
        <v>0.93317261991073186</v>
      </c>
      <c r="AP24" s="100">
        <f t="shared" si="27"/>
        <v>4.5</v>
      </c>
      <c r="AQ24" s="10">
        <f t="shared" si="43"/>
        <v>0.82824535769561769</v>
      </c>
      <c r="AR24" s="77">
        <f t="shared" si="28"/>
        <v>1.6965796554523509</v>
      </c>
      <c r="AS24" s="77">
        <f t="shared" si="44"/>
        <v>0.60919095118284106</v>
      </c>
      <c r="AT24" s="10"/>
      <c r="AU24">
        <f t="shared" si="45"/>
        <v>82.824535769561763</v>
      </c>
      <c r="BE24" s="31"/>
      <c r="BF24" s="32"/>
    </row>
    <row r="25" spans="1:69" x14ac:dyDescent="0.15">
      <c r="A25" s="54" t="s">
        <v>158</v>
      </c>
      <c r="B25" s="59">
        <f>CoutEsr*1000</f>
        <v>2</v>
      </c>
      <c r="C25" s="473" t="s">
        <v>622</v>
      </c>
      <c r="D25" s="34" t="s">
        <v>200</v>
      </c>
      <c r="G25">
        <v>16</v>
      </c>
      <c r="H25">
        <f t="shared" si="0"/>
        <v>0.96</v>
      </c>
      <c r="I25" s="463">
        <f t="shared" si="1"/>
        <v>0.41753066666666672</v>
      </c>
      <c r="J25" s="464">
        <f t="shared" si="2"/>
        <v>3.5426844444444447</v>
      </c>
      <c r="K25" s="464">
        <f t="shared" si="31"/>
        <v>2.7313422222222226</v>
      </c>
      <c r="L25" s="464">
        <f t="shared" si="32"/>
        <v>-0.81134222222222241</v>
      </c>
      <c r="M25" s="77">
        <f t="shared" si="3"/>
        <v>12</v>
      </c>
      <c r="N25" s="463">
        <f t="shared" si="4"/>
        <v>1.4026704612069034</v>
      </c>
      <c r="O25" s="463">
        <f t="shared" si="5"/>
        <v>1.3393229002019072E-2</v>
      </c>
      <c r="P25">
        <f t="shared" si="6"/>
        <v>0.4</v>
      </c>
      <c r="Q25" s="463">
        <f t="shared" si="34"/>
        <v>0.41339322900201908</v>
      </c>
      <c r="R25" s="9">
        <f t="shared" si="39"/>
        <v>1.0226849088269501</v>
      </c>
      <c r="S25" s="9">
        <f t="shared" si="7"/>
        <v>2.0917688454847741E-3</v>
      </c>
      <c r="T25" s="9">
        <f t="shared" si="40"/>
        <v>2.0917688454847741E-3</v>
      </c>
      <c r="U25" s="463">
        <f t="shared" si="8"/>
        <v>0.90635814261466796</v>
      </c>
      <c r="V25" s="465">
        <f t="shared" si="9"/>
        <v>2.7109007728569052E-4</v>
      </c>
      <c r="W25" s="463">
        <f t="shared" si="41"/>
        <v>2.7109007728569052E-4</v>
      </c>
      <c r="X25" s="463">
        <f t="shared" si="10"/>
        <v>0.90635814261466796</v>
      </c>
      <c r="Y25" s="463">
        <f t="shared" si="11"/>
        <v>3.2859403307356431E-3</v>
      </c>
      <c r="Z25" s="463">
        <f t="shared" si="12"/>
        <v>5.9522646540880519E-2</v>
      </c>
      <c r="AA25" s="463">
        <f t="shared" si="13"/>
        <v>0</v>
      </c>
      <c r="AB25" s="463">
        <f t="shared" si="14"/>
        <v>6.0850666666666681E-3</v>
      </c>
      <c r="AC25" s="463">
        <f t="shared" si="15"/>
        <v>6.8916299022923289E-2</v>
      </c>
      <c r="AD25" s="463">
        <f t="shared" si="16"/>
        <v>1.0705135870499152</v>
      </c>
      <c r="AE25" s="463">
        <f t="shared" si="17"/>
        <v>4.5839973602339055E-3</v>
      </c>
      <c r="AF25" s="463">
        <f t="shared" si="18"/>
        <v>2.0485066666666669E-2</v>
      </c>
      <c r="AG25" s="463">
        <f t="shared" si="19"/>
        <v>2.5080560949419104E-2</v>
      </c>
      <c r="AH25" s="463">
        <f t="shared" si="20"/>
        <v>0</v>
      </c>
      <c r="AI25">
        <f t="shared" si="21"/>
        <v>0</v>
      </c>
      <c r="AJ25" s="464">
        <f t="shared" si="22"/>
        <v>0.1199616</v>
      </c>
      <c r="AK25">
        <f t="shared" si="23"/>
        <v>3.6000000000000004E-2</v>
      </c>
      <c r="AL25" s="464">
        <f t="shared" si="24"/>
        <v>0.27</v>
      </c>
      <c r="AM25" s="464">
        <f t="shared" si="25"/>
        <v>0.17963774597495527</v>
      </c>
      <c r="AN25" s="464">
        <f t="shared" si="42"/>
        <v>0.30600000000000005</v>
      </c>
      <c r="AO25" s="464">
        <f t="shared" si="26"/>
        <v>0.93571454789713204</v>
      </c>
      <c r="AP25" s="100">
        <f t="shared" si="27"/>
        <v>4.8</v>
      </c>
      <c r="AQ25" s="10">
        <f t="shared" si="43"/>
        <v>0.83686173011517972</v>
      </c>
      <c r="AR25" s="77">
        <f t="shared" si="28"/>
        <v>1.7229074755730822</v>
      </c>
      <c r="AS25" s="77">
        <f t="shared" si="44"/>
        <v>0.62701402373547765</v>
      </c>
      <c r="AT25" s="10"/>
      <c r="AU25">
        <f t="shared" si="45"/>
        <v>83.68617301151798</v>
      </c>
      <c r="BC25" t="s">
        <v>240</v>
      </c>
      <c r="BD25" t="s">
        <v>4</v>
      </c>
      <c r="BE25" t="s">
        <v>6</v>
      </c>
      <c r="BF25" t="s">
        <v>5</v>
      </c>
      <c r="BG25" t="s">
        <v>241</v>
      </c>
      <c r="BH25" t="s">
        <v>242</v>
      </c>
    </row>
    <row r="26" spans="1:69" x14ac:dyDescent="0.15">
      <c r="A26" s="37" t="s">
        <v>202</v>
      </c>
      <c r="B26" s="56" t="s">
        <v>201</v>
      </c>
      <c r="C26" s="37" t="s">
        <v>148</v>
      </c>
      <c r="D26" s="30" t="s">
        <v>188</v>
      </c>
      <c r="G26">
        <v>17</v>
      </c>
      <c r="H26">
        <f t="shared" si="0"/>
        <v>1.02</v>
      </c>
      <c r="I26" s="463">
        <f t="shared" si="1"/>
        <v>0.41758466666666666</v>
      </c>
      <c r="J26" s="464">
        <f t="shared" si="2"/>
        <v>3.5431426262626267</v>
      </c>
      <c r="K26" s="464">
        <f t="shared" si="31"/>
        <v>2.7915713131313131</v>
      </c>
      <c r="L26" s="464">
        <f t="shared" si="32"/>
        <v>-0.75157131313131331</v>
      </c>
      <c r="M26" s="77">
        <f t="shared" si="3"/>
        <v>12</v>
      </c>
      <c r="N26" s="463">
        <f t="shared" si="4"/>
        <v>1.4444912504073082</v>
      </c>
      <c r="O26" s="463">
        <f t="shared" si="5"/>
        <v>1.4204697364786379E-2</v>
      </c>
      <c r="P26">
        <f t="shared" si="6"/>
        <v>0.4</v>
      </c>
      <c r="Q26" s="463">
        <f t="shared" si="34"/>
        <v>0.41420469736478638</v>
      </c>
      <c r="R26" s="9">
        <f t="shared" si="39"/>
        <v>1.0228171745249826</v>
      </c>
      <c r="S26" s="9">
        <f t="shared" si="7"/>
        <v>2.0923099450065371E-3</v>
      </c>
      <c r="T26" s="9">
        <f t="shared" si="40"/>
        <v>2.0923099450065371E-3</v>
      </c>
      <c r="U26" s="463">
        <f t="shared" si="8"/>
        <v>0.93344167609682682</v>
      </c>
      <c r="V26" s="465">
        <f t="shared" si="9"/>
        <v>2.8753340968256963E-4</v>
      </c>
      <c r="W26" s="463">
        <f t="shared" si="41"/>
        <v>2.8753340968256963E-4</v>
      </c>
      <c r="X26" s="463">
        <f t="shared" si="10"/>
        <v>0.93344167609682682</v>
      </c>
      <c r="Y26" s="463">
        <f t="shared" si="11"/>
        <v>3.4852534506978135E-3</v>
      </c>
      <c r="Z26" s="463">
        <f t="shared" si="12"/>
        <v>6.0835186163522015E-2</v>
      </c>
      <c r="AA26" s="463">
        <f t="shared" si="13"/>
        <v>0</v>
      </c>
      <c r="AB26" s="463">
        <f t="shared" si="14"/>
        <v>5.6367848484848498E-3</v>
      </c>
      <c r="AC26" s="463">
        <f t="shared" si="15"/>
        <v>6.9981614829161556E-2</v>
      </c>
      <c r="AD26" s="463">
        <f t="shared" si="16"/>
        <v>1.1023799752484691</v>
      </c>
      <c r="AE26" s="463">
        <f t="shared" si="17"/>
        <v>4.8609664393152608E-3</v>
      </c>
      <c r="AF26" s="463">
        <f t="shared" si="18"/>
        <v>2.0936784848484848E-2</v>
      </c>
      <c r="AG26" s="463">
        <f t="shared" si="19"/>
        <v>2.5810297586835944E-2</v>
      </c>
      <c r="AH26" s="463">
        <f t="shared" si="20"/>
        <v>0</v>
      </c>
      <c r="AI26">
        <f t="shared" si="21"/>
        <v>0</v>
      </c>
      <c r="AJ26" s="464">
        <f t="shared" si="22"/>
        <v>0.1199592</v>
      </c>
      <c r="AK26">
        <f t="shared" si="23"/>
        <v>3.6000000000000004E-2</v>
      </c>
      <c r="AL26" s="464">
        <f t="shared" si="24"/>
        <v>0.27</v>
      </c>
      <c r="AM26" s="464">
        <f t="shared" si="25"/>
        <v>0.17963774597495527</v>
      </c>
      <c r="AN26" s="464">
        <f t="shared" si="42"/>
        <v>0.30600000000000005</v>
      </c>
      <c r="AO26" s="464">
        <f t="shared" si="26"/>
        <v>0.93833565313547307</v>
      </c>
      <c r="AP26" s="100">
        <f t="shared" si="27"/>
        <v>5.0999999999999996</v>
      </c>
      <c r="AQ26" s="10">
        <f t="shared" si="43"/>
        <v>0.84460359492466575</v>
      </c>
      <c r="AR26" s="77">
        <f t="shared" si="28"/>
        <v>1.7495403707290389</v>
      </c>
      <c r="AS26" s="77">
        <f t="shared" si="44"/>
        <v>0.64525743967089855</v>
      </c>
      <c r="AT26" s="10"/>
      <c r="AU26">
        <f t="shared" si="45"/>
        <v>84.46035949246658</v>
      </c>
      <c r="BC26" t="s">
        <v>243</v>
      </c>
      <c r="BD26">
        <v>9.9989640000000009</v>
      </c>
      <c r="BE26">
        <v>0.1027</v>
      </c>
      <c r="BF26">
        <v>5.1211359999999999</v>
      </c>
      <c r="BG26">
        <v>61.870683235325004</v>
      </c>
      <c r="BH26">
        <v>324.12365701136014</v>
      </c>
    </row>
    <row r="27" spans="1:69" x14ac:dyDescent="0.15">
      <c r="A27" s="35" t="s">
        <v>132</v>
      </c>
      <c r="B27" s="5">
        <v>1.5</v>
      </c>
      <c r="C27" s="472" t="s">
        <v>208</v>
      </c>
      <c r="D27" s="34" t="s">
        <v>204</v>
      </c>
      <c r="G27">
        <v>18</v>
      </c>
      <c r="H27">
        <f t="shared" si="0"/>
        <v>1.08</v>
      </c>
      <c r="I27" s="463">
        <f t="shared" si="1"/>
        <v>0.41763866666666666</v>
      </c>
      <c r="J27" s="464">
        <f t="shared" si="2"/>
        <v>3.5436008080808086</v>
      </c>
      <c r="K27" s="464">
        <f t="shared" si="31"/>
        <v>2.8518004040404046</v>
      </c>
      <c r="L27" s="464">
        <f t="shared" si="32"/>
        <v>-0.69180040404040422</v>
      </c>
      <c r="M27" s="77">
        <f t="shared" si="3"/>
        <v>12</v>
      </c>
      <c r="N27" s="463">
        <f t="shared" si="4"/>
        <v>1.487556908912254</v>
      </c>
      <c r="O27" s="463">
        <f t="shared" si="5"/>
        <v>1.5065349111629016E-2</v>
      </c>
      <c r="P27">
        <f t="shared" si="6"/>
        <v>0.4</v>
      </c>
      <c r="Q27" s="463">
        <f t="shared" si="34"/>
        <v>0.41506534911162901</v>
      </c>
      <c r="R27" s="9">
        <f t="shared" si="39"/>
        <v>1.0229494402230153</v>
      </c>
      <c r="S27" s="9">
        <f t="shared" si="7"/>
        <v>2.0928511145051607E-3</v>
      </c>
      <c r="T27" s="9">
        <f t="shared" si="40"/>
        <v>2.0928511145051607E-3</v>
      </c>
      <c r="U27" s="463">
        <f t="shared" si="8"/>
        <v>0.96133319681413854</v>
      </c>
      <c r="V27" s="465">
        <f t="shared" si="9"/>
        <v>3.0497330004797409E-4</v>
      </c>
      <c r="W27" s="463">
        <f t="shared" si="41"/>
        <v>3.0497330004797409E-4</v>
      </c>
      <c r="X27" s="463">
        <f t="shared" si="10"/>
        <v>0.96133319681413854</v>
      </c>
      <c r="Y27" s="463">
        <f t="shared" si="11"/>
        <v>3.6966460611875646E-3</v>
      </c>
      <c r="Z27" s="463">
        <f t="shared" si="12"/>
        <v>6.2147725786163552E-2</v>
      </c>
      <c r="AA27" s="463">
        <f t="shared" si="13"/>
        <v>0</v>
      </c>
      <c r="AB27" s="463">
        <f t="shared" si="14"/>
        <v>5.1885030303030315E-3</v>
      </c>
      <c r="AC27" s="463">
        <f t="shared" si="15"/>
        <v>7.1059142927735672E-2</v>
      </c>
      <c r="AD27" s="463">
        <f t="shared" si="16"/>
        <v>1.1351933940768368</v>
      </c>
      <c r="AE27" s="463">
        <f t="shared" si="17"/>
        <v>5.1546561678227545E-3</v>
      </c>
      <c r="AF27" s="463">
        <f t="shared" si="18"/>
        <v>2.1388503030303034E-2</v>
      </c>
      <c r="AG27" s="463">
        <f t="shared" si="19"/>
        <v>2.6556848340335334E-2</v>
      </c>
      <c r="AH27" s="463">
        <f t="shared" si="20"/>
        <v>0</v>
      </c>
      <c r="AI27">
        <f t="shared" si="21"/>
        <v>0</v>
      </c>
      <c r="AJ27" s="464">
        <f t="shared" si="22"/>
        <v>0.1199568</v>
      </c>
      <c r="AK27">
        <f t="shared" si="23"/>
        <v>3.6000000000000004E-2</v>
      </c>
      <c r="AL27" s="464">
        <f t="shared" si="24"/>
        <v>0.27</v>
      </c>
      <c r="AM27" s="464">
        <f t="shared" si="25"/>
        <v>0.17963774597495527</v>
      </c>
      <c r="AN27" s="464">
        <f t="shared" si="42"/>
        <v>0.30600000000000005</v>
      </c>
      <c r="AO27" s="464">
        <f t="shared" si="26"/>
        <v>0.94103596479425322</v>
      </c>
      <c r="AP27" s="100">
        <f t="shared" si="27"/>
        <v>5.4</v>
      </c>
      <c r="AQ27" s="10">
        <f t="shared" si="43"/>
        <v>0.85159586382746744</v>
      </c>
      <c r="AR27" s="77">
        <f t="shared" si="28"/>
        <v>1.7764785731933919</v>
      </c>
      <c r="AS27" s="77">
        <f t="shared" si="44"/>
        <v>0.66392120850838332</v>
      </c>
      <c r="AT27" s="10"/>
      <c r="AU27">
        <f t="shared" si="45"/>
        <v>85.159586382746738</v>
      </c>
      <c r="BC27" t="s">
        <v>244</v>
      </c>
      <c r="BD27">
        <v>9.9986669999999993</v>
      </c>
      <c r="BE27">
        <v>0.1166</v>
      </c>
      <c r="BF27">
        <v>5.1212980000000003</v>
      </c>
      <c r="BG27">
        <v>64.729420570558148</v>
      </c>
      <c r="BH27">
        <v>325.37886459483997</v>
      </c>
    </row>
    <row r="28" spans="1:69" x14ac:dyDescent="0.15">
      <c r="A28" s="35" t="s">
        <v>239</v>
      </c>
      <c r="B28" s="5">
        <v>0.9</v>
      </c>
      <c r="C28" s="472" t="s">
        <v>208</v>
      </c>
      <c r="D28" s="34" t="s">
        <v>205</v>
      </c>
      <c r="G28">
        <v>19</v>
      </c>
      <c r="H28">
        <f t="shared" si="0"/>
        <v>1.1400000000000001</v>
      </c>
      <c r="I28" s="463">
        <f t="shared" si="1"/>
        <v>0.41769266666666666</v>
      </c>
      <c r="J28" s="464">
        <f t="shared" si="2"/>
        <v>3.54405898989899</v>
      </c>
      <c r="K28" s="464">
        <f t="shared" si="31"/>
        <v>2.9120294949494951</v>
      </c>
      <c r="L28" s="464">
        <f t="shared" si="32"/>
        <v>-0.6320294949494949</v>
      </c>
      <c r="M28" s="77">
        <f t="shared" si="3"/>
        <v>12</v>
      </c>
      <c r="N28" s="463">
        <f t="shared" si="4"/>
        <v>1.531762441434807</v>
      </c>
      <c r="O28" s="463">
        <f t="shared" si="5"/>
        <v>1.5975204516872989E-2</v>
      </c>
      <c r="P28">
        <f t="shared" si="6"/>
        <v>0.4</v>
      </c>
      <c r="Q28" s="463">
        <f t="shared" si="34"/>
        <v>0.41597520451687303</v>
      </c>
      <c r="R28" s="9">
        <f t="shared" si="39"/>
        <v>1.0230817059210475</v>
      </c>
      <c r="S28" s="9">
        <f t="shared" si="7"/>
        <v>2.0933923539806416E-3</v>
      </c>
      <c r="T28" s="9">
        <f t="shared" si="40"/>
        <v>2.0933923539806416E-3</v>
      </c>
      <c r="U28" s="463">
        <f t="shared" si="8"/>
        <v>0.98996500289499745</v>
      </c>
      <c r="V28" s="465">
        <f t="shared" si="9"/>
        <v>3.2341013329577448E-4</v>
      </c>
      <c r="W28" s="463">
        <f t="shared" si="41"/>
        <v>3.2341013329577448E-4</v>
      </c>
      <c r="X28" s="463">
        <f t="shared" si="10"/>
        <v>0.98996500289499745</v>
      </c>
      <c r="Y28" s="463">
        <f t="shared" si="11"/>
        <v>3.9201228278275694E-3</v>
      </c>
      <c r="Z28" s="463">
        <f t="shared" si="12"/>
        <v>6.3460265408805047E-2</v>
      </c>
      <c r="AA28" s="463">
        <f t="shared" si="13"/>
        <v>0</v>
      </c>
      <c r="AB28" s="463">
        <f t="shared" si="14"/>
        <v>4.7402212121212114E-3</v>
      </c>
      <c r="AC28" s="463">
        <f t="shared" si="15"/>
        <v>7.2148892700881748E-2</v>
      </c>
      <c r="AD28" s="463">
        <f t="shared" si="16"/>
        <v>1.1688735902711755</v>
      </c>
      <c r="AE28" s="463">
        <f t="shared" si="17"/>
        <v>5.4650618801337118E-3</v>
      </c>
      <c r="AF28" s="463">
        <f t="shared" si="18"/>
        <v>2.1840221212121213E-2</v>
      </c>
      <c r="AG28" s="463">
        <f t="shared" si="19"/>
        <v>2.7320213758131592E-2</v>
      </c>
      <c r="AH28" s="463">
        <f t="shared" si="20"/>
        <v>0</v>
      </c>
      <c r="AI28">
        <f t="shared" si="21"/>
        <v>0</v>
      </c>
      <c r="AJ28" s="464">
        <f t="shared" si="22"/>
        <v>0.1199544</v>
      </c>
      <c r="AK28">
        <f t="shared" si="23"/>
        <v>3.6000000000000004E-2</v>
      </c>
      <c r="AL28" s="464">
        <f t="shared" si="24"/>
        <v>0.27</v>
      </c>
      <c r="AM28" s="464">
        <f t="shared" si="25"/>
        <v>0.17963774597495527</v>
      </c>
      <c r="AN28" s="464">
        <f t="shared" si="42"/>
        <v>0.30600000000000005</v>
      </c>
      <c r="AO28" s="464">
        <f t="shared" si="26"/>
        <v>0.94381551346316284</v>
      </c>
      <c r="AP28" s="100">
        <f t="shared" si="27"/>
        <v>5.7000000000000011</v>
      </c>
      <c r="AQ28" s="10">
        <f t="shared" si="43"/>
        <v>0.85794074029439926</v>
      </c>
      <c r="AR28" s="77">
        <f t="shared" si="28"/>
        <v>1.8037223175220436</v>
      </c>
      <c r="AS28" s="77">
        <f t="shared" si="44"/>
        <v>0.68300534395328982</v>
      </c>
      <c r="AT28" s="10"/>
      <c r="AU28">
        <f t="shared" si="45"/>
        <v>85.794074029439926</v>
      </c>
      <c r="BC28" t="s">
        <v>245</v>
      </c>
      <c r="BD28">
        <v>9.9987659999999998</v>
      </c>
      <c r="BE28">
        <v>0.14660000000000001</v>
      </c>
      <c r="BF28">
        <v>5.1213230000000003</v>
      </c>
      <c r="BG28">
        <v>69.885376918691776</v>
      </c>
      <c r="BH28">
        <v>323.52446193379996</v>
      </c>
    </row>
    <row r="29" spans="1:69" x14ac:dyDescent="0.15">
      <c r="A29" s="37" t="s">
        <v>203</v>
      </c>
      <c r="B29" s="28" t="s">
        <v>201</v>
      </c>
      <c r="C29" s="37" t="s">
        <v>148</v>
      </c>
      <c r="D29" s="30" t="s">
        <v>188</v>
      </c>
      <c r="G29">
        <v>20</v>
      </c>
      <c r="H29">
        <f t="shared" si="0"/>
        <v>1.2000000000000002</v>
      </c>
      <c r="I29" s="463">
        <f t="shared" si="1"/>
        <v>0.41774666666666671</v>
      </c>
      <c r="J29" s="464">
        <f t="shared" si="2"/>
        <v>3.544517171717172</v>
      </c>
      <c r="K29" s="464">
        <f t="shared" si="31"/>
        <v>2.9722585858585862</v>
      </c>
      <c r="L29" s="464">
        <f t="shared" si="32"/>
        <v>-0.5722585858585858</v>
      </c>
      <c r="M29" s="77">
        <f t="shared" si="3"/>
        <v>11.445171717171714</v>
      </c>
      <c r="N29" s="463">
        <f t="shared" si="4"/>
        <v>1.5770119947915717</v>
      </c>
      <c r="O29" s="463">
        <f t="shared" si="5"/>
        <v>1.6934285018479073E-2</v>
      </c>
      <c r="P29">
        <f t="shared" si="6"/>
        <v>0.4</v>
      </c>
      <c r="Q29" s="463">
        <f t="shared" si="34"/>
        <v>0.41693428501847907</v>
      </c>
      <c r="R29" s="9">
        <f t="shared" si="39"/>
        <v>1.0232139716190802</v>
      </c>
      <c r="S29" s="9">
        <f t="shared" si="7"/>
        <v>2.093933663432984E-3</v>
      </c>
      <c r="T29" s="9">
        <f t="shared" si="40"/>
        <v>2.093933663432984E-3</v>
      </c>
      <c r="U29" s="463">
        <f t="shared" si="8"/>
        <v>1.0192752837482746</v>
      </c>
      <c r="V29" s="465">
        <f t="shared" si="9"/>
        <v>3.4284429433984148E-4</v>
      </c>
      <c r="W29" s="463">
        <f t="shared" si="41"/>
        <v>3.4284429433984148E-4</v>
      </c>
      <c r="X29" s="463">
        <f t="shared" si="10"/>
        <v>1.0192752837482746</v>
      </c>
      <c r="Y29" s="463">
        <f t="shared" si="11"/>
        <v>4.1556884162405033E-3</v>
      </c>
      <c r="Z29" s="463">
        <f t="shared" si="12"/>
        <v>6.4772805031446543E-2</v>
      </c>
      <c r="AA29" s="463">
        <f t="shared" si="13"/>
        <v>1.3870707070707145E-3</v>
      </c>
      <c r="AB29" s="463">
        <f t="shared" si="14"/>
        <v>4.2919393939393931E-3</v>
      </c>
      <c r="AC29" s="463">
        <f t="shared" si="15"/>
        <v>7.4638520992406504E-2</v>
      </c>
      <c r="AD29" s="463">
        <f t="shared" si="16"/>
        <v>1.2033473013458611</v>
      </c>
      <c r="AE29" s="463">
        <f t="shared" si="17"/>
        <v>5.7921789106254668E-3</v>
      </c>
      <c r="AF29" s="463">
        <f t="shared" si="18"/>
        <v>2.2291939393939395E-2</v>
      </c>
      <c r="AG29" s="463">
        <f t="shared" si="19"/>
        <v>2.8100394555837519E-2</v>
      </c>
      <c r="AH29" s="463">
        <f t="shared" si="20"/>
        <v>0</v>
      </c>
      <c r="AI29">
        <f t="shared" si="21"/>
        <v>0</v>
      </c>
      <c r="AJ29" s="464">
        <f t="shared" si="22"/>
        <v>0.119952</v>
      </c>
      <c r="AK29">
        <f t="shared" si="23"/>
        <v>3.6000000000000004E-2</v>
      </c>
      <c r="AL29" s="464">
        <f t="shared" si="24"/>
        <v>0.27</v>
      </c>
      <c r="AM29" s="464">
        <f t="shared" si="25"/>
        <v>0.17963774597495527</v>
      </c>
      <c r="AN29" s="464">
        <f t="shared" si="42"/>
        <v>0.30600000000000005</v>
      </c>
      <c r="AO29" s="464">
        <f t="shared" si="26"/>
        <v>0.94806197852449592</v>
      </c>
      <c r="AP29" s="100">
        <f t="shared" si="27"/>
        <v>6.0000000000000009</v>
      </c>
      <c r="AQ29" s="10">
        <f t="shared" si="43"/>
        <v>0.86355015521524925</v>
      </c>
      <c r="AR29" s="77">
        <f t="shared" si="28"/>
        <v>1.8659630248101626</v>
      </c>
      <c r="AS29" s="77">
        <f t="shared" si="44"/>
        <v>0.70250986389593795</v>
      </c>
      <c r="AT29" s="10"/>
      <c r="AU29">
        <f t="shared" si="45"/>
        <v>86.355015521524919</v>
      </c>
      <c r="BC29" t="s">
        <v>246</v>
      </c>
      <c r="BD29">
        <v>9.9987899999999996</v>
      </c>
      <c r="BE29">
        <v>0.1958</v>
      </c>
      <c r="BF29">
        <v>5.1217600000000001</v>
      </c>
      <c r="BG29">
        <v>75.662516566515876</v>
      </c>
      <c r="BH29">
        <v>322.57199766699983</v>
      </c>
    </row>
    <row r="30" spans="1:69" x14ac:dyDescent="0.15">
      <c r="A30" s="35" t="s">
        <v>131</v>
      </c>
      <c r="B30" s="41">
        <v>1.5</v>
      </c>
      <c r="C30" s="472" t="s">
        <v>208</v>
      </c>
      <c r="D30" s="34" t="s">
        <v>204</v>
      </c>
      <c r="G30">
        <v>21</v>
      </c>
      <c r="H30">
        <f t="shared" si="0"/>
        <v>1.26</v>
      </c>
      <c r="I30" s="463">
        <f t="shared" si="1"/>
        <v>0.41780066666666671</v>
      </c>
      <c r="J30" s="464">
        <f t="shared" si="2"/>
        <v>3.5449753535353543</v>
      </c>
      <c r="K30" s="464">
        <f t="shared" si="31"/>
        <v>3.0324876767676772</v>
      </c>
      <c r="L30" s="464">
        <f t="shared" si="32"/>
        <v>-0.51248767676767715</v>
      </c>
      <c r="M30" s="77">
        <f t="shared" si="3"/>
        <v>10.249753535353543</v>
      </c>
      <c r="N30" s="463">
        <f t="shared" si="4"/>
        <v>1.623218260564824</v>
      </c>
      <c r="O30" s="463">
        <f t="shared" si="5"/>
        <v>1.7942613219306687E-2</v>
      </c>
      <c r="P30">
        <f t="shared" si="6"/>
        <v>0.4</v>
      </c>
      <c r="Q30" s="463">
        <f t="shared" si="34"/>
        <v>0.4179426132193067</v>
      </c>
      <c r="R30" s="9">
        <f t="shared" si="39"/>
        <v>1.0233462373171129</v>
      </c>
      <c r="S30" s="9">
        <f t="shared" si="7"/>
        <v>2.0944750428621857E-3</v>
      </c>
      <c r="T30" s="9">
        <f t="shared" si="40"/>
        <v>2.0944750428621857E-3</v>
      </c>
      <c r="U30" s="463">
        <f t="shared" si="8"/>
        <v>1.0492077358713374</v>
      </c>
      <c r="V30" s="465">
        <f t="shared" si="9"/>
        <v>3.6327616809404519E-4</v>
      </c>
      <c r="W30" s="463">
        <f t="shared" si="41"/>
        <v>3.6327616809404519E-4</v>
      </c>
      <c r="X30" s="463">
        <f t="shared" si="10"/>
        <v>1.0492077358713374</v>
      </c>
      <c r="Y30" s="463">
        <f t="shared" si="11"/>
        <v>4.4033474920490328E-3</v>
      </c>
      <c r="Z30" s="463">
        <f t="shared" si="12"/>
        <v>6.6085344654088066E-2</v>
      </c>
      <c r="AA30" s="463">
        <f t="shared" si="13"/>
        <v>4.3756161616161429E-3</v>
      </c>
      <c r="AB30" s="463">
        <f t="shared" si="14"/>
        <v>3.8436575757575782E-3</v>
      </c>
      <c r="AC30" s="463">
        <f t="shared" si="15"/>
        <v>7.8742639003708245E-2</v>
      </c>
      <c r="AD30" s="463">
        <f t="shared" si="16"/>
        <v>1.2385477981970798</v>
      </c>
      <c r="AE30" s="463">
        <f t="shared" si="17"/>
        <v>6.1360025936753378E-3</v>
      </c>
      <c r="AF30" s="463">
        <f t="shared" si="18"/>
        <v>2.2743657575757577E-2</v>
      </c>
      <c r="AG30" s="463">
        <f t="shared" si="19"/>
        <v>2.8897391616423795E-2</v>
      </c>
      <c r="AH30" s="463">
        <f t="shared" si="20"/>
        <v>0</v>
      </c>
      <c r="AI30">
        <f t="shared" si="21"/>
        <v>0</v>
      </c>
      <c r="AJ30" s="464">
        <f t="shared" si="22"/>
        <v>0.1199496</v>
      </c>
      <c r="AK30">
        <f t="shared" si="23"/>
        <v>3.6000000000000004E-2</v>
      </c>
      <c r="AL30" s="464">
        <f t="shared" si="24"/>
        <v>0.27</v>
      </c>
      <c r="AM30" s="464">
        <f t="shared" si="25"/>
        <v>0.17963774597495527</v>
      </c>
      <c r="AN30" s="464">
        <f t="shared" si="42"/>
        <v>0.30600000000000005</v>
      </c>
      <c r="AO30" s="464">
        <f t="shared" si="26"/>
        <v>0.95398999505039506</v>
      </c>
      <c r="AP30" s="100">
        <f t="shared" si="27"/>
        <v>6.3</v>
      </c>
      <c r="AQ30" s="10">
        <f t="shared" si="43"/>
        <v>0.86848755020322199</v>
      </c>
      <c r="AR30" s="77">
        <f t="shared" si="28"/>
        <v>1.968565975092706</v>
      </c>
      <c r="AS30" s="77">
        <f t="shared" si="44"/>
        <v>0.72243479041059488</v>
      </c>
      <c r="AT30" s="10"/>
      <c r="AU30">
        <f t="shared" si="45"/>
        <v>86.848755020322201</v>
      </c>
      <c r="BD30">
        <v>9.9987659999999998</v>
      </c>
      <c r="BE30">
        <v>0.2681</v>
      </c>
      <c r="BF30">
        <v>5.1224080000000001</v>
      </c>
      <c r="BG30">
        <v>80.957553445887683</v>
      </c>
      <c r="BH30">
        <v>323.02506068319997</v>
      </c>
    </row>
    <row r="31" spans="1:69" x14ac:dyDescent="0.15">
      <c r="A31" s="35" t="s">
        <v>238</v>
      </c>
      <c r="B31" s="41">
        <v>0.9</v>
      </c>
      <c r="C31" s="472" t="s">
        <v>208</v>
      </c>
      <c r="D31" s="34" t="s">
        <v>205</v>
      </c>
      <c r="G31">
        <v>22</v>
      </c>
      <c r="H31">
        <f t="shared" si="0"/>
        <v>1.32</v>
      </c>
      <c r="I31" s="463">
        <f t="shared" si="1"/>
        <v>0.41785466666666665</v>
      </c>
      <c r="J31" s="464">
        <f t="shared" si="2"/>
        <v>3.5454335353535358</v>
      </c>
      <c r="K31" s="464">
        <f t="shared" si="31"/>
        <v>3.0927167676767677</v>
      </c>
      <c r="L31" s="464">
        <f t="shared" si="32"/>
        <v>-0.45271676767676783</v>
      </c>
      <c r="M31" s="77">
        <f t="shared" si="3"/>
        <v>9.0543353535353575</v>
      </c>
      <c r="N31" s="463">
        <f t="shared" si="4"/>
        <v>1.6703018428218663</v>
      </c>
      <c r="O31" s="463">
        <f t="shared" si="5"/>
        <v>1.9000212888447016E-2</v>
      </c>
      <c r="P31">
        <f t="shared" si="6"/>
        <v>0.4</v>
      </c>
      <c r="Q31" s="463">
        <f t="shared" si="34"/>
        <v>0.41900021288844702</v>
      </c>
      <c r="R31" s="9">
        <f t="shared" si="39"/>
        <v>1.0234785030151452</v>
      </c>
      <c r="S31" s="9">
        <f t="shared" si="7"/>
        <v>2.0950164922682452E-3</v>
      </c>
      <c r="T31" s="9">
        <f t="shared" si="40"/>
        <v>2.0950164922682452E-3</v>
      </c>
      <c r="U31" s="463">
        <f t="shared" si="8"/>
        <v>1.0797111559203965</v>
      </c>
      <c r="V31" s="465">
        <f t="shared" si="9"/>
        <v>3.8470613947225635E-4</v>
      </c>
      <c r="W31" s="463">
        <f t="shared" si="41"/>
        <v>3.8470613947225635E-4</v>
      </c>
      <c r="X31" s="463">
        <f t="shared" si="10"/>
        <v>1.0797111559203965</v>
      </c>
      <c r="Y31" s="463">
        <f t="shared" si="11"/>
        <v>4.6631047208758342E-3</v>
      </c>
      <c r="Z31" s="463">
        <f t="shared" si="12"/>
        <v>6.7397884276729575E-2</v>
      </c>
      <c r="AA31" s="463">
        <f t="shared" si="13"/>
        <v>7.3641616161616063E-3</v>
      </c>
      <c r="AB31" s="463">
        <f t="shared" si="14"/>
        <v>3.3953757575757582E-3</v>
      </c>
      <c r="AC31" s="463">
        <f t="shared" si="15"/>
        <v>8.2859164467442362E-2</v>
      </c>
      <c r="AD31" s="463">
        <f t="shared" si="16"/>
        <v>1.2744144011722263</v>
      </c>
      <c r="AE31" s="463">
        <f t="shared" si="17"/>
        <v>6.4965282636606564E-3</v>
      </c>
      <c r="AF31" s="463">
        <f t="shared" si="18"/>
        <v>2.3195375757575756E-2</v>
      </c>
      <c r="AG31" s="463">
        <f t="shared" si="19"/>
        <v>2.971120599018268E-2</v>
      </c>
      <c r="AH31" s="463">
        <f t="shared" si="20"/>
        <v>0</v>
      </c>
      <c r="AI31">
        <f t="shared" si="21"/>
        <v>0</v>
      </c>
      <c r="AJ31" s="464">
        <f t="shared" si="22"/>
        <v>0.11994719999999999</v>
      </c>
      <c r="AK31">
        <f t="shared" si="23"/>
        <v>3.6000000000000004E-2</v>
      </c>
      <c r="AL31" s="464">
        <f t="shared" si="24"/>
        <v>0.27</v>
      </c>
      <c r="AM31" s="464">
        <f t="shared" si="25"/>
        <v>0.17963774597495527</v>
      </c>
      <c r="AN31" s="464">
        <f t="shared" si="42"/>
        <v>0.30600000000000005</v>
      </c>
      <c r="AO31" s="464">
        <f t="shared" si="26"/>
        <v>0.95999750597781275</v>
      </c>
      <c r="AP31" s="100">
        <f t="shared" si="27"/>
        <v>6.6000000000000005</v>
      </c>
      <c r="AQ31" s="10">
        <f t="shared" si="43"/>
        <v>0.87301616102138557</v>
      </c>
      <c r="AR31" s="77">
        <f t="shared" si="28"/>
        <v>2.0714791116860591</v>
      </c>
      <c r="AS31" s="77">
        <f t="shared" si="44"/>
        <v>0.74278014975456697</v>
      </c>
      <c r="AT31" s="10"/>
      <c r="AU31">
        <f t="shared" si="45"/>
        <v>87.301616102138553</v>
      </c>
      <c r="BD31">
        <v>9.998704</v>
      </c>
      <c r="BE31">
        <v>0.36549999999999999</v>
      </c>
      <c r="BF31">
        <v>5.123094</v>
      </c>
      <c r="BG31">
        <v>85.419022273213088</v>
      </c>
      <c r="BH31">
        <v>319.63300692320018</v>
      </c>
    </row>
    <row r="32" spans="1:69" x14ac:dyDescent="0.15">
      <c r="A32" s="37" t="s">
        <v>133</v>
      </c>
      <c r="B32" s="28" t="s">
        <v>201</v>
      </c>
      <c r="C32" s="37" t="s">
        <v>148</v>
      </c>
      <c r="D32" s="30" t="s">
        <v>188</v>
      </c>
      <c r="E32" s="53"/>
      <c r="G32">
        <v>23</v>
      </c>
      <c r="H32">
        <f t="shared" si="0"/>
        <v>1.3800000000000001</v>
      </c>
      <c r="I32" s="463">
        <f t="shared" si="1"/>
        <v>0.41790866666666665</v>
      </c>
      <c r="J32" s="464">
        <f t="shared" si="2"/>
        <v>3.5458917171717173</v>
      </c>
      <c r="K32" s="464">
        <f t="shared" si="31"/>
        <v>3.1529458585858587</v>
      </c>
      <c r="L32" s="464">
        <f t="shared" si="32"/>
        <v>-0.39294585858585851</v>
      </c>
      <c r="M32" s="77">
        <f t="shared" si="3"/>
        <v>7.8589171717171693</v>
      </c>
      <c r="N32" s="463">
        <f t="shared" si="4"/>
        <v>1.7181906197583501</v>
      </c>
      <c r="O32" s="463">
        <f t="shared" si="5"/>
        <v>2.0107108962625301E-2</v>
      </c>
      <c r="P32">
        <f t="shared" si="6"/>
        <v>0.4</v>
      </c>
      <c r="Q32" s="463">
        <f t="shared" si="34"/>
        <v>0.42010710896262532</v>
      </c>
      <c r="R32" s="9">
        <f t="shared" si="39"/>
        <v>1.0236107687131777</v>
      </c>
      <c r="S32" s="9">
        <f t="shared" si="7"/>
        <v>2.0955580116511648E-3</v>
      </c>
      <c r="T32" s="9">
        <f t="shared" si="40"/>
        <v>2.0955580116511648E-3</v>
      </c>
      <c r="U32" s="463">
        <f t="shared" si="8"/>
        <v>1.1107390296941468</v>
      </c>
      <c r="V32" s="465">
        <f t="shared" si="9"/>
        <v>4.0713459338834526E-4</v>
      </c>
      <c r="W32" s="463">
        <f t="shared" si="41"/>
        <v>4.0713459338834526E-4</v>
      </c>
      <c r="X32" s="463">
        <f t="shared" si="10"/>
        <v>1.1107390296941468</v>
      </c>
      <c r="Y32" s="463">
        <f t="shared" si="11"/>
        <v>4.9349647683435789E-3</v>
      </c>
      <c r="Z32" s="463">
        <f t="shared" si="12"/>
        <v>6.8710423899371084E-2</v>
      </c>
      <c r="AA32" s="463">
        <f t="shared" si="13"/>
        <v>1.0352707070707077E-2</v>
      </c>
      <c r="AB32" s="463">
        <f t="shared" si="14"/>
        <v>2.9470939393939385E-3</v>
      </c>
      <c r="AC32" s="463">
        <f t="shared" si="15"/>
        <v>8.6988118007578885E-2</v>
      </c>
      <c r="AD32" s="463">
        <f t="shared" si="16"/>
        <v>1.310891991637636</v>
      </c>
      <c r="AE32" s="463">
        <f t="shared" si="17"/>
        <v>6.873751254958752E-3</v>
      </c>
      <c r="AF32" s="463">
        <f t="shared" si="18"/>
        <v>2.3647093939393939E-2</v>
      </c>
      <c r="AG32" s="463">
        <f t="shared" si="19"/>
        <v>3.0541838894695809E-2</v>
      </c>
      <c r="AH32" s="463">
        <f t="shared" si="20"/>
        <v>0</v>
      </c>
      <c r="AI32">
        <f t="shared" si="21"/>
        <v>0</v>
      </c>
      <c r="AJ32" s="464">
        <f t="shared" si="22"/>
        <v>0.11994479999999999</v>
      </c>
      <c r="AK32">
        <f t="shared" si="23"/>
        <v>3.6000000000000004E-2</v>
      </c>
      <c r="AL32" s="464">
        <f t="shared" si="24"/>
        <v>0.27</v>
      </c>
      <c r="AM32" s="464">
        <f t="shared" si="25"/>
        <v>0.17963774597495527</v>
      </c>
      <c r="AN32" s="464">
        <f t="shared" si="42"/>
        <v>0.30600000000000005</v>
      </c>
      <c r="AO32" s="464">
        <f t="shared" si="26"/>
        <v>0.96608455846993968</v>
      </c>
      <c r="AP32" s="100">
        <f t="shared" si="27"/>
        <v>6.9</v>
      </c>
      <c r="AQ32" s="10">
        <f t="shared" si="43"/>
        <v>0.87718355284781524</v>
      </c>
      <c r="AR32" s="77">
        <f t="shared" si="28"/>
        <v>2.1747029501894719</v>
      </c>
      <c r="AS32" s="77">
        <f t="shared" si="44"/>
        <v>0.76354597236739519</v>
      </c>
      <c r="AT32" s="10"/>
      <c r="AU32">
        <f t="shared" si="45"/>
        <v>87.718355284781524</v>
      </c>
      <c r="BD32">
        <v>9.9987290000000009</v>
      </c>
      <c r="BE32">
        <v>0.49059999999999998</v>
      </c>
      <c r="BF32">
        <v>5.1238169999999998</v>
      </c>
      <c r="BG32">
        <v>88.551850267052174</v>
      </c>
      <c r="BH32">
        <v>324.98153184230057</v>
      </c>
    </row>
    <row r="33" spans="1:60" x14ac:dyDescent="0.15">
      <c r="A33" s="35" t="s">
        <v>133</v>
      </c>
      <c r="B33" s="5">
        <v>20</v>
      </c>
      <c r="C33" s="473" t="s">
        <v>147</v>
      </c>
      <c r="D33" s="34" t="s">
        <v>179</v>
      </c>
      <c r="E33" s="53"/>
      <c r="G33">
        <v>24</v>
      </c>
      <c r="H33">
        <f t="shared" si="0"/>
        <v>1.44</v>
      </c>
      <c r="I33" s="463">
        <f t="shared" si="1"/>
        <v>0.4179626666666667</v>
      </c>
      <c r="J33" s="464">
        <f t="shared" si="2"/>
        <v>3.5463498989898992</v>
      </c>
      <c r="K33" s="464">
        <f t="shared" si="31"/>
        <v>3.2131749494949498</v>
      </c>
      <c r="L33" s="464">
        <f t="shared" si="32"/>
        <v>-0.33317494949494963</v>
      </c>
      <c r="M33" s="77">
        <f t="shared" si="3"/>
        <v>6.6634989898989927</v>
      </c>
      <c r="N33" s="463">
        <f t="shared" si="4"/>
        <v>1.7668191193513478</v>
      </c>
      <c r="O33" s="463">
        <f t="shared" si="5"/>
        <v>2.1263327547672524E-2</v>
      </c>
      <c r="P33">
        <f t="shared" si="6"/>
        <v>0.4</v>
      </c>
      <c r="Q33" s="463">
        <f t="shared" si="34"/>
        <v>0.42126332754767254</v>
      </c>
      <c r="R33" s="9">
        <f t="shared" si="39"/>
        <v>1.0237430344112102</v>
      </c>
      <c r="S33" s="9">
        <f t="shared" si="7"/>
        <v>2.0960996010109447E-3</v>
      </c>
      <c r="T33" s="9">
        <f t="shared" si="40"/>
        <v>2.0960996010109447E-3</v>
      </c>
      <c r="U33" s="463">
        <f t="shared" si="8"/>
        <v>1.1422491300144357</v>
      </c>
      <c r="V33" s="465">
        <f t="shared" si="9"/>
        <v>4.3056191475618268E-4</v>
      </c>
      <c r="W33" s="463">
        <f t="shared" si="41"/>
        <v>4.3056191475618268E-4</v>
      </c>
      <c r="X33" s="463">
        <f t="shared" si="10"/>
        <v>1.1422491300144357</v>
      </c>
      <c r="Y33" s="463">
        <f t="shared" si="11"/>
        <v>5.2189323000749414E-3</v>
      </c>
      <c r="Z33" s="463">
        <f t="shared" si="12"/>
        <v>7.0022963522012607E-2</v>
      </c>
      <c r="AA33" s="463">
        <f t="shared" si="13"/>
        <v>1.334125252525252E-2</v>
      </c>
      <c r="AB33" s="463">
        <f t="shared" si="14"/>
        <v>2.4988121212121219E-3</v>
      </c>
      <c r="AC33" s="463">
        <f t="shared" si="15"/>
        <v>9.1129520348275803E-2</v>
      </c>
      <c r="AD33" s="463">
        <f t="shared" si="16"/>
        <v>1.3479305343699048</v>
      </c>
      <c r="AE33" s="463">
        <f t="shared" si="17"/>
        <v>7.2676669019469493E-3</v>
      </c>
      <c r="AF33" s="463">
        <f t="shared" si="18"/>
        <v>2.4098812121212121E-2</v>
      </c>
      <c r="AG33" s="463">
        <f t="shared" si="19"/>
        <v>3.1389291714806193E-2</v>
      </c>
      <c r="AH33" s="463">
        <f t="shared" si="20"/>
        <v>0</v>
      </c>
      <c r="AI33">
        <f t="shared" si="21"/>
        <v>0</v>
      </c>
      <c r="AJ33" s="464">
        <f t="shared" si="22"/>
        <v>0.1199424</v>
      </c>
      <c r="AK33">
        <f t="shared" si="23"/>
        <v>3.6000000000000004E-2</v>
      </c>
      <c r="AL33" s="464">
        <f t="shared" si="24"/>
        <v>0.27</v>
      </c>
      <c r="AM33" s="464">
        <f t="shared" si="25"/>
        <v>0.17963774597495527</v>
      </c>
      <c r="AN33" s="464">
        <f t="shared" si="42"/>
        <v>0.30600000000000005</v>
      </c>
      <c r="AO33" s="464">
        <f t="shared" si="26"/>
        <v>0.97225120112652164</v>
      </c>
      <c r="AP33" s="100">
        <f t="shared" si="27"/>
        <v>7.1999999999999993</v>
      </c>
      <c r="AQ33" s="10">
        <f t="shared" si="43"/>
        <v>0.88103018651794507</v>
      </c>
      <c r="AR33" s="77">
        <f t="shared" si="28"/>
        <v>2.2782380087068952</v>
      </c>
      <c r="AS33" s="77">
        <f t="shared" si="44"/>
        <v>0.78473229287015478</v>
      </c>
      <c r="AT33" s="10"/>
      <c r="AU33">
        <f t="shared" si="45"/>
        <v>88.103018651794514</v>
      </c>
      <c r="BD33">
        <v>9.9986420000000003</v>
      </c>
      <c r="BE33">
        <v>0.64549999999999996</v>
      </c>
      <c r="BF33">
        <v>5.1237300000000001</v>
      </c>
      <c r="BG33">
        <v>90.41893857119905</v>
      </c>
      <c r="BH33">
        <v>350.45848473660021</v>
      </c>
    </row>
    <row r="34" spans="1:60" x14ac:dyDescent="0.15">
      <c r="A34" s="37" t="s">
        <v>119</v>
      </c>
      <c r="B34" s="28" t="s">
        <v>201</v>
      </c>
      <c r="C34" s="37" t="s">
        <v>148</v>
      </c>
      <c r="D34" s="30" t="s">
        <v>188</v>
      </c>
      <c r="E34" s="53"/>
      <c r="G34">
        <v>25</v>
      </c>
      <c r="H34">
        <f t="shared" si="0"/>
        <v>1.5</v>
      </c>
      <c r="I34" s="463">
        <f t="shared" si="1"/>
        <v>0.4180166666666667</v>
      </c>
      <c r="J34" s="464">
        <f t="shared" si="2"/>
        <v>3.5468080808080815</v>
      </c>
      <c r="K34" s="464">
        <f t="shared" si="31"/>
        <v>3.2734040404040408</v>
      </c>
      <c r="L34" s="464">
        <f t="shared" si="32"/>
        <v>-0.27340404040404076</v>
      </c>
      <c r="M34" s="77">
        <f t="shared" si="3"/>
        <v>5.4680808080808152</v>
      </c>
      <c r="N34" s="463">
        <f t="shared" si="4"/>
        <v>1.8161279223044262</v>
      </c>
      <c r="O34" s="463">
        <f t="shared" si="5"/>
        <v>2.2468895920066793E-2</v>
      </c>
      <c r="P34">
        <f t="shared" si="6"/>
        <v>0.4</v>
      </c>
      <c r="Q34" s="463">
        <f t="shared" si="34"/>
        <v>0.42246889592006681</v>
      </c>
      <c r="R34" s="9">
        <f t="shared" si="39"/>
        <v>1.0238753001092429</v>
      </c>
      <c r="S34" s="9">
        <f t="shared" si="7"/>
        <v>2.0966412603475844E-3</v>
      </c>
      <c r="T34" s="9">
        <f t="shared" si="40"/>
        <v>2.0966412603475844E-3</v>
      </c>
      <c r="U34" s="463">
        <f t="shared" si="8"/>
        <v>1.1742031320956132</v>
      </c>
      <c r="V34" s="465">
        <f t="shared" si="9"/>
        <v>4.5498848848963885E-4</v>
      </c>
      <c r="W34" s="463">
        <f t="shared" si="41"/>
        <v>4.5498848848963885E-4</v>
      </c>
      <c r="X34" s="463">
        <f t="shared" si="10"/>
        <v>1.1742031320956132</v>
      </c>
      <c r="Y34" s="463">
        <f t="shared" si="11"/>
        <v>5.5150119816925929E-3</v>
      </c>
      <c r="Z34" s="463">
        <f t="shared" si="12"/>
        <v>7.1335503144654117E-2</v>
      </c>
      <c r="AA34" s="463">
        <f t="shared" si="13"/>
        <v>1.6329797979797962E-2</v>
      </c>
      <c r="AB34" s="463">
        <f t="shared" si="14"/>
        <v>2.0505303030303053E-3</v>
      </c>
      <c r="AC34" s="463">
        <f t="shared" si="15"/>
        <v>9.5283392314201881E-2</v>
      </c>
      <c r="AD34" s="463">
        <f t="shared" si="16"/>
        <v>1.385484620900082</v>
      </c>
      <c r="AE34" s="463">
        <f t="shared" si="17"/>
        <v>7.6782705390025753E-3</v>
      </c>
      <c r="AF34" s="463">
        <f t="shared" si="18"/>
        <v>2.4550530303030303E-2</v>
      </c>
      <c r="AG34" s="463">
        <f t="shared" si="19"/>
        <v>3.2253566002594422E-2</v>
      </c>
      <c r="AH34" s="463">
        <f t="shared" si="20"/>
        <v>0</v>
      </c>
      <c r="AI34">
        <f t="shared" si="21"/>
        <v>0</v>
      </c>
      <c r="AJ34" s="464">
        <f t="shared" si="22"/>
        <v>0.11994</v>
      </c>
      <c r="AK34">
        <f t="shared" si="23"/>
        <v>3.6000000000000004E-2</v>
      </c>
      <c r="AL34" s="464">
        <f t="shared" si="24"/>
        <v>0.27</v>
      </c>
      <c r="AM34" s="464">
        <f t="shared" si="25"/>
        <v>0.17963774597495527</v>
      </c>
      <c r="AN34" s="464">
        <f t="shared" si="42"/>
        <v>0.30600000000000005</v>
      </c>
      <c r="AO34" s="464">
        <f t="shared" si="26"/>
        <v>0.97849748398570047</v>
      </c>
      <c r="AP34" s="100">
        <f t="shared" si="27"/>
        <v>7.5</v>
      </c>
      <c r="AQ34" s="10">
        <f t="shared" si="43"/>
        <v>0.88459069713308291</v>
      </c>
      <c r="AR34" s="77">
        <f t="shared" si="28"/>
        <v>2.3820848078550472</v>
      </c>
      <c r="AS34" s="77">
        <f t="shared" si="44"/>
        <v>0.80633915006486057</v>
      </c>
      <c r="AT34" s="10"/>
      <c r="AU34">
        <f t="shared" si="45"/>
        <v>88.459069713308295</v>
      </c>
      <c r="BD34">
        <v>9.9986049999999995</v>
      </c>
      <c r="BE34">
        <v>0.83240000000000003</v>
      </c>
      <c r="BF34">
        <v>5.1231559999999998</v>
      </c>
      <c r="BG34">
        <v>91.678946361105133</v>
      </c>
      <c r="BH34">
        <v>387.05996035199956</v>
      </c>
    </row>
    <row r="35" spans="1:60" x14ac:dyDescent="0.15">
      <c r="A35" s="35" t="s">
        <v>249</v>
      </c>
      <c r="B35" s="5">
        <f>Iq*1000</f>
        <v>3</v>
      </c>
      <c r="C35" s="473" t="s">
        <v>135</v>
      </c>
      <c r="D35" s="34" t="s">
        <v>259</v>
      </c>
      <c r="G35">
        <v>26</v>
      </c>
      <c r="H35">
        <f t="shared" si="0"/>
        <v>1.56</v>
      </c>
      <c r="I35" s="463">
        <f t="shared" si="1"/>
        <v>0.4180706666666667</v>
      </c>
      <c r="J35" s="464">
        <f t="shared" si="2"/>
        <v>3.547266262626263</v>
      </c>
      <c r="K35" s="464">
        <f t="shared" si="31"/>
        <v>3.3336331313131318</v>
      </c>
      <c r="L35" s="464">
        <f t="shared" si="32"/>
        <v>-0.21363313131313144</v>
      </c>
      <c r="M35" s="77">
        <f t="shared" si="3"/>
        <v>4.2726626262626288</v>
      </c>
      <c r="N35" s="463">
        <f t="shared" si="4"/>
        <v>1.8660631004418209</v>
      </c>
      <c r="O35" s="463">
        <f t="shared" si="5"/>
        <v>2.372384252854429E-2</v>
      </c>
      <c r="P35">
        <f t="shared" si="6"/>
        <v>0.4</v>
      </c>
      <c r="Q35" s="463">
        <f t="shared" si="34"/>
        <v>0.42372384252854434</v>
      </c>
      <c r="R35" s="9">
        <f t="shared" si="39"/>
        <v>1.0240075658072754</v>
      </c>
      <c r="S35" s="9">
        <f t="shared" si="7"/>
        <v>2.0971829896610831E-3</v>
      </c>
      <c r="T35" s="9">
        <f t="shared" si="40"/>
        <v>2.0971829896610831E-3</v>
      </c>
      <c r="U35" s="463">
        <f t="shared" si="8"/>
        <v>1.2065662516848386</v>
      </c>
      <c r="V35" s="465">
        <f t="shared" si="9"/>
        <v>4.8041469950258441E-4</v>
      </c>
      <c r="W35" s="463">
        <f t="shared" si="41"/>
        <v>4.8041469950258441E-4</v>
      </c>
      <c r="X35" s="463">
        <f t="shared" si="10"/>
        <v>1.2065662516848386</v>
      </c>
      <c r="Y35" s="463">
        <f t="shared" si="11"/>
        <v>5.8232084788192046E-3</v>
      </c>
      <c r="Z35" s="463">
        <f t="shared" si="12"/>
        <v>7.2648042767295612E-2</v>
      </c>
      <c r="AA35" s="463">
        <f t="shared" si="13"/>
        <v>1.9318343434343428E-2</v>
      </c>
      <c r="AB35" s="463">
        <f t="shared" si="14"/>
        <v>1.6022484848484857E-3</v>
      </c>
      <c r="AC35" s="463">
        <f t="shared" si="15"/>
        <v>9.9449754830861478E-2</v>
      </c>
      <c r="AD35" s="463">
        <f t="shared" si="16"/>
        <v>1.4235130400265885</v>
      </c>
      <c r="AE35" s="463">
        <f t="shared" si="17"/>
        <v>8.1055575005029596E-3</v>
      </c>
      <c r="AF35" s="463">
        <f t="shared" si="18"/>
        <v>2.5002248484848489E-2</v>
      </c>
      <c r="AG35" s="463">
        <f t="shared" si="19"/>
        <v>3.3134663477359008E-2</v>
      </c>
      <c r="AH35" s="463">
        <f t="shared" si="20"/>
        <v>0</v>
      </c>
      <c r="AI35">
        <f t="shared" si="21"/>
        <v>0</v>
      </c>
      <c r="AJ35" s="464">
        <f t="shared" si="22"/>
        <v>0.11993760000000001</v>
      </c>
      <c r="AK35">
        <f t="shared" si="23"/>
        <v>3.6000000000000004E-2</v>
      </c>
      <c r="AL35" s="464">
        <f t="shared" si="24"/>
        <v>0.27</v>
      </c>
      <c r="AM35" s="464">
        <f t="shared" si="25"/>
        <v>0.17963774597495527</v>
      </c>
      <c r="AN35" s="464">
        <f t="shared" si="42"/>
        <v>0.30600000000000005</v>
      </c>
      <c r="AO35" s="464">
        <f t="shared" si="26"/>
        <v>0.98482345852592856</v>
      </c>
      <c r="AP35" s="100">
        <f t="shared" si="27"/>
        <v>7.8000000000000007</v>
      </c>
      <c r="AQ35" s="10">
        <f t="shared" si="43"/>
        <v>0.88789490612129163</v>
      </c>
      <c r="AR35" s="77">
        <f t="shared" si="28"/>
        <v>2.4862438707715371</v>
      </c>
      <c r="AS35" s="77">
        <f t="shared" si="44"/>
        <v>0.82836658693397525</v>
      </c>
      <c r="AT35" s="10"/>
      <c r="AU35">
        <f t="shared" si="45"/>
        <v>88.789490612129157</v>
      </c>
      <c r="BD35">
        <v>9.9986049999999995</v>
      </c>
      <c r="BE35">
        <v>1.0528999999999999</v>
      </c>
      <c r="BF35">
        <v>5.1218219999999999</v>
      </c>
      <c r="BG35">
        <v>92.889938966292178</v>
      </c>
      <c r="BH35">
        <v>412.77762981700039</v>
      </c>
    </row>
    <row r="36" spans="1:60" x14ac:dyDescent="0.15">
      <c r="A36" s="37" t="s">
        <v>129</v>
      </c>
      <c r="B36" s="28" t="s">
        <v>201</v>
      </c>
      <c r="C36" s="37" t="s">
        <v>148</v>
      </c>
      <c r="D36" s="30" t="s">
        <v>188</v>
      </c>
      <c r="G36">
        <v>27</v>
      </c>
      <c r="H36">
        <f t="shared" si="0"/>
        <v>1.62</v>
      </c>
      <c r="I36" s="463">
        <f t="shared" si="1"/>
        <v>0.41812466666666664</v>
      </c>
      <c r="J36" s="464">
        <f t="shared" si="2"/>
        <v>3.5477244444444445</v>
      </c>
      <c r="K36" s="464">
        <f t="shared" si="31"/>
        <v>3.3938622222222223</v>
      </c>
      <c r="L36" s="464">
        <f t="shared" si="32"/>
        <v>-0.15386222222222212</v>
      </c>
      <c r="M36" s="77">
        <f t="shared" si="3"/>
        <v>3.0772444444444425</v>
      </c>
      <c r="N36" s="463">
        <f t="shared" si="4"/>
        <v>1.91657569495069</v>
      </c>
      <c r="O36" s="463">
        <f t="shared" si="5"/>
        <v>2.5028196995780308E-2</v>
      </c>
      <c r="P36">
        <f t="shared" si="6"/>
        <v>0.4</v>
      </c>
      <c r="Q36" s="463">
        <f t="shared" si="34"/>
        <v>0.42502819699578032</v>
      </c>
      <c r="R36" s="9">
        <f t="shared" si="39"/>
        <v>1.0241398315053079</v>
      </c>
      <c r="S36" s="9">
        <f t="shared" si="7"/>
        <v>2.0977247889514407E-3</v>
      </c>
      <c r="T36" s="9">
        <f t="shared" si="40"/>
        <v>2.0977247889514407E-3</v>
      </c>
      <c r="U36" s="463">
        <f t="shared" si="8"/>
        <v>1.2393069088282218</v>
      </c>
      <c r="V36" s="465">
        <f t="shared" si="9"/>
        <v>5.0684093270888966E-4</v>
      </c>
      <c r="W36" s="463">
        <f t="shared" si="41"/>
        <v>5.0684093270888966E-4</v>
      </c>
      <c r="X36" s="463">
        <f t="shared" si="10"/>
        <v>1.2393069088282218</v>
      </c>
      <c r="Y36" s="463">
        <f t="shared" si="11"/>
        <v>6.1435264570774504E-3</v>
      </c>
      <c r="Z36" s="463">
        <f t="shared" si="12"/>
        <v>7.3960582389937121E-2</v>
      </c>
      <c r="AA36" s="463">
        <f t="shared" si="13"/>
        <v>2.2306888888888893E-2</v>
      </c>
      <c r="AB36" s="463">
        <f t="shared" si="14"/>
        <v>1.1539666666666659E-3</v>
      </c>
      <c r="AC36" s="463">
        <f t="shared" si="15"/>
        <v>0.10362862892492124</v>
      </c>
      <c r="AD36" s="463">
        <f t="shared" si="16"/>
        <v>1.4619783788436675</v>
      </c>
      <c r="AE36" s="463">
        <f t="shared" si="17"/>
        <v>8.5495231208254346E-3</v>
      </c>
      <c r="AF36" s="463">
        <f t="shared" si="18"/>
        <v>2.5453966666666668E-2</v>
      </c>
      <c r="AG36" s="463">
        <f t="shared" si="19"/>
        <v>3.4032586025600838E-2</v>
      </c>
      <c r="AH36" s="463">
        <f t="shared" si="20"/>
        <v>0</v>
      </c>
      <c r="AI36">
        <f t="shared" si="21"/>
        <v>0</v>
      </c>
      <c r="AJ36" s="464">
        <f t="shared" si="22"/>
        <v>0.11993520000000001</v>
      </c>
      <c r="AK36">
        <f t="shared" si="23"/>
        <v>3.6000000000000004E-2</v>
      </c>
      <c r="AL36" s="464">
        <f t="shared" si="24"/>
        <v>0.27</v>
      </c>
      <c r="AM36" s="464">
        <f t="shared" si="25"/>
        <v>0.17963774597495527</v>
      </c>
      <c r="AN36" s="464">
        <f t="shared" si="42"/>
        <v>0.30600000000000005</v>
      </c>
      <c r="AO36" s="464">
        <f t="shared" si="26"/>
        <v>0.99122917766796281</v>
      </c>
      <c r="AP36" s="100">
        <f t="shared" si="27"/>
        <v>8.1000000000000014</v>
      </c>
      <c r="AQ36" s="10">
        <f t="shared" si="43"/>
        <v>0.8909686294013075</v>
      </c>
      <c r="AR36" s="77">
        <f t="shared" si="28"/>
        <v>2.5907157231230311</v>
      </c>
      <c r="AS36" s="77">
        <f t="shared" si="44"/>
        <v>0.85081465064002093</v>
      </c>
      <c r="AT36" s="10"/>
      <c r="AU36">
        <f t="shared" si="45"/>
        <v>89.096862940130748</v>
      </c>
      <c r="BD36">
        <v>9.9986669999999993</v>
      </c>
      <c r="BE36">
        <v>1.3092999999999999</v>
      </c>
      <c r="BF36">
        <v>5.1195649999999997</v>
      </c>
      <c r="BG36">
        <v>93.690364214923264</v>
      </c>
      <c r="BH36">
        <v>451.42072788069993</v>
      </c>
    </row>
    <row r="37" spans="1:60" x14ac:dyDescent="0.15">
      <c r="A37" s="36" t="s">
        <v>142</v>
      </c>
      <c r="B37" s="5">
        <f>RdsonTop*1000</f>
        <v>4</v>
      </c>
      <c r="C37" s="473" t="s">
        <v>622</v>
      </c>
      <c r="D37" s="34" t="s">
        <v>194</v>
      </c>
      <c r="G37">
        <v>28</v>
      </c>
      <c r="H37">
        <f t="shared" si="0"/>
        <v>1.6800000000000002</v>
      </c>
      <c r="I37" s="463">
        <f t="shared" si="1"/>
        <v>0.41817866666666664</v>
      </c>
      <c r="J37" s="464">
        <f t="shared" si="2"/>
        <v>3.5481826262626264</v>
      </c>
      <c r="K37" s="464">
        <f t="shared" si="31"/>
        <v>3.4540913131313133</v>
      </c>
      <c r="L37" s="464">
        <f t="shared" si="32"/>
        <v>-9.4091313131313026E-2</v>
      </c>
      <c r="M37" s="77">
        <f t="shared" si="3"/>
        <v>1.8818262626262605</v>
      </c>
      <c r="N37" s="463">
        <f t="shared" si="4"/>
        <v>1.9676212361908807</v>
      </c>
      <c r="O37" s="463">
        <f t="shared" si="5"/>
        <v>2.6381990120140301E-2</v>
      </c>
      <c r="P37">
        <f t="shared" si="6"/>
        <v>0.4</v>
      </c>
      <c r="Q37" s="463">
        <f t="shared" si="34"/>
        <v>0.42638199012014033</v>
      </c>
      <c r="R37" s="9">
        <f t="shared" si="39"/>
        <v>1.0242720972033403</v>
      </c>
      <c r="S37" s="9">
        <f t="shared" si="7"/>
        <v>2.0982666582186581E-3</v>
      </c>
      <c r="T37" s="9">
        <f t="shared" si="40"/>
        <v>2.0982666582186581E-3</v>
      </c>
      <c r="U37" s="463">
        <f t="shared" si="8"/>
        <v>1.272396418386385</v>
      </c>
      <c r="V37" s="465">
        <f t="shared" si="9"/>
        <v>5.3426757302242514E-4</v>
      </c>
      <c r="W37" s="463">
        <f t="shared" si="41"/>
        <v>5.3426757302242514E-4</v>
      </c>
      <c r="X37" s="463">
        <f t="shared" si="10"/>
        <v>1.272396418386385</v>
      </c>
      <c r="Y37" s="463">
        <f t="shared" si="11"/>
        <v>6.4759705820900014E-3</v>
      </c>
      <c r="Z37" s="463">
        <f t="shared" si="12"/>
        <v>7.527312201257863E-2</v>
      </c>
      <c r="AA37" s="463">
        <f t="shared" si="13"/>
        <v>2.5295434343434349E-2</v>
      </c>
      <c r="AB37" s="463">
        <f t="shared" si="14"/>
        <v>7.0568484848484764E-4</v>
      </c>
      <c r="AC37" s="463">
        <f t="shared" si="15"/>
        <v>0.10782003572453902</v>
      </c>
      <c r="AD37" s="463">
        <f t="shared" si="16"/>
        <v>1.5008466555870486</v>
      </c>
      <c r="AE37" s="463">
        <f t="shared" si="17"/>
        <v>9.0101627343473142E-3</v>
      </c>
      <c r="AF37" s="463">
        <f t="shared" si="18"/>
        <v>2.590568484848485E-2</v>
      </c>
      <c r="AG37" s="463">
        <f t="shared" si="19"/>
        <v>3.4947335701011967E-2</v>
      </c>
      <c r="AH37" s="463">
        <f t="shared" si="20"/>
        <v>0</v>
      </c>
      <c r="AI37">
        <f t="shared" si="21"/>
        <v>0</v>
      </c>
      <c r="AJ37" s="464">
        <f t="shared" si="22"/>
        <v>0.11993280000000001</v>
      </c>
      <c r="AK37">
        <f t="shared" si="23"/>
        <v>3.6000000000000004E-2</v>
      </c>
      <c r="AL37" s="464">
        <f t="shared" si="24"/>
        <v>0.27</v>
      </c>
      <c r="AM37" s="464">
        <f t="shared" si="25"/>
        <v>0.17963774597495527</v>
      </c>
      <c r="AN37" s="464">
        <f t="shared" si="42"/>
        <v>0.30600000000000005</v>
      </c>
      <c r="AO37" s="464">
        <f t="shared" si="26"/>
        <v>0.9977146957769325</v>
      </c>
      <c r="AP37" s="100">
        <f t="shared" si="27"/>
        <v>8.4</v>
      </c>
      <c r="AQ37" s="10">
        <f t="shared" si="43"/>
        <v>0.89383432801750429</v>
      </c>
      <c r="AR37" s="77">
        <f t="shared" si="28"/>
        <v>2.6955008931134756</v>
      </c>
      <c r="AS37" s="77">
        <f t="shared" si="44"/>
        <v>0.87368339252529914</v>
      </c>
      <c r="AT37" s="10"/>
      <c r="AU37">
        <f t="shared" si="45"/>
        <v>89.38343280175043</v>
      </c>
      <c r="BD37">
        <v>9.9985429999999997</v>
      </c>
      <c r="BE37">
        <v>1.6020000000000001</v>
      </c>
      <c r="BF37">
        <v>5.1182809999999996</v>
      </c>
      <c r="BG37">
        <v>93.864473327748414</v>
      </c>
      <c r="BH37">
        <v>535.96589716749952</v>
      </c>
    </row>
    <row r="38" spans="1:60" x14ac:dyDescent="0.15">
      <c r="A38" s="35" t="s">
        <v>152</v>
      </c>
      <c r="B38" s="5">
        <v>4500</v>
      </c>
      <c r="C38" s="473" t="s">
        <v>623</v>
      </c>
      <c r="D38" s="34" t="s">
        <v>193</v>
      </c>
      <c r="G38">
        <v>29</v>
      </c>
      <c r="H38">
        <f t="shared" si="0"/>
        <v>1.7399999999999998</v>
      </c>
      <c r="I38" s="463">
        <f t="shared" si="1"/>
        <v>0.4182326666666667</v>
      </c>
      <c r="J38" s="464">
        <f t="shared" si="2"/>
        <v>3.5486408080808087</v>
      </c>
      <c r="K38" s="464">
        <f t="shared" si="31"/>
        <v>3.5143204040404044</v>
      </c>
      <c r="L38" s="464">
        <f t="shared" si="32"/>
        <v>-3.4320404040404595E-2</v>
      </c>
      <c r="M38" s="77">
        <f t="shared" si="3"/>
        <v>0.6864080808080919</v>
      </c>
      <c r="N38" s="463">
        <f t="shared" si="4"/>
        <v>2.0191593049413825</v>
      </c>
      <c r="O38" s="463">
        <f t="shared" si="5"/>
        <v>2.7785253877501248E-2</v>
      </c>
      <c r="P38">
        <f t="shared" si="6"/>
        <v>0.4</v>
      </c>
      <c r="Q38" s="463">
        <f t="shared" si="34"/>
        <v>0.42778525387750127</v>
      </c>
      <c r="R38" s="9">
        <f t="shared" si="39"/>
        <v>1.024404362901373</v>
      </c>
      <c r="S38" s="9">
        <f t="shared" si="7"/>
        <v>2.0988085974627362E-3</v>
      </c>
      <c r="T38" s="9">
        <f t="shared" si="40"/>
        <v>2.0988085974627362E-3</v>
      </c>
      <c r="U38" s="463">
        <f t="shared" si="8"/>
        <v>1.305808707227013</v>
      </c>
      <c r="V38" s="465">
        <f t="shared" si="9"/>
        <v>5.6269500535706147E-4</v>
      </c>
      <c r="W38" s="463">
        <f t="shared" si="41"/>
        <v>5.6269500535706147E-4</v>
      </c>
      <c r="X38" s="463">
        <f t="shared" si="10"/>
        <v>1.305808707227013</v>
      </c>
      <c r="Y38" s="463">
        <f t="shared" si="11"/>
        <v>6.8205455194795322E-3</v>
      </c>
      <c r="Z38" s="463">
        <f t="shared" si="12"/>
        <v>7.658566163522014E-2</v>
      </c>
      <c r="AA38" s="463">
        <f t="shared" si="13"/>
        <v>2.8283979797979766E-2</v>
      </c>
      <c r="AB38" s="463">
        <f t="shared" si="14"/>
        <v>2.574030303030344E-4</v>
      </c>
      <c r="AC38" s="463">
        <f t="shared" si="15"/>
        <v>0.11202399645969519</v>
      </c>
      <c r="AD38" s="463">
        <f t="shared" si="16"/>
        <v>1.5400869841867648</v>
      </c>
      <c r="AE38" s="463">
        <f t="shared" si="17"/>
        <v>9.4874716754459361E-3</v>
      </c>
      <c r="AF38" s="463">
        <f t="shared" si="18"/>
        <v>2.6357403030303032E-2</v>
      </c>
      <c r="AG38" s="463">
        <f t="shared" si="19"/>
        <v>3.5878914724468386E-2</v>
      </c>
      <c r="AH38" s="463">
        <f t="shared" si="20"/>
        <v>0</v>
      </c>
      <c r="AI38">
        <f t="shared" si="21"/>
        <v>0</v>
      </c>
      <c r="AJ38" s="464">
        <f t="shared" si="22"/>
        <v>0.11993040000000001</v>
      </c>
      <c r="AK38">
        <f t="shared" si="23"/>
        <v>3.6000000000000004E-2</v>
      </c>
      <c r="AL38" s="464">
        <f t="shared" si="24"/>
        <v>0.27</v>
      </c>
      <c r="AM38" s="464">
        <f t="shared" si="25"/>
        <v>0.17963774597495527</v>
      </c>
      <c r="AN38" s="464">
        <f t="shared" si="42"/>
        <v>0.30600000000000005</v>
      </c>
      <c r="AO38" s="464">
        <f t="shared" si="26"/>
        <v>1.0042800686644846</v>
      </c>
      <c r="AP38" s="100">
        <f t="shared" si="27"/>
        <v>8.6999999999999993</v>
      </c>
      <c r="AQ38" s="10">
        <f t="shared" si="43"/>
        <v>0.89651163594223271</v>
      </c>
      <c r="AR38" s="77">
        <f t="shared" si="28"/>
        <v>2.8005999114923794</v>
      </c>
      <c r="AS38" s="77">
        <f t="shared" si="44"/>
        <v>0.89697286811170962</v>
      </c>
      <c r="AT38" s="10"/>
      <c r="AU38">
        <f t="shared" si="45"/>
        <v>89.651163594223277</v>
      </c>
      <c r="BD38">
        <v>9.9985429999999997</v>
      </c>
      <c r="BE38">
        <v>1.9350000000000001</v>
      </c>
      <c r="BF38">
        <v>5.117146</v>
      </c>
      <c r="BG38">
        <v>94.224527198076927</v>
      </c>
      <c r="BH38">
        <v>606.92116405899924</v>
      </c>
    </row>
    <row r="39" spans="1:60" x14ac:dyDescent="0.15">
      <c r="A39" s="36" t="s">
        <v>141</v>
      </c>
      <c r="B39" s="5">
        <f>QgTop*1000000000</f>
        <v>45</v>
      </c>
      <c r="C39" s="473" t="s">
        <v>136</v>
      </c>
      <c r="D39" s="34" t="s">
        <v>180</v>
      </c>
      <c r="G39">
        <v>30</v>
      </c>
      <c r="H39">
        <f t="shared" si="0"/>
        <v>1.7999999999999998</v>
      </c>
      <c r="I39" s="463">
        <f t="shared" si="1"/>
        <v>0.4182866666666667</v>
      </c>
      <c r="J39" s="464">
        <f t="shared" si="2"/>
        <v>3.5490989898989902</v>
      </c>
      <c r="K39" s="464">
        <f t="shared" si="31"/>
        <v>3.5745494949494949</v>
      </c>
      <c r="L39" s="464">
        <f t="shared" si="32"/>
        <v>2.5450505050504724E-2</v>
      </c>
      <c r="M39" s="77">
        <f t="shared" si="3"/>
        <v>0</v>
      </c>
      <c r="N39" s="463">
        <f t="shared" si="4"/>
        <v>2.0711531337257116</v>
      </c>
      <c r="O39" s="463">
        <f t="shared" si="5"/>
        <v>2.9238021423143565E-2</v>
      </c>
      <c r="P39">
        <f t="shared" si="6"/>
        <v>0.4</v>
      </c>
      <c r="Q39" s="463">
        <f t="shared" si="34"/>
        <v>0.4292380214231436</v>
      </c>
      <c r="R39" s="9">
        <f t="shared" si="39"/>
        <v>1.0245366285994055</v>
      </c>
      <c r="S39" s="9">
        <f t="shared" si="7"/>
        <v>2.0993506066836723E-3</v>
      </c>
      <c r="T39" s="9">
        <f t="shared" si="40"/>
        <v>2.0993506066836723E-3</v>
      </c>
      <c r="U39" s="463">
        <f t="shared" si="8"/>
        <v>1.339520057228401</v>
      </c>
      <c r="V39" s="465">
        <f t="shared" si="9"/>
        <v>5.9212361462666896E-4</v>
      </c>
      <c r="W39" s="463">
        <f t="shared" si="41"/>
        <v>5.9212361462666896E-4</v>
      </c>
      <c r="X39" s="463">
        <f t="shared" si="10"/>
        <v>1.339520057228401</v>
      </c>
      <c r="Y39" s="463">
        <f t="shared" si="11"/>
        <v>7.177255934868715E-3</v>
      </c>
      <c r="Z39" s="463">
        <f t="shared" si="12"/>
        <v>7.8116753922050003E-2</v>
      </c>
      <c r="AA39" s="463">
        <f t="shared" si="13"/>
        <v>3.0000000000000002E-2</v>
      </c>
      <c r="AB39" s="463">
        <f t="shared" si="14"/>
        <v>0</v>
      </c>
      <c r="AC39" s="463">
        <f t="shared" si="15"/>
        <v>0.11537681875263257</v>
      </c>
      <c r="AD39" s="463">
        <f t="shared" si="16"/>
        <v>1.5796712694812984</v>
      </c>
      <c r="AE39" s="463">
        <f t="shared" si="17"/>
        <v>9.9814452784986272E-3</v>
      </c>
      <c r="AF39" s="463">
        <f t="shared" si="18"/>
        <v>2.6999999999999996E-2</v>
      </c>
      <c r="AG39" s="463">
        <f t="shared" si="19"/>
        <v>3.7018394986884563E-2</v>
      </c>
      <c r="AH39" s="463">
        <f t="shared" si="20"/>
        <v>0</v>
      </c>
      <c r="AI39">
        <f t="shared" si="21"/>
        <v>0</v>
      </c>
      <c r="AJ39" s="464">
        <f t="shared" si="22"/>
        <v>0.11992800000000001</v>
      </c>
      <c r="AK39">
        <f t="shared" si="23"/>
        <v>3.6000000000000004E-2</v>
      </c>
      <c r="AL39" s="464">
        <f t="shared" si="24"/>
        <v>0.27</v>
      </c>
      <c r="AM39" s="464">
        <f t="shared" si="25"/>
        <v>0.17963774597495527</v>
      </c>
      <c r="AN39" s="464">
        <f t="shared" si="42"/>
        <v>0.30600000000000005</v>
      </c>
      <c r="AO39" s="464">
        <f t="shared" si="26"/>
        <v>1.010252709383971</v>
      </c>
      <c r="AP39" s="100">
        <f t="shared" si="27"/>
        <v>9</v>
      </c>
      <c r="AQ39" s="10">
        <f t="shared" si="43"/>
        <v>0.89907820124891313</v>
      </c>
      <c r="AR39" s="77">
        <f t="shared" si="28"/>
        <v>2.8844204688158142</v>
      </c>
      <c r="AS39" s="77">
        <f t="shared" si="44"/>
        <v>0.9254598746721141</v>
      </c>
      <c r="AT39" s="10"/>
      <c r="AU39">
        <f t="shared" si="45"/>
        <v>89.907820124891316</v>
      </c>
      <c r="BD39">
        <v>9.9985060000000008</v>
      </c>
      <c r="BE39">
        <v>2.31</v>
      </c>
      <c r="BF39">
        <v>5.1166349999999996</v>
      </c>
      <c r="BG39">
        <v>94.492663502717292</v>
      </c>
      <c r="BH39">
        <v>688.87413060200208</v>
      </c>
    </row>
    <row r="40" spans="1:60" x14ac:dyDescent="0.15">
      <c r="A40" s="36" t="s">
        <v>218</v>
      </c>
      <c r="B40" s="5">
        <f>QgdTop*1000000000</f>
        <v>8</v>
      </c>
      <c r="C40" s="473" t="s">
        <v>136</v>
      </c>
      <c r="D40" s="42" t="s">
        <v>219</v>
      </c>
      <c r="G40">
        <v>31</v>
      </c>
      <c r="H40">
        <f t="shared" si="0"/>
        <v>1.8599999999999999</v>
      </c>
      <c r="I40" s="463">
        <f t="shared" si="1"/>
        <v>0.41834066666666669</v>
      </c>
      <c r="J40" s="464">
        <f t="shared" si="2"/>
        <v>3.5495571717171726</v>
      </c>
      <c r="K40" s="464">
        <f t="shared" si="31"/>
        <v>3.6347785858585864</v>
      </c>
      <c r="L40" s="464">
        <f t="shared" si="32"/>
        <v>8.5221414141413598E-2</v>
      </c>
      <c r="M40" s="77">
        <f t="shared" si="3"/>
        <v>0</v>
      </c>
      <c r="N40" s="463">
        <f t="shared" si="4"/>
        <v>2.1235692460903492</v>
      </c>
      <c r="O40" s="463">
        <f t="shared" si="5"/>
        <v>3.0740327093713674E-2</v>
      </c>
      <c r="P40">
        <f t="shared" si="6"/>
        <v>0.4</v>
      </c>
      <c r="Q40" s="463">
        <f t="shared" si="34"/>
        <v>0.43074032709371368</v>
      </c>
      <c r="R40" s="9">
        <f t="shared" si="39"/>
        <v>1.0246688942974382</v>
      </c>
      <c r="S40" s="9">
        <f t="shared" si="7"/>
        <v>2.0998926858814696E-3</v>
      </c>
      <c r="T40" s="9">
        <f t="shared" si="40"/>
        <v>2.0998926858814696E-3</v>
      </c>
      <c r="U40" s="463">
        <f t="shared" si="8"/>
        <v>1.3735088727307354</v>
      </c>
      <c r="V40" s="465">
        <f t="shared" si="9"/>
        <v>6.2255378574511836E-4</v>
      </c>
      <c r="W40" s="463">
        <f t="shared" si="41"/>
        <v>6.2255378574511836E-4</v>
      </c>
      <c r="X40" s="463">
        <f t="shared" si="10"/>
        <v>1.3735088727307354</v>
      </c>
      <c r="Y40" s="463">
        <f t="shared" si="11"/>
        <v>7.5461064938802218E-3</v>
      </c>
      <c r="Z40" s="463">
        <f t="shared" si="12"/>
        <v>7.9942567894133884E-2</v>
      </c>
      <c r="AA40" s="463">
        <f t="shared" si="13"/>
        <v>3.0000000000000002E-2</v>
      </c>
      <c r="AB40" s="463">
        <f t="shared" si="14"/>
        <v>0</v>
      </c>
      <c r="AC40" s="463">
        <f t="shared" si="15"/>
        <v>0.11757739954583875</v>
      </c>
      <c r="AD40" s="463">
        <f t="shared" si="16"/>
        <v>1.6195739314618147</v>
      </c>
      <c r="AE40" s="463">
        <f t="shared" si="17"/>
        <v>1.0492078877882715E-2</v>
      </c>
      <c r="AF40" s="463">
        <f t="shared" si="18"/>
        <v>2.7899999999999998E-2</v>
      </c>
      <c r="AG40" s="463">
        <f t="shared" si="19"/>
        <v>3.8432402457687975E-2</v>
      </c>
      <c r="AH40" s="463">
        <f t="shared" si="20"/>
        <v>0</v>
      </c>
      <c r="AI40">
        <f t="shared" si="21"/>
        <v>0</v>
      </c>
      <c r="AJ40" s="464">
        <f t="shared" si="22"/>
        <v>0.11992559999999999</v>
      </c>
      <c r="AK40">
        <f t="shared" si="23"/>
        <v>3.6000000000000004E-2</v>
      </c>
      <c r="AL40" s="464">
        <f t="shared" si="24"/>
        <v>0.27</v>
      </c>
      <c r="AM40" s="464">
        <f t="shared" si="25"/>
        <v>0.17963774597495527</v>
      </c>
      <c r="AN40" s="464">
        <f t="shared" si="42"/>
        <v>0.30600000000000005</v>
      </c>
      <c r="AO40" s="464">
        <f t="shared" si="26"/>
        <v>1.015398175568867</v>
      </c>
      <c r="AP40" s="100">
        <f t="shared" si="27"/>
        <v>9.2999999999999989</v>
      </c>
      <c r="AQ40" s="10">
        <f t="shared" si="43"/>
        <v>0.90156481036536718</v>
      </c>
      <c r="AR40" s="77">
        <f t="shared" si="28"/>
        <v>2.9394349886459685</v>
      </c>
      <c r="AS40" s="77">
        <f t="shared" si="44"/>
        <v>0.96081006144219938</v>
      </c>
      <c r="AT40" s="10"/>
      <c r="AU40">
        <f t="shared" si="45"/>
        <v>90.156481036536718</v>
      </c>
      <c r="BD40">
        <v>9.9984319999999993</v>
      </c>
      <c r="BE40">
        <v>2.7269999999999999</v>
      </c>
      <c r="BF40">
        <v>5.115812</v>
      </c>
      <c r="BG40">
        <v>94.558770424517263</v>
      </c>
      <c r="BH40">
        <v>802.77694931200062</v>
      </c>
    </row>
    <row r="41" spans="1:60" x14ac:dyDescent="0.15">
      <c r="A41" s="36" t="s">
        <v>236</v>
      </c>
      <c r="B41" s="39">
        <f>QgsTop*1000000000</f>
        <v>12</v>
      </c>
      <c r="C41" s="474" t="s">
        <v>136</v>
      </c>
      <c r="D41" s="473" t="s">
        <v>722</v>
      </c>
      <c r="G41">
        <v>32</v>
      </c>
      <c r="H41">
        <f t="shared" si="0"/>
        <v>1.92</v>
      </c>
      <c r="I41" s="463">
        <f t="shared" si="1"/>
        <v>0.41839466666666664</v>
      </c>
      <c r="J41" s="464">
        <f t="shared" si="2"/>
        <v>3.5500153535353536</v>
      </c>
      <c r="K41" s="464">
        <f t="shared" si="31"/>
        <v>3.6950076767676769</v>
      </c>
      <c r="L41" s="464">
        <f t="shared" si="32"/>
        <v>0.14499232323232314</v>
      </c>
      <c r="M41" s="77">
        <f t="shared" si="3"/>
        <v>0</v>
      </c>
      <c r="N41" s="463">
        <f t="shared" ref="N41:N72" si="46">SQRT(H41^2+(J41^2)/12)</f>
        <v>2.1763771312729929</v>
      </c>
      <c r="O41" s="463">
        <f t="shared" si="5"/>
        <v>3.2292206409257528E-2</v>
      </c>
      <c r="P41">
        <f t="shared" si="6"/>
        <v>0.4</v>
      </c>
      <c r="Q41" s="463">
        <f t="shared" si="34"/>
        <v>0.43229220640925753</v>
      </c>
      <c r="R41" s="9">
        <f t="shared" si="39"/>
        <v>1.0248011599954705</v>
      </c>
      <c r="S41" s="9">
        <f t="shared" si="7"/>
        <v>2.1004348350561236E-3</v>
      </c>
      <c r="T41" s="9">
        <f t="shared" si="40"/>
        <v>2.1004348350561236E-3</v>
      </c>
      <c r="U41" s="463">
        <f t="shared" ref="U41:U72" si="47">SQRT(I41)*SQRT(H41^2+(J41^2)/12)</f>
        <v>1.4077554707882263</v>
      </c>
      <c r="V41" s="465">
        <f t="shared" si="9"/>
        <v>6.5398590362627964E-4</v>
      </c>
      <c r="W41" s="463">
        <f t="shared" si="41"/>
        <v>6.5398590362627964E-4</v>
      </c>
      <c r="X41" s="463">
        <f t="shared" ref="X41:X72" si="48">SQRT(I41)*SQRT(H41^2+(J41^2)/12)</f>
        <v>1.4077554707882263</v>
      </c>
      <c r="Y41" s="463">
        <f t="shared" si="11"/>
        <v>7.927101862136722E-3</v>
      </c>
      <c r="Z41" s="463">
        <f t="shared" si="12"/>
        <v>8.1768381866217779E-2</v>
      </c>
      <c r="AA41" s="463">
        <f t="shared" si="13"/>
        <v>3.0000000000000002E-2</v>
      </c>
      <c r="AB41" s="463">
        <f t="shared" si="14"/>
        <v>0</v>
      </c>
      <c r="AC41" s="463">
        <f t="shared" ref="AC41:AC72" si="49">(AB41+AA41+Z41+Y41*(1+RdsonTopTc*Ta-RdsonTopTc*25))/(1-Y41*RdsonTopTc*ThetaJaTop)</f>
        <v>0.11979044283259895</v>
      </c>
      <c r="AD41" s="463">
        <f t="shared" ref="AD41:AD72" si="50">SQRT(1-I41)*SQRT(H41^2+(J41^2)/12)</f>
        <v>1.6597716565822787</v>
      </c>
      <c r="AE41" s="463">
        <f t="shared" si="17"/>
        <v>1.1019367807975525E-2</v>
      </c>
      <c r="AF41" s="463">
        <f t="shared" si="18"/>
        <v>2.8799999999999999E-2</v>
      </c>
      <c r="AG41" s="463">
        <f t="shared" ref="AG41:AG72" si="51">(AF41+AE41*(1+RdsonBotTc*Ta-RdsonBotTc*25))/(1-AE41*RdsonBotTc*ThetaJaBot)</f>
        <v>3.9863294638541505E-2</v>
      </c>
      <c r="AH41" s="463">
        <f t="shared" ref="AH41:AH72" si="52">IF(RDSON_sense=1, 0, AD41^2*Rshunt)</f>
        <v>0</v>
      </c>
      <c r="AI41">
        <f t="shared" si="21"/>
        <v>0</v>
      </c>
      <c r="AJ41" s="464">
        <f t="shared" si="22"/>
        <v>0.11992319999999999</v>
      </c>
      <c r="AK41">
        <f t="shared" si="23"/>
        <v>3.6000000000000004E-2</v>
      </c>
      <c r="AL41" s="464">
        <f t="shared" si="24"/>
        <v>0.27</v>
      </c>
      <c r="AM41" s="464">
        <f t="shared" si="25"/>
        <v>0.17963774597495527</v>
      </c>
      <c r="AN41" s="464">
        <f t="shared" si="42"/>
        <v>0.30600000000000005</v>
      </c>
      <c r="AO41" s="464">
        <f t="shared" ref="AO41:AO72" si="53">SUM(Q41,T41,W41,AC41,AJ41,AI41,AG41,AN41, AH41)</f>
        <v>1.0206235646190804</v>
      </c>
      <c r="AP41" s="100">
        <f t="shared" si="27"/>
        <v>9.6</v>
      </c>
      <c r="AQ41" s="10">
        <f t="shared" si="43"/>
        <v>0.90390172870648333</v>
      </c>
      <c r="AR41" s="77">
        <f t="shared" ref="AR41:AR72" si="54">ThetaJaTop*AC41</f>
        <v>2.9947610708149734</v>
      </c>
      <c r="AS41" s="77">
        <f t="shared" si="44"/>
        <v>0.99658236596353766</v>
      </c>
      <c r="AT41" s="10"/>
      <c r="AU41">
        <f t="shared" si="45"/>
        <v>90.390172870648328</v>
      </c>
      <c r="BD41">
        <v>9.9985180000000007</v>
      </c>
      <c r="BE41">
        <v>3.1859999999999999</v>
      </c>
      <c r="BF41">
        <v>5.1148889999999998</v>
      </c>
      <c r="BG41">
        <v>94.58411932633652</v>
      </c>
      <c r="BH41">
        <v>933.10990806000302</v>
      </c>
    </row>
    <row r="42" spans="1:60" x14ac:dyDescent="0.15">
      <c r="A42" s="36" t="s">
        <v>168</v>
      </c>
      <c r="B42" s="5">
        <f>RGateTop</f>
        <v>1.2</v>
      </c>
      <c r="C42" s="472" t="s">
        <v>208</v>
      </c>
      <c r="D42" s="34" t="s">
        <v>181</v>
      </c>
      <c r="G42">
        <v>33</v>
      </c>
      <c r="H42">
        <f t="shared" si="0"/>
        <v>1.98</v>
      </c>
      <c r="I42" s="463">
        <f t="shared" si="1"/>
        <v>0.41844866666666669</v>
      </c>
      <c r="J42" s="464">
        <f t="shared" si="2"/>
        <v>3.5504735353535359</v>
      </c>
      <c r="K42" s="464">
        <f t="shared" si="31"/>
        <v>3.755236767676768</v>
      </c>
      <c r="L42" s="464">
        <f t="shared" si="32"/>
        <v>0.20476323232323201</v>
      </c>
      <c r="M42" s="77">
        <f t="shared" si="3"/>
        <v>0</v>
      </c>
      <c r="N42" s="463">
        <f t="shared" si="46"/>
        <v>2.2295489514930638</v>
      </c>
      <c r="O42" s="463">
        <f t="shared" si="5"/>
        <v>3.3893696075325289E-2</v>
      </c>
      <c r="P42">
        <f t="shared" si="6"/>
        <v>0.4</v>
      </c>
      <c r="Q42" s="463">
        <f t="shared" si="34"/>
        <v>0.4338936960753253</v>
      </c>
      <c r="R42" s="9">
        <f t="shared" si="39"/>
        <v>1.0249334256935032</v>
      </c>
      <c r="S42" s="9">
        <f t="shared" si="7"/>
        <v>2.1009770542076396E-3</v>
      </c>
      <c r="T42" s="9">
        <f t="shared" si="40"/>
        <v>2.1009770542076396E-3</v>
      </c>
      <c r="U42" s="463">
        <f t="shared" si="47"/>
        <v>1.4422418924421883</v>
      </c>
      <c r="V42" s="465">
        <f t="shared" si="9"/>
        <v>6.864203531840241E-4</v>
      </c>
      <c r="W42" s="463">
        <f t="shared" si="41"/>
        <v>6.864203531840241E-4</v>
      </c>
      <c r="X42" s="463">
        <f t="shared" si="48"/>
        <v>1.4422418924421883</v>
      </c>
      <c r="Y42" s="463">
        <f t="shared" si="11"/>
        <v>8.3202467052608982E-3</v>
      </c>
      <c r="Z42" s="463">
        <f t="shared" si="12"/>
        <v>8.3594195838301674E-2</v>
      </c>
      <c r="AA42" s="463">
        <f t="shared" si="13"/>
        <v>3.0000000000000002E-2</v>
      </c>
      <c r="AB42" s="463">
        <f t="shared" si="14"/>
        <v>0</v>
      </c>
      <c r="AC42" s="463">
        <f t="shared" si="49"/>
        <v>0.12201596283483915</v>
      </c>
      <c r="AD42" s="463">
        <f t="shared" si="50"/>
        <v>1.7002431740161745</v>
      </c>
      <c r="AE42" s="463">
        <f t="shared" si="17"/>
        <v>1.1563307403154383E-2</v>
      </c>
      <c r="AF42" s="463">
        <f t="shared" si="18"/>
        <v>2.9699999999999997E-2</v>
      </c>
      <c r="AG42" s="463">
        <f t="shared" si="51"/>
        <v>4.1311076671024613E-2</v>
      </c>
      <c r="AH42" s="463">
        <f t="shared" si="52"/>
        <v>0</v>
      </c>
      <c r="AI42">
        <f t="shared" si="21"/>
        <v>0</v>
      </c>
      <c r="AJ42" s="464">
        <f t="shared" si="22"/>
        <v>0.11992079999999999</v>
      </c>
      <c r="AK42">
        <f t="shared" si="23"/>
        <v>3.6000000000000004E-2</v>
      </c>
      <c r="AL42" s="464">
        <f t="shared" si="24"/>
        <v>0.27</v>
      </c>
      <c r="AM42" s="464">
        <f t="shared" si="25"/>
        <v>0.17963774597495527</v>
      </c>
      <c r="AN42" s="464">
        <f t="shared" si="42"/>
        <v>0.30600000000000005</v>
      </c>
      <c r="AO42" s="464">
        <f t="shared" si="53"/>
        <v>1.0259289329885806</v>
      </c>
      <c r="AP42" s="100">
        <f t="shared" si="27"/>
        <v>9.9</v>
      </c>
      <c r="AQ42" s="10">
        <f t="shared" si="43"/>
        <v>0.90610144553558269</v>
      </c>
      <c r="AR42" s="77">
        <f t="shared" si="54"/>
        <v>3.0503990708709785</v>
      </c>
      <c r="AS42" s="77">
        <f t="shared" si="44"/>
        <v>1.0327769167756153</v>
      </c>
      <c r="AT42" s="10"/>
      <c r="AU42">
        <f t="shared" si="45"/>
        <v>90.610144553558271</v>
      </c>
      <c r="BD42">
        <v>9.9984190000000002</v>
      </c>
      <c r="BE42">
        <v>3.6920000000000002</v>
      </c>
      <c r="BF42">
        <v>5.1137540000000001</v>
      </c>
      <c r="BG42">
        <v>94.441363374789603</v>
      </c>
      <c r="BH42">
        <v>1111.2391205219994</v>
      </c>
    </row>
    <row r="43" spans="1:60" x14ac:dyDescent="0.15">
      <c r="A43" s="36" t="s">
        <v>140</v>
      </c>
      <c r="B43" s="5">
        <f>GmTop</f>
        <v>100</v>
      </c>
      <c r="C43" s="473" t="s">
        <v>137</v>
      </c>
      <c r="D43" s="34" t="s">
        <v>182</v>
      </c>
      <c r="G43">
        <v>34</v>
      </c>
      <c r="H43">
        <f t="shared" si="0"/>
        <v>2.04</v>
      </c>
      <c r="I43" s="463">
        <f t="shared" si="1"/>
        <v>0.41850266666666669</v>
      </c>
      <c r="J43" s="464">
        <f t="shared" si="2"/>
        <v>3.5509317171717174</v>
      </c>
      <c r="K43" s="464">
        <f t="shared" si="31"/>
        <v>3.815465858585859</v>
      </c>
      <c r="L43" s="464">
        <f t="shared" si="32"/>
        <v>0.26453414141414133</v>
      </c>
      <c r="M43" s="77">
        <f t="shared" si="3"/>
        <v>0</v>
      </c>
      <c r="N43" s="463">
        <f t="shared" si="46"/>
        <v>2.2830592790525626</v>
      </c>
      <c r="O43" s="463">
        <f t="shared" si="5"/>
        <v>3.554483398514742E-2</v>
      </c>
      <c r="P43">
        <f t="shared" si="6"/>
        <v>0.4</v>
      </c>
      <c r="Q43" s="463">
        <f t="shared" si="34"/>
        <v>0.43554483398514743</v>
      </c>
      <c r="R43" s="9">
        <f t="shared" si="39"/>
        <v>1.0250656913915357</v>
      </c>
      <c r="S43" s="9">
        <f t="shared" si="7"/>
        <v>2.1015193433360142E-3</v>
      </c>
      <c r="T43" s="9">
        <f t="shared" si="40"/>
        <v>2.1015193433360142E-3</v>
      </c>
      <c r="U43" s="463">
        <f t="shared" si="47"/>
        <v>1.4769517332055411</v>
      </c>
      <c r="V43" s="465">
        <f t="shared" si="9"/>
        <v>7.1985751933222107E-4</v>
      </c>
      <c r="W43" s="463">
        <f t="shared" si="41"/>
        <v>7.1985751933222107E-4</v>
      </c>
      <c r="X43" s="463">
        <f t="shared" si="48"/>
        <v>1.4769517332055411</v>
      </c>
      <c r="Y43" s="463">
        <f t="shared" si="11"/>
        <v>8.7255456888754076E-3</v>
      </c>
      <c r="Z43" s="463">
        <f t="shared" si="12"/>
        <v>8.5420009810385555E-2</v>
      </c>
      <c r="AA43" s="463">
        <f t="shared" si="13"/>
        <v>3.0000000000000002E-2</v>
      </c>
      <c r="AB43" s="463">
        <f t="shared" si="14"/>
        <v>0</v>
      </c>
      <c r="AC43" s="463">
        <f t="shared" si="49"/>
        <v>0.12425397387186529</v>
      </c>
      <c r="AD43" s="463">
        <f t="shared" si="50"/>
        <v>1.7409690547075083</v>
      </c>
      <c r="AE43" s="463">
        <f t="shared" si="17"/>
        <v>1.212389299779662E-2</v>
      </c>
      <c r="AF43" s="463">
        <f t="shared" si="18"/>
        <v>3.0599999999999999E-2</v>
      </c>
      <c r="AG43" s="463">
        <f t="shared" si="51"/>
        <v>4.2775753864071432E-2</v>
      </c>
      <c r="AH43" s="463">
        <f t="shared" si="52"/>
        <v>0</v>
      </c>
      <c r="AI43">
        <f t="shared" si="21"/>
        <v>0</v>
      </c>
      <c r="AJ43" s="464">
        <f t="shared" si="22"/>
        <v>0.11991839999999999</v>
      </c>
      <c r="AK43">
        <f t="shared" si="23"/>
        <v>3.6000000000000004E-2</v>
      </c>
      <c r="AL43" s="464">
        <f t="shared" si="24"/>
        <v>0.27</v>
      </c>
      <c r="AM43" s="464">
        <f t="shared" si="25"/>
        <v>0.17963774597495527</v>
      </c>
      <c r="AN43" s="464">
        <f t="shared" si="42"/>
        <v>0.30600000000000005</v>
      </c>
      <c r="AO43" s="464">
        <f t="shared" si="53"/>
        <v>1.0313143385837524</v>
      </c>
      <c r="AP43" s="100">
        <f t="shared" si="27"/>
        <v>10.199999999999999</v>
      </c>
      <c r="AQ43" s="10">
        <f t="shared" si="43"/>
        <v>0.9081750979900185</v>
      </c>
      <c r="AR43" s="77">
        <f t="shared" si="54"/>
        <v>3.1063493467966321</v>
      </c>
      <c r="AS43" s="77">
        <f t="shared" si="44"/>
        <v>1.0693938466017858</v>
      </c>
      <c r="AT43" s="10"/>
      <c r="AU43">
        <f t="shared" si="45"/>
        <v>90.817509799001854</v>
      </c>
      <c r="BD43">
        <v>9.998246</v>
      </c>
      <c r="BE43">
        <v>4.2430000000000003</v>
      </c>
      <c r="BF43">
        <v>5.1120590000000004</v>
      </c>
      <c r="BG43">
        <v>94.267178615859891</v>
      </c>
      <c r="BH43">
        <v>1319.0970775599953</v>
      </c>
    </row>
    <row r="44" spans="1:60" x14ac:dyDescent="0.15">
      <c r="A44" s="36" t="s">
        <v>170</v>
      </c>
      <c r="B44" s="5">
        <f>VthTop</f>
        <v>2</v>
      </c>
      <c r="C44" s="473" t="s">
        <v>0</v>
      </c>
      <c r="D44" s="34" t="s">
        <v>183</v>
      </c>
      <c r="G44">
        <v>35</v>
      </c>
      <c r="H44">
        <f t="shared" si="0"/>
        <v>2.0999999999999996</v>
      </c>
      <c r="I44" s="463">
        <f t="shared" si="1"/>
        <v>0.41855666666666669</v>
      </c>
      <c r="J44" s="464">
        <f t="shared" si="2"/>
        <v>3.5513898989898998</v>
      </c>
      <c r="K44" s="464">
        <f t="shared" si="31"/>
        <v>3.8756949494949495</v>
      </c>
      <c r="L44" s="464">
        <f t="shared" si="32"/>
        <v>0.32430505050504976</v>
      </c>
      <c r="M44" s="77">
        <f t="shared" si="3"/>
        <v>0</v>
      </c>
      <c r="N44" s="463">
        <f t="shared" si="46"/>
        <v>2.3368848604971153</v>
      </c>
      <c r="O44" s="463">
        <f t="shared" si="5"/>
        <v>3.7245659221882332E-2</v>
      </c>
      <c r="P44">
        <f t="shared" si="6"/>
        <v>0.4</v>
      </c>
      <c r="Q44" s="463">
        <f t="shared" si="34"/>
        <v>0.43724565922188235</v>
      </c>
      <c r="R44" s="9">
        <f t="shared" si="39"/>
        <v>1.0251979570895684</v>
      </c>
      <c r="S44" s="9">
        <f t="shared" si="7"/>
        <v>2.1020617024412494E-3</v>
      </c>
      <c r="T44" s="9">
        <f t="shared" si="40"/>
        <v>2.1020617024412494E-3</v>
      </c>
      <c r="U44" s="463">
        <f t="shared" si="47"/>
        <v>1.5118699909882241</v>
      </c>
      <c r="V44" s="465">
        <f t="shared" si="9"/>
        <v>7.5429778698474172E-4</v>
      </c>
      <c r="W44" s="463">
        <f t="shared" si="41"/>
        <v>7.5429778698474172E-4</v>
      </c>
      <c r="X44" s="463">
        <f t="shared" si="48"/>
        <v>1.5118699909882241</v>
      </c>
      <c r="Y44" s="463">
        <f t="shared" si="11"/>
        <v>9.1430034786029301E-3</v>
      </c>
      <c r="Z44" s="463">
        <f t="shared" si="12"/>
        <v>8.7245823782469437E-2</v>
      </c>
      <c r="AA44" s="463">
        <f t="shared" si="13"/>
        <v>3.0000000000000002E-2</v>
      </c>
      <c r="AB44" s="463">
        <f t="shared" si="14"/>
        <v>0</v>
      </c>
      <c r="AC44" s="463">
        <f t="shared" si="49"/>
        <v>0.12650449036061498</v>
      </c>
      <c r="AD44" s="463">
        <f t="shared" si="50"/>
        <v>1.7819315311116444</v>
      </c>
      <c r="AE44" s="463">
        <f t="shared" si="17"/>
        <v>1.2701119926279557E-2</v>
      </c>
      <c r="AF44" s="463">
        <f t="shared" si="18"/>
        <v>3.1499999999999993E-2</v>
      </c>
      <c r="AG44" s="463">
        <f t="shared" si="51"/>
        <v>4.4257331694025848E-2</v>
      </c>
      <c r="AH44" s="463">
        <f t="shared" si="52"/>
        <v>0</v>
      </c>
      <c r="AI44">
        <f t="shared" si="21"/>
        <v>0</v>
      </c>
      <c r="AJ44" s="464">
        <f t="shared" si="22"/>
        <v>0.11991600000000001</v>
      </c>
      <c r="AK44">
        <f t="shared" si="23"/>
        <v>3.6000000000000004E-2</v>
      </c>
      <c r="AL44" s="464">
        <f t="shared" si="24"/>
        <v>0.27</v>
      </c>
      <c r="AM44" s="464">
        <f t="shared" si="25"/>
        <v>0.17963774597495527</v>
      </c>
      <c r="AN44" s="464">
        <f t="shared" si="42"/>
        <v>0.30600000000000005</v>
      </c>
      <c r="AO44" s="464">
        <f t="shared" si="53"/>
        <v>1.0367798407659492</v>
      </c>
      <c r="AP44" s="100">
        <f t="shared" si="27"/>
        <v>10.499999999999998</v>
      </c>
      <c r="AQ44" s="10">
        <f t="shared" si="43"/>
        <v>0.9101326492248365</v>
      </c>
      <c r="AR44" s="77">
        <f t="shared" si="54"/>
        <v>3.1626122590153747</v>
      </c>
      <c r="AS44" s="77">
        <f t="shared" si="44"/>
        <v>1.1064332923506461</v>
      </c>
      <c r="AT44" s="10"/>
      <c r="AU44">
        <f t="shared" si="45"/>
        <v>91.013264922483643</v>
      </c>
      <c r="BD44">
        <v>9.9981469999999995</v>
      </c>
      <c r="BE44">
        <v>4.8490000000000002</v>
      </c>
      <c r="BF44">
        <v>5.1107740000000002</v>
      </c>
      <c r="BG44">
        <v>93.953815994681278</v>
      </c>
      <c r="BH44">
        <v>1594.7983209009985</v>
      </c>
    </row>
    <row r="45" spans="1:60" x14ac:dyDescent="0.15">
      <c r="A45" s="43" t="s">
        <v>235</v>
      </c>
      <c r="B45" s="5">
        <f>VspTop</f>
        <v>2.12</v>
      </c>
      <c r="C45" s="475" t="s">
        <v>0</v>
      </c>
      <c r="G45">
        <v>36</v>
      </c>
      <c r="H45">
        <f t="shared" si="0"/>
        <v>2.16</v>
      </c>
      <c r="I45" s="463">
        <f t="shared" si="1"/>
        <v>0.41861066666666663</v>
      </c>
      <c r="J45" s="464">
        <f t="shared" si="2"/>
        <v>3.5518480808080808</v>
      </c>
      <c r="K45" s="464">
        <f t="shared" si="31"/>
        <v>3.9359240404040405</v>
      </c>
      <c r="L45" s="464">
        <f t="shared" si="32"/>
        <v>0.38407595959595975</v>
      </c>
      <c r="M45" s="77">
        <f t="shared" si="3"/>
        <v>0</v>
      </c>
      <c r="N45" s="463">
        <f t="shared" si="46"/>
        <v>2.3910044052158645</v>
      </c>
      <c r="O45" s="463">
        <f t="shared" si="5"/>
        <v>3.8996212060936057E-2</v>
      </c>
      <c r="P45">
        <f t="shared" si="6"/>
        <v>0.4</v>
      </c>
      <c r="Q45" s="463">
        <f t="shared" si="34"/>
        <v>0.43899621206093609</v>
      </c>
      <c r="R45" s="9">
        <f t="shared" si="39"/>
        <v>1.0253302227876007</v>
      </c>
      <c r="S45" s="9">
        <f t="shared" si="7"/>
        <v>2.1026041315233414E-3</v>
      </c>
      <c r="T45" s="9">
        <f t="shared" si="40"/>
        <v>2.1026041315233414E-3</v>
      </c>
      <c r="U45" s="463">
        <f t="shared" si="47"/>
        <v>1.5469829297754181</v>
      </c>
      <c r="V45" s="465">
        <f t="shared" si="9"/>
        <v>7.8974154105545689E-4</v>
      </c>
      <c r="W45" s="463">
        <f t="shared" si="41"/>
        <v>7.8974154105545689E-4</v>
      </c>
      <c r="X45" s="463">
        <f t="shared" si="48"/>
        <v>1.5469829297754181</v>
      </c>
      <c r="Y45" s="463">
        <f t="shared" si="11"/>
        <v>9.5726247400661456E-3</v>
      </c>
      <c r="Z45" s="463">
        <f t="shared" si="12"/>
        <v>8.9071637754553332E-2</v>
      </c>
      <c r="AA45" s="463">
        <f t="shared" si="13"/>
        <v>3.0000000000000002E-2</v>
      </c>
      <c r="AB45" s="463">
        <f t="shared" si="14"/>
        <v>0</v>
      </c>
      <c r="AC45" s="463">
        <f t="shared" si="49"/>
        <v>0.12876752681591097</v>
      </c>
      <c r="AD45" s="463">
        <f t="shared" si="50"/>
        <v>1.8231143356205428</v>
      </c>
      <c r="AE45" s="463">
        <f t="shared" si="17"/>
        <v>1.3294983522980534E-2</v>
      </c>
      <c r="AF45" s="463">
        <f t="shared" si="18"/>
        <v>3.2399999999999998E-2</v>
      </c>
      <c r="AG45" s="463">
        <f t="shared" si="51"/>
        <v>4.5755815804700929E-2</v>
      </c>
      <c r="AH45" s="463">
        <f t="shared" si="52"/>
        <v>0</v>
      </c>
      <c r="AI45">
        <f t="shared" si="21"/>
        <v>0</v>
      </c>
      <c r="AJ45" s="464">
        <f t="shared" si="22"/>
        <v>0.11991360000000001</v>
      </c>
      <c r="AK45">
        <f t="shared" si="23"/>
        <v>3.6000000000000004E-2</v>
      </c>
      <c r="AL45" s="464">
        <f t="shared" si="24"/>
        <v>0.27</v>
      </c>
      <c r="AM45" s="464">
        <f t="shared" si="25"/>
        <v>0.17963774597495527</v>
      </c>
      <c r="AN45" s="464">
        <f t="shared" si="42"/>
        <v>0.30600000000000005</v>
      </c>
      <c r="AO45" s="464">
        <f t="shared" si="53"/>
        <v>1.0423255003541267</v>
      </c>
      <c r="AP45" s="100">
        <f t="shared" si="27"/>
        <v>10.8</v>
      </c>
      <c r="AQ45" s="10">
        <f t="shared" si="43"/>
        <v>0.91198303911482947</v>
      </c>
      <c r="AR45" s="77">
        <f t="shared" si="54"/>
        <v>3.2191881703977741</v>
      </c>
      <c r="AS45" s="77">
        <f t="shared" si="44"/>
        <v>1.1438953951175233</v>
      </c>
      <c r="AT45" s="10"/>
      <c r="AU45">
        <f t="shared" si="45"/>
        <v>91.198303911482952</v>
      </c>
      <c r="BD45">
        <v>9.9979859999999992</v>
      </c>
      <c r="BE45">
        <v>5.4960000000000004</v>
      </c>
      <c r="BF45">
        <v>5.1097890000000001</v>
      </c>
      <c r="BG45">
        <v>93.599771362833366</v>
      </c>
      <c r="BH45">
        <v>1920.3056923499939</v>
      </c>
    </row>
    <row r="46" spans="1:60" x14ac:dyDescent="0.15">
      <c r="A46" s="139" t="s">
        <v>378</v>
      </c>
      <c r="B46" s="5">
        <f>VsdTop</f>
        <v>1</v>
      </c>
      <c r="C46" s="475" t="s">
        <v>0</v>
      </c>
      <c r="G46">
        <v>37</v>
      </c>
      <c r="H46">
        <f t="shared" si="0"/>
        <v>2.2199999999999998</v>
      </c>
      <c r="I46" s="463">
        <f t="shared" si="1"/>
        <v>0.41866466666666663</v>
      </c>
      <c r="J46" s="464">
        <f t="shared" si="2"/>
        <v>3.5523062626262627</v>
      </c>
      <c r="K46" s="464">
        <f t="shared" si="31"/>
        <v>3.9961531313131311</v>
      </c>
      <c r="L46" s="464">
        <f t="shared" si="32"/>
        <v>0.4438468686868684</v>
      </c>
      <c r="M46" s="77">
        <f t="shared" si="3"/>
        <v>0</v>
      </c>
      <c r="N46" s="463">
        <f t="shared" si="46"/>
        <v>2.4453983960269432</v>
      </c>
      <c r="O46" s="463">
        <f t="shared" si="5"/>
        <v>4.0796533972353798E-2</v>
      </c>
      <c r="P46">
        <f t="shared" si="6"/>
        <v>0.4</v>
      </c>
      <c r="Q46" s="463">
        <f t="shared" si="34"/>
        <v>0.4407965339723538</v>
      </c>
      <c r="R46" s="9">
        <f t="shared" si="39"/>
        <v>1.0254624884856332</v>
      </c>
      <c r="S46" s="9">
        <f t="shared" si="7"/>
        <v>2.1031466305822945E-3</v>
      </c>
      <c r="T46" s="9">
        <f t="shared" si="40"/>
        <v>2.1031466305822945E-3</v>
      </c>
      <c r="U46" s="463">
        <f t="shared" si="47"/>
        <v>1.5822779574783721</v>
      </c>
      <c r="V46" s="465">
        <f t="shared" si="9"/>
        <v>8.2618916645823659E-4</v>
      </c>
      <c r="W46" s="463">
        <f t="shared" si="41"/>
        <v>8.2618916645823659E-4</v>
      </c>
      <c r="X46" s="463">
        <f t="shared" si="48"/>
        <v>1.5822779574783721</v>
      </c>
      <c r="Y46" s="463">
        <f t="shared" si="11"/>
        <v>1.0014414138887717E-2</v>
      </c>
      <c r="Z46" s="463">
        <f t="shared" si="12"/>
        <v>9.0897451726637213E-2</v>
      </c>
      <c r="AA46" s="463">
        <f t="shared" si="13"/>
        <v>3.0000000000000002E-2</v>
      </c>
      <c r="AB46" s="463">
        <f t="shared" si="14"/>
        <v>0</v>
      </c>
      <c r="AC46" s="463">
        <f t="shared" si="49"/>
        <v>0.13104309785071691</v>
      </c>
      <c r="AD46" s="463">
        <f t="shared" si="50"/>
        <v>1.8645025557958395</v>
      </c>
      <c r="AE46" s="463">
        <f t="shared" si="17"/>
        <v>1.3905479122276869E-2</v>
      </c>
      <c r="AF46" s="463">
        <f t="shared" si="18"/>
        <v>3.3299999999999996E-2</v>
      </c>
      <c r="AG46" s="463">
        <f t="shared" si="51"/>
        <v>4.7271212007442283E-2</v>
      </c>
      <c r="AH46" s="463">
        <f t="shared" si="52"/>
        <v>0</v>
      </c>
      <c r="AI46">
        <f t="shared" si="21"/>
        <v>0</v>
      </c>
      <c r="AJ46" s="464">
        <f t="shared" si="22"/>
        <v>0.11991120000000001</v>
      </c>
      <c r="AK46">
        <f t="shared" si="23"/>
        <v>3.6000000000000004E-2</v>
      </c>
      <c r="AL46" s="464">
        <f t="shared" si="24"/>
        <v>0.27</v>
      </c>
      <c r="AM46" s="464">
        <f t="shared" si="25"/>
        <v>0.17963774597495527</v>
      </c>
      <c r="AN46" s="464">
        <f t="shared" si="42"/>
        <v>0.30600000000000005</v>
      </c>
      <c r="AO46" s="464">
        <f t="shared" si="53"/>
        <v>1.0479513796275537</v>
      </c>
      <c r="AP46" s="100">
        <f t="shared" si="27"/>
        <v>11.099999999999998</v>
      </c>
      <c r="AQ46" s="10">
        <f t="shared" si="43"/>
        <v>0.91373431232322866</v>
      </c>
      <c r="AR46" s="77">
        <f t="shared" si="54"/>
        <v>3.276077446267923</v>
      </c>
      <c r="AS46" s="77">
        <f t="shared" si="44"/>
        <v>1.1817803001860572</v>
      </c>
      <c r="AT46" s="10"/>
      <c r="AU46">
        <f t="shared" si="45"/>
        <v>91.373431232322872</v>
      </c>
      <c r="BD46">
        <v>9.9978999999999996</v>
      </c>
      <c r="BE46">
        <v>6.1950000000000003</v>
      </c>
      <c r="BF46">
        <v>5.109191</v>
      </c>
      <c r="BG46">
        <v>93.156651672159526</v>
      </c>
      <c r="BH46">
        <v>2325.1351758999972</v>
      </c>
    </row>
    <row r="47" spans="1:60" x14ac:dyDescent="0.15">
      <c r="A47" s="36" t="s">
        <v>161</v>
      </c>
      <c r="B47" s="5">
        <f>ThetaJaTop</f>
        <v>25</v>
      </c>
      <c r="C47" s="473" t="s">
        <v>381</v>
      </c>
      <c r="D47" s="34" t="s">
        <v>184</v>
      </c>
      <c r="G47">
        <v>38</v>
      </c>
      <c r="H47">
        <f t="shared" si="0"/>
        <v>2.2800000000000002</v>
      </c>
      <c r="I47" s="463">
        <f t="shared" si="1"/>
        <v>0.41871866666666668</v>
      </c>
      <c r="J47" s="464">
        <f t="shared" si="2"/>
        <v>3.5527644444444446</v>
      </c>
      <c r="K47" s="464">
        <f t="shared" si="31"/>
        <v>4.0563822222222221</v>
      </c>
      <c r="L47" s="464">
        <f t="shared" si="32"/>
        <v>0.50361777777777794</v>
      </c>
      <c r="M47" s="77">
        <f t="shared" si="3"/>
        <v>0</v>
      </c>
      <c r="N47" s="463">
        <f t="shared" si="46"/>
        <v>2.5000489194831879</v>
      </c>
      <c r="O47" s="463">
        <f t="shared" si="5"/>
        <v>4.2646667623284257E-2</v>
      </c>
      <c r="P47">
        <f t="shared" si="6"/>
        <v>0.4</v>
      </c>
      <c r="Q47" s="463">
        <f t="shared" si="34"/>
        <v>0.44264666762328431</v>
      </c>
      <c r="R47" s="9">
        <f t="shared" si="39"/>
        <v>1.0255947541836656</v>
      </c>
      <c r="S47" s="9">
        <f t="shared" si="7"/>
        <v>2.1036891996181069E-3</v>
      </c>
      <c r="T47" s="9">
        <f t="shared" si="40"/>
        <v>2.1036891996181069E-3</v>
      </c>
      <c r="U47" s="463">
        <f t="shared" si="47"/>
        <v>1.6177435164983913</v>
      </c>
      <c r="V47" s="465">
        <f t="shared" si="9"/>
        <v>8.6364104810695164E-4</v>
      </c>
      <c r="W47" s="463">
        <f t="shared" si="41"/>
        <v>8.6364104810695164E-4</v>
      </c>
      <c r="X47" s="463">
        <f t="shared" si="48"/>
        <v>1.6177435164983913</v>
      </c>
      <c r="Y47" s="463">
        <f t="shared" si="11"/>
        <v>1.0468376340690323E-2</v>
      </c>
      <c r="Z47" s="463">
        <f t="shared" si="12"/>
        <v>9.2723265698721108E-2</v>
      </c>
      <c r="AA47" s="463">
        <f t="shared" si="13"/>
        <v>3.0000000000000002E-2</v>
      </c>
      <c r="AB47" s="463">
        <f t="shared" si="14"/>
        <v>0</v>
      </c>
      <c r="AC47" s="463">
        <f t="shared" si="49"/>
        <v>0.13333121817639473</v>
      </c>
      <c r="AD47" s="463">
        <f t="shared" si="50"/>
        <v>1.906082504677191</v>
      </c>
      <c r="AE47" s="463">
        <f t="shared" si="17"/>
        <v>1.4532602058545896E-2</v>
      </c>
      <c r="AF47" s="463">
        <f t="shared" si="18"/>
        <v>3.4200000000000001E-2</v>
      </c>
      <c r="AG47" s="463">
        <f t="shared" si="51"/>
        <v>4.8803526281195733E-2</v>
      </c>
      <c r="AH47" s="463">
        <f t="shared" si="52"/>
        <v>0</v>
      </c>
      <c r="AI47">
        <f t="shared" si="21"/>
        <v>0</v>
      </c>
      <c r="AJ47" s="464">
        <f t="shared" si="22"/>
        <v>0.11990880000000001</v>
      </c>
      <c r="AK47">
        <f t="shared" si="23"/>
        <v>3.6000000000000004E-2</v>
      </c>
      <c r="AL47" s="464">
        <f t="shared" si="24"/>
        <v>0.27</v>
      </c>
      <c r="AM47" s="464">
        <f t="shared" si="25"/>
        <v>0.17963774597495527</v>
      </c>
      <c r="AN47" s="464">
        <f t="shared" si="42"/>
        <v>0.30600000000000005</v>
      </c>
      <c r="AO47" s="464">
        <f t="shared" si="53"/>
        <v>1.0536575423286001</v>
      </c>
      <c r="AP47" s="100">
        <f t="shared" si="27"/>
        <v>11.400000000000002</v>
      </c>
      <c r="AQ47" s="10">
        <f t="shared" si="43"/>
        <v>0.9153937276059394</v>
      </c>
      <c r="AR47" s="77">
        <f t="shared" si="54"/>
        <v>3.3332804544098682</v>
      </c>
      <c r="AS47" s="77">
        <f t="shared" si="44"/>
        <v>1.2200881570298934</v>
      </c>
      <c r="AT47" s="10"/>
      <c r="AU47">
        <f t="shared" si="45"/>
        <v>91.539372760593935</v>
      </c>
      <c r="BD47">
        <v>9.9976269999999996</v>
      </c>
      <c r="BE47">
        <v>6.9470000000000001</v>
      </c>
      <c r="BF47">
        <v>5.1086669999999996</v>
      </c>
      <c r="BG47">
        <v>92.656807634751772</v>
      </c>
      <c r="BH47">
        <v>2812.6290012010018</v>
      </c>
    </row>
    <row r="48" spans="1:60" x14ac:dyDescent="0.15">
      <c r="A48" s="37" t="s">
        <v>130</v>
      </c>
      <c r="B48" s="28" t="s">
        <v>201</v>
      </c>
      <c r="C48" s="37" t="s">
        <v>148</v>
      </c>
      <c r="D48" s="30" t="s">
        <v>188</v>
      </c>
      <c r="G48">
        <v>39</v>
      </c>
      <c r="H48">
        <f t="shared" si="0"/>
        <v>2.34</v>
      </c>
      <c r="I48" s="463">
        <f t="shared" si="1"/>
        <v>0.41877266666666668</v>
      </c>
      <c r="J48" s="464">
        <f t="shared" si="2"/>
        <v>3.553222626262627</v>
      </c>
      <c r="K48" s="464">
        <f t="shared" si="31"/>
        <v>4.1166113131313136</v>
      </c>
      <c r="L48" s="464">
        <f t="shared" si="32"/>
        <v>0.56338868686868637</v>
      </c>
      <c r="M48" s="77">
        <f t="shared" si="3"/>
        <v>0</v>
      </c>
      <c r="N48" s="463">
        <f t="shared" si="46"/>
        <v>2.5549395138271649</v>
      </c>
      <c r="O48" s="463">
        <f t="shared" si="5"/>
        <v>4.4546656880516192E-2</v>
      </c>
      <c r="P48">
        <f t="shared" si="6"/>
        <v>0.4</v>
      </c>
      <c r="Q48" s="463">
        <f t="shared" si="34"/>
        <v>0.4445466568805162</v>
      </c>
      <c r="R48" s="9">
        <f t="shared" si="39"/>
        <v>1.0257270198816983</v>
      </c>
      <c r="S48" s="9">
        <f t="shared" si="7"/>
        <v>2.1042318386307801E-3</v>
      </c>
      <c r="T48" s="9">
        <f t="shared" si="40"/>
        <v>2.1042318386307801E-3</v>
      </c>
      <c r="U48" s="463">
        <f t="shared" si="47"/>
        <v>1.6533689856696108</v>
      </c>
      <c r="V48" s="465">
        <f t="shared" si="9"/>
        <v>9.0209757091547194E-4</v>
      </c>
      <c r="W48" s="463">
        <f t="shared" si="41"/>
        <v>9.0209757091547194E-4</v>
      </c>
      <c r="X48" s="463">
        <f t="shared" si="48"/>
        <v>1.6533689856696108</v>
      </c>
      <c r="Y48" s="463">
        <f t="shared" si="11"/>
        <v>1.0934516011096631E-2</v>
      </c>
      <c r="Z48" s="463">
        <f t="shared" si="12"/>
        <v>9.4549079670804989E-2</v>
      </c>
      <c r="AA48" s="463">
        <f t="shared" si="13"/>
        <v>3.0000000000000002E-2</v>
      </c>
      <c r="AB48" s="463">
        <f t="shared" si="14"/>
        <v>0</v>
      </c>
      <c r="AC48" s="463">
        <f t="shared" si="49"/>
        <v>0.1356319026029644</v>
      </c>
      <c r="AD48" s="463">
        <f t="shared" si="50"/>
        <v>1.9478416045821674</v>
      </c>
      <c r="AE48" s="463">
        <f t="shared" si="17"/>
        <v>1.517634766616493E-2</v>
      </c>
      <c r="AF48" s="463">
        <f t="shared" si="18"/>
        <v>3.5099999999999999E-2</v>
      </c>
      <c r="AG48" s="463">
        <f t="shared" si="51"/>
        <v>5.0352764772579058E-2</v>
      </c>
      <c r="AH48" s="463">
        <f t="shared" si="52"/>
        <v>0</v>
      </c>
      <c r="AI48">
        <f t="shared" si="21"/>
        <v>0</v>
      </c>
      <c r="AJ48" s="464">
        <f t="shared" si="22"/>
        <v>0.11990640000000001</v>
      </c>
      <c r="AK48">
        <f t="shared" si="23"/>
        <v>3.6000000000000004E-2</v>
      </c>
      <c r="AL48" s="464">
        <f t="shared" si="24"/>
        <v>0.27</v>
      </c>
      <c r="AM48" s="464">
        <f t="shared" si="25"/>
        <v>0.17963774597495527</v>
      </c>
      <c r="AN48" s="464">
        <f t="shared" si="42"/>
        <v>0.30600000000000005</v>
      </c>
      <c r="AO48" s="464">
        <f t="shared" si="53"/>
        <v>1.059444053665606</v>
      </c>
      <c r="AP48" s="100">
        <f t="shared" si="27"/>
        <v>11.7</v>
      </c>
      <c r="AQ48" s="10">
        <f t="shared" si="43"/>
        <v>0.91696785148242854</v>
      </c>
      <c r="AR48" s="77">
        <f t="shared" si="54"/>
        <v>3.3907975650741098</v>
      </c>
      <c r="AS48" s="77">
        <f t="shared" si="44"/>
        <v>1.2588191193144764</v>
      </c>
      <c r="AT48" s="10"/>
      <c r="AU48">
        <f t="shared" si="45"/>
        <v>91.696785148242853</v>
      </c>
      <c r="BD48">
        <v>9.9975280000000009</v>
      </c>
      <c r="BE48">
        <v>7.7530000000000001</v>
      </c>
      <c r="BF48">
        <v>5.10853</v>
      </c>
      <c r="BG48">
        <v>92.034336419785248</v>
      </c>
      <c r="BH48">
        <v>3427.976173640001</v>
      </c>
    </row>
    <row r="49" spans="1:60" x14ac:dyDescent="0.15">
      <c r="A49" s="36" t="s">
        <v>139</v>
      </c>
      <c r="B49" s="5">
        <f>RdsonBot*1000</f>
        <v>4</v>
      </c>
      <c r="C49" s="473" t="s">
        <v>622</v>
      </c>
      <c r="D49" s="34" t="s">
        <v>192</v>
      </c>
      <c r="G49">
        <v>40</v>
      </c>
      <c r="H49">
        <f t="shared" si="0"/>
        <v>2.4000000000000004</v>
      </c>
      <c r="I49" s="463">
        <f t="shared" si="1"/>
        <v>0.41882666666666668</v>
      </c>
      <c r="J49" s="464">
        <f t="shared" si="2"/>
        <v>3.553680808080808</v>
      </c>
      <c r="K49" s="464">
        <f t="shared" si="31"/>
        <v>4.1768404040404041</v>
      </c>
      <c r="L49" s="464">
        <f t="shared" si="32"/>
        <v>0.62315959595959636</v>
      </c>
      <c r="M49" s="77">
        <f t="shared" si="3"/>
        <v>0</v>
      </c>
      <c r="N49" s="463">
        <f t="shared" si="46"/>
        <v>2.6100550327167733</v>
      </c>
      <c r="O49" s="463">
        <f t="shared" si="5"/>
        <v>4.649654681308843E-2</v>
      </c>
      <c r="P49">
        <f t="shared" si="6"/>
        <v>0.4</v>
      </c>
      <c r="Q49" s="463">
        <f t="shared" si="34"/>
        <v>0.44649654681308848</v>
      </c>
      <c r="R49" s="9">
        <f t="shared" si="39"/>
        <v>1.0258592855797306</v>
      </c>
      <c r="S49" s="9">
        <f t="shared" si="7"/>
        <v>2.1047745476203104E-3</v>
      </c>
      <c r="T49" s="9">
        <f t="shared" si="40"/>
        <v>2.1047745476203104E-3</v>
      </c>
      <c r="U49" s="463">
        <f t="shared" si="47"/>
        <v>1.6891445923698565</v>
      </c>
      <c r="V49" s="465">
        <f t="shared" si="9"/>
        <v>9.4155911979766844E-4</v>
      </c>
      <c r="W49" s="463">
        <f t="shared" si="41"/>
        <v>9.4155911979766844E-4</v>
      </c>
      <c r="X49" s="463">
        <f t="shared" si="48"/>
        <v>1.6891445923698565</v>
      </c>
      <c r="Y49" s="463">
        <f t="shared" si="11"/>
        <v>1.1412837815729314E-2</v>
      </c>
      <c r="Z49" s="463">
        <f t="shared" si="12"/>
        <v>9.6374893642888884E-2</v>
      </c>
      <c r="AA49" s="463">
        <f t="shared" si="13"/>
        <v>3.0000000000000002E-2</v>
      </c>
      <c r="AB49" s="463">
        <f t="shared" si="14"/>
        <v>0</v>
      </c>
      <c r="AC49" s="463">
        <f t="shared" si="49"/>
        <v>0.13794516603936535</v>
      </c>
      <c r="AD49" s="463">
        <f t="shared" si="50"/>
        <v>1.9897682829610659</v>
      </c>
      <c r="AE49" s="463">
        <f t="shared" si="17"/>
        <v>1.5836711279511313E-2</v>
      </c>
      <c r="AF49" s="463">
        <f t="shared" si="18"/>
        <v>3.6000000000000004E-2</v>
      </c>
      <c r="AG49" s="463">
        <f t="shared" si="51"/>
        <v>5.1918933795957981E-2</v>
      </c>
      <c r="AH49" s="463">
        <f t="shared" si="52"/>
        <v>0</v>
      </c>
      <c r="AI49">
        <f t="shared" si="21"/>
        <v>0</v>
      </c>
      <c r="AJ49" s="464">
        <f t="shared" si="22"/>
        <v>0.119904</v>
      </c>
      <c r="AK49">
        <f t="shared" si="23"/>
        <v>3.6000000000000004E-2</v>
      </c>
      <c r="AL49" s="464">
        <f t="shared" si="24"/>
        <v>0.27</v>
      </c>
      <c r="AM49" s="464">
        <f t="shared" si="25"/>
        <v>0.17963774597495527</v>
      </c>
      <c r="AN49" s="464">
        <f t="shared" si="42"/>
        <v>0.30600000000000005</v>
      </c>
      <c r="AO49" s="464">
        <f t="shared" si="53"/>
        <v>1.0653109803158298</v>
      </c>
      <c r="AP49" s="100">
        <f t="shared" si="27"/>
        <v>12.000000000000002</v>
      </c>
      <c r="AQ49" s="10">
        <f t="shared" si="43"/>
        <v>0.91846263882116352</v>
      </c>
      <c r="AR49" s="77">
        <f t="shared" si="54"/>
        <v>3.448629150984134</v>
      </c>
      <c r="AS49" s="77">
        <f t="shared" si="44"/>
        <v>1.2979733448989494</v>
      </c>
      <c r="AT49" s="10"/>
      <c r="AU49">
        <f t="shared" si="45"/>
        <v>91.846263882116347</v>
      </c>
      <c r="BD49">
        <v>9.9970090000000003</v>
      </c>
      <c r="BE49">
        <v>8.6120000000000001</v>
      </c>
      <c r="BF49">
        <v>5.1085419999999999</v>
      </c>
      <c r="BG49">
        <v>91.346378256658895</v>
      </c>
      <c r="BH49">
        <v>4167.8065612820019</v>
      </c>
    </row>
    <row r="50" spans="1:60" x14ac:dyDescent="0.15">
      <c r="A50" s="36" t="s">
        <v>153</v>
      </c>
      <c r="B50" s="5">
        <v>4500</v>
      </c>
      <c r="C50" s="473" t="s">
        <v>623</v>
      </c>
      <c r="D50" s="34" t="s">
        <v>185</v>
      </c>
      <c r="G50">
        <v>41</v>
      </c>
      <c r="H50">
        <f t="shared" si="0"/>
        <v>2.46</v>
      </c>
      <c r="I50" s="463">
        <f t="shared" si="1"/>
        <v>0.41888066666666662</v>
      </c>
      <c r="J50" s="464">
        <f t="shared" si="2"/>
        <v>3.5541389898989899</v>
      </c>
      <c r="K50" s="464">
        <f t="shared" si="31"/>
        <v>4.2370694949494947</v>
      </c>
      <c r="L50" s="464">
        <f t="shared" si="32"/>
        <v>0.68293050505050501</v>
      </c>
      <c r="M50" s="77">
        <f t="shared" si="3"/>
        <v>0</v>
      </c>
      <c r="N50" s="463">
        <f t="shared" si="46"/>
        <v>2.6653815230269289</v>
      </c>
      <c r="O50" s="463">
        <f t="shared" si="5"/>
        <v>4.8496383694972632E-2</v>
      </c>
      <c r="P50">
        <f t="shared" si="6"/>
        <v>0.4</v>
      </c>
      <c r="Q50" s="463">
        <f t="shared" si="34"/>
        <v>0.44849638369497263</v>
      </c>
      <c r="R50" s="9">
        <f t="shared" si="39"/>
        <v>1.0259915512777633</v>
      </c>
      <c r="S50" s="9">
        <f t="shared" si="7"/>
        <v>2.1053173265867023E-3</v>
      </c>
      <c r="T50" s="9">
        <f t="shared" si="40"/>
        <v>2.1053173265867023E-3</v>
      </c>
      <c r="U50" s="463">
        <f t="shared" si="47"/>
        <v>1.7250613337075178</v>
      </c>
      <c r="V50" s="465">
        <f t="shared" si="9"/>
        <v>9.820260796674109E-4</v>
      </c>
      <c r="W50" s="463">
        <f t="shared" si="41"/>
        <v>9.820260796674109E-4</v>
      </c>
      <c r="X50" s="463">
        <f t="shared" si="48"/>
        <v>1.7250613337075178</v>
      </c>
      <c r="Y50" s="463">
        <f t="shared" si="11"/>
        <v>1.190334642021104E-2</v>
      </c>
      <c r="Z50" s="463">
        <f t="shared" si="12"/>
        <v>9.8200707614972779E-2</v>
      </c>
      <c r="AA50" s="463">
        <f t="shared" si="13"/>
        <v>3.0000000000000002E-2</v>
      </c>
      <c r="AB50" s="463">
        <f t="shared" si="14"/>
        <v>0</v>
      </c>
      <c r="AC50" s="463">
        <f t="shared" si="49"/>
        <v>0.14027102349372017</v>
      </c>
      <c r="AD50" s="463">
        <f t="shared" si="50"/>
        <v>2.0318518790110147</v>
      </c>
      <c r="AE50" s="463">
        <f t="shared" si="17"/>
        <v>1.6513688232962367E-2</v>
      </c>
      <c r="AF50" s="463">
        <f t="shared" si="18"/>
        <v>3.6899999999999995E-2</v>
      </c>
      <c r="AG50" s="463">
        <f t="shared" si="51"/>
        <v>5.3502039833526194E-2</v>
      </c>
      <c r="AH50" s="463">
        <f t="shared" si="52"/>
        <v>0</v>
      </c>
      <c r="AI50">
        <f t="shared" si="21"/>
        <v>0</v>
      </c>
      <c r="AJ50" s="464">
        <f t="shared" si="22"/>
        <v>0.1199016</v>
      </c>
      <c r="AK50">
        <f t="shared" si="23"/>
        <v>3.6000000000000004E-2</v>
      </c>
      <c r="AL50" s="464">
        <f t="shared" si="24"/>
        <v>0.27</v>
      </c>
      <c r="AM50" s="464">
        <f t="shared" si="25"/>
        <v>0.17963774597495527</v>
      </c>
      <c r="AN50" s="464">
        <f t="shared" si="42"/>
        <v>0.30600000000000005</v>
      </c>
      <c r="AO50" s="464">
        <f t="shared" si="53"/>
        <v>1.0712583904284732</v>
      </c>
      <c r="AP50" s="100">
        <f t="shared" si="27"/>
        <v>12.3</v>
      </c>
      <c r="AQ50" s="10">
        <f t="shared" si="43"/>
        <v>0.91988350242372763</v>
      </c>
      <c r="AR50" s="77">
        <f t="shared" si="54"/>
        <v>3.5067755873430042</v>
      </c>
      <c r="AS50" s="77">
        <f t="shared" si="44"/>
        <v>1.3375509958381548</v>
      </c>
      <c r="AT50" s="10"/>
      <c r="AU50">
        <f t="shared" si="45"/>
        <v>91.988350242372761</v>
      </c>
      <c r="BD50">
        <v>9.9969590000000004</v>
      </c>
      <c r="BE50">
        <v>9.5229999999999997</v>
      </c>
      <c r="BF50">
        <v>5.1087540000000002</v>
      </c>
      <c r="BG50">
        <v>90.547826191651922</v>
      </c>
      <c r="BH50">
        <v>5078.5816240809982</v>
      </c>
    </row>
    <row r="51" spans="1:60" x14ac:dyDescent="0.15">
      <c r="A51" s="36" t="s">
        <v>138</v>
      </c>
      <c r="B51" s="5">
        <f>QgBot*1000000000</f>
        <v>45</v>
      </c>
      <c r="C51" s="473" t="s">
        <v>136</v>
      </c>
      <c r="D51" s="34" t="s">
        <v>180</v>
      </c>
      <c r="G51">
        <v>42</v>
      </c>
      <c r="H51">
        <f t="shared" si="0"/>
        <v>2.52</v>
      </c>
      <c r="I51" s="463">
        <f t="shared" si="1"/>
        <v>0.41893466666666668</v>
      </c>
      <c r="J51" s="464">
        <f t="shared" si="2"/>
        <v>3.5545971717171718</v>
      </c>
      <c r="K51" s="464">
        <f t="shared" si="31"/>
        <v>4.2972985858585862</v>
      </c>
      <c r="L51" s="464">
        <f t="shared" si="32"/>
        <v>0.74270141414141411</v>
      </c>
      <c r="M51" s="77">
        <f t="shared" si="3"/>
        <v>0</v>
      </c>
      <c r="N51" s="463">
        <f t="shared" si="46"/>
        <v>2.7209061152059211</v>
      </c>
      <c r="O51" s="463">
        <f t="shared" si="5"/>
        <v>5.0546215007830061E-2</v>
      </c>
      <c r="P51">
        <f t="shared" si="6"/>
        <v>0.4</v>
      </c>
      <c r="Q51" s="463">
        <f t="shared" si="34"/>
        <v>0.4505462150078301</v>
      </c>
      <c r="R51" s="9">
        <f t="shared" si="39"/>
        <v>1.0261238169757958</v>
      </c>
      <c r="S51" s="9">
        <f t="shared" si="7"/>
        <v>2.1058601755299532E-3</v>
      </c>
      <c r="T51" s="9">
        <f t="shared" si="40"/>
        <v>2.1058601755299532E-3</v>
      </c>
      <c r="U51" s="463">
        <f t="shared" si="47"/>
        <v>1.7611109058038126</v>
      </c>
      <c r="V51" s="465">
        <f t="shared" si="9"/>
        <v>1.0234988354385713E-3</v>
      </c>
      <c r="W51" s="463">
        <f t="shared" si="41"/>
        <v>1.0234988354385713E-3</v>
      </c>
      <c r="X51" s="463">
        <f t="shared" si="48"/>
        <v>1.7611109058038126</v>
      </c>
      <c r="Y51" s="463">
        <f t="shared" si="11"/>
        <v>1.2406046490164501E-2</v>
      </c>
      <c r="Z51" s="463">
        <f t="shared" si="12"/>
        <v>0.10002652158705667</v>
      </c>
      <c r="AA51" s="463">
        <f t="shared" si="13"/>
        <v>3.0000000000000002E-2</v>
      </c>
      <c r="AB51" s="463">
        <f t="shared" si="14"/>
        <v>0</v>
      </c>
      <c r="AC51" s="463">
        <f t="shared" si="49"/>
        <v>0.14260949007360035</v>
      </c>
      <c r="AD51" s="463">
        <f t="shared" si="50"/>
        <v>2.0740825598861421</v>
      </c>
      <c r="AE51" s="463">
        <f t="shared" si="17"/>
        <v>1.7207273860895409E-2</v>
      </c>
      <c r="AF51" s="463">
        <f t="shared" si="18"/>
        <v>3.78E-2</v>
      </c>
      <c r="AG51" s="463">
        <f t="shared" si="51"/>
        <v>5.5102089535389705E-2</v>
      </c>
      <c r="AH51" s="463">
        <f t="shared" si="52"/>
        <v>0</v>
      </c>
      <c r="AI51">
        <f t="shared" si="21"/>
        <v>0</v>
      </c>
      <c r="AJ51" s="464">
        <f t="shared" si="22"/>
        <v>0.1198992</v>
      </c>
      <c r="AK51">
        <f t="shared" si="23"/>
        <v>3.6000000000000004E-2</v>
      </c>
      <c r="AL51" s="464">
        <f t="shared" si="24"/>
        <v>0.27</v>
      </c>
      <c r="AM51" s="464">
        <f t="shared" si="25"/>
        <v>0.17963774597495527</v>
      </c>
      <c r="AN51" s="464">
        <f t="shared" si="42"/>
        <v>0.30600000000000005</v>
      </c>
      <c r="AO51" s="464">
        <f t="shared" si="53"/>
        <v>1.0772863536277888</v>
      </c>
      <c r="AP51" s="100">
        <f t="shared" si="27"/>
        <v>12.6</v>
      </c>
      <c r="AQ51" s="10">
        <f t="shared" si="43"/>
        <v>0.92123537332081606</v>
      </c>
      <c r="AR51" s="77">
        <f t="shared" si="54"/>
        <v>3.5652372518400091</v>
      </c>
      <c r="AS51" s="77">
        <f t="shared" si="44"/>
        <v>1.3775522383847427</v>
      </c>
      <c r="AT51" s="10"/>
      <c r="AU51">
        <f t="shared" si="45"/>
        <v>92.123537332081611</v>
      </c>
      <c r="BD51">
        <v>9.9964639999999996</v>
      </c>
      <c r="BE51">
        <v>10.493</v>
      </c>
      <c r="BF51">
        <v>5.1092279999999999</v>
      </c>
      <c r="BG51">
        <v>89.626660259106615</v>
      </c>
      <c r="BH51">
        <v>6204.9221585439973</v>
      </c>
    </row>
    <row r="52" spans="1:60" x14ac:dyDescent="0.15">
      <c r="A52" s="36" t="s">
        <v>169</v>
      </c>
      <c r="B52" s="5">
        <f>RGateBot</f>
        <v>1</v>
      </c>
      <c r="C52" s="472" t="s">
        <v>208</v>
      </c>
      <c r="D52" s="34" t="s">
        <v>181</v>
      </c>
      <c r="G52">
        <v>43</v>
      </c>
      <c r="H52">
        <f t="shared" si="0"/>
        <v>2.58</v>
      </c>
      <c r="I52" s="463">
        <f t="shared" si="1"/>
        <v>0.41898866666666668</v>
      </c>
      <c r="J52" s="464">
        <f t="shared" si="2"/>
        <v>3.5550553535353542</v>
      </c>
      <c r="K52" s="464">
        <f t="shared" si="31"/>
        <v>4.3575276767676776</v>
      </c>
      <c r="L52" s="464">
        <f t="shared" si="32"/>
        <v>0.80247232323232298</v>
      </c>
      <c r="M52" s="77">
        <f t="shared" si="3"/>
        <v>0</v>
      </c>
      <c r="N52" s="463">
        <f t="shared" si="46"/>
        <v>2.7766169248250709</v>
      </c>
      <c r="O52" s="463">
        <f t="shared" si="5"/>
        <v>5.2646089443841804E-2</v>
      </c>
      <c r="P52">
        <f t="shared" si="6"/>
        <v>0.4</v>
      </c>
      <c r="Q52" s="463">
        <f t="shared" si="34"/>
        <v>0.45264608944384183</v>
      </c>
      <c r="R52" s="9">
        <f t="shared" si="39"/>
        <v>1.0262560826738285</v>
      </c>
      <c r="S52" s="9">
        <f t="shared" si="7"/>
        <v>2.1064030944500643E-3</v>
      </c>
      <c r="T52" s="9">
        <f t="shared" si="40"/>
        <v>2.1064030944500643E-3</v>
      </c>
      <c r="U52" s="463">
        <f t="shared" si="47"/>
        <v>1.7972856402929076</v>
      </c>
      <c r="V52" s="465">
        <f t="shared" si="9"/>
        <v>1.0659777720250186E-3</v>
      </c>
      <c r="W52" s="463">
        <f t="shared" si="41"/>
        <v>1.0659777720250186E-3</v>
      </c>
      <c r="X52" s="463">
        <f t="shared" si="48"/>
        <v>1.7972856402929076</v>
      </c>
      <c r="Y52" s="463">
        <f t="shared" si="11"/>
        <v>1.2920942691212349E-2</v>
      </c>
      <c r="Z52" s="463">
        <f t="shared" si="12"/>
        <v>0.10185233555914057</v>
      </c>
      <c r="AA52" s="463">
        <f t="shared" si="13"/>
        <v>3.0000000000000002E-2</v>
      </c>
      <c r="AB52" s="463">
        <f t="shared" si="14"/>
        <v>0</v>
      </c>
      <c r="AC52" s="463">
        <f t="shared" si="49"/>
        <v>0.1449605809862938</v>
      </c>
      <c r="AD52" s="463">
        <f t="shared" si="50"/>
        <v>2.1164512454630149</v>
      </c>
      <c r="AE52" s="463">
        <f t="shared" si="17"/>
        <v>1.7917463497687788E-2</v>
      </c>
      <c r="AF52" s="463">
        <f t="shared" si="18"/>
        <v>3.8699999999999998E-2</v>
      </c>
      <c r="AG52" s="463">
        <f t="shared" si="51"/>
        <v>5.6719089719655183E-2</v>
      </c>
      <c r="AH52" s="463">
        <f t="shared" si="52"/>
        <v>0</v>
      </c>
      <c r="AI52">
        <f t="shared" si="21"/>
        <v>0</v>
      </c>
      <c r="AJ52" s="464">
        <f t="shared" si="22"/>
        <v>0.1198968</v>
      </c>
      <c r="AK52">
        <f t="shared" si="23"/>
        <v>3.6000000000000004E-2</v>
      </c>
      <c r="AL52" s="464">
        <f t="shared" si="24"/>
        <v>0.27</v>
      </c>
      <c r="AM52" s="464">
        <f t="shared" si="25"/>
        <v>0.17963774597495527</v>
      </c>
      <c r="AN52" s="464">
        <f t="shared" si="42"/>
        <v>0.30600000000000005</v>
      </c>
      <c r="AO52" s="464">
        <f t="shared" si="53"/>
        <v>1.083394941016266</v>
      </c>
      <c r="AP52" s="100">
        <f t="shared" si="27"/>
        <v>12.9</v>
      </c>
      <c r="AQ52" s="10">
        <f t="shared" si="43"/>
        <v>0.92252275319504573</v>
      </c>
      <c r="AR52" s="77">
        <f t="shared" si="54"/>
        <v>3.624014524657345</v>
      </c>
      <c r="AS52" s="77">
        <f t="shared" si="44"/>
        <v>1.4179772429913795</v>
      </c>
      <c r="AT52" s="10"/>
      <c r="AU52">
        <f t="shared" si="45"/>
        <v>92.252275319504577</v>
      </c>
      <c r="BD52">
        <v>9.9959819999999997</v>
      </c>
      <c r="BE52">
        <v>11.519</v>
      </c>
      <c r="BF52">
        <v>5.1101260000000002</v>
      </c>
      <c r="BG52">
        <v>88.591390420220321</v>
      </c>
      <c r="BH52">
        <v>7580.3207309739973</v>
      </c>
    </row>
    <row r="53" spans="1:60" x14ac:dyDescent="0.15">
      <c r="A53" s="36" t="s">
        <v>144</v>
      </c>
      <c r="B53" s="5">
        <f>VsdBot</f>
        <v>1</v>
      </c>
      <c r="C53" s="473" t="s">
        <v>0</v>
      </c>
      <c r="D53" s="34" t="s">
        <v>186</v>
      </c>
      <c r="G53">
        <v>44</v>
      </c>
      <c r="H53">
        <f t="shared" si="0"/>
        <v>2.64</v>
      </c>
      <c r="I53" s="463">
        <f t="shared" si="1"/>
        <v>0.41904266666666667</v>
      </c>
      <c r="J53" s="464">
        <f t="shared" si="2"/>
        <v>3.5555135353535352</v>
      </c>
      <c r="K53" s="464">
        <f t="shared" si="31"/>
        <v>4.4177567676767673</v>
      </c>
      <c r="L53" s="464">
        <f t="shared" si="32"/>
        <v>0.86224323232323252</v>
      </c>
      <c r="M53" s="77">
        <f t="shared" si="3"/>
        <v>0</v>
      </c>
      <c r="N53" s="463">
        <f t="shared" si="46"/>
        <v>2.8325029641067485</v>
      </c>
      <c r="O53" s="463">
        <f t="shared" si="5"/>
        <v>5.47960569086135E-2</v>
      </c>
      <c r="P53">
        <f t="shared" si="6"/>
        <v>0.4</v>
      </c>
      <c r="Q53" s="463">
        <f t="shared" si="34"/>
        <v>0.45479605690861352</v>
      </c>
      <c r="R53" s="9">
        <f t="shared" si="39"/>
        <v>1.0263883483718608</v>
      </c>
      <c r="S53" s="9">
        <f t="shared" si="7"/>
        <v>2.1069460833470326E-3</v>
      </c>
      <c r="T53" s="9">
        <f t="shared" si="40"/>
        <v>2.1069460833470326E-3</v>
      </c>
      <c r="U53" s="463">
        <f t="shared" si="47"/>
        <v>1.8335784472567067</v>
      </c>
      <c r="V53" s="465">
        <f t="shared" si="9"/>
        <v>1.1094632743406242E-3</v>
      </c>
      <c r="W53" s="463">
        <f t="shared" si="41"/>
        <v>1.1094632743406242E-3</v>
      </c>
      <c r="X53" s="463">
        <f t="shared" si="48"/>
        <v>1.8335784472567067</v>
      </c>
      <c r="Y53" s="463">
        <f t="shared" si="11"/>
        <v>1.3448039688977263E-2</v>
      </c>
      <c r="Z53" s="463">
        <f t="shared" si="12"/>
        <v>0.10367814953122444</v>
      </c>
      <c r="AA53" s="463">
        <f t="shared" si="13"/>
        <v>3.0000000000000002E-2</v>
      </c>
      <c r="AB53" s="463">
        <f t="shared" si="14"/>
        <v>0</v>
      </c>
      <c r="AC53" s="463">
        <f t="shared" si="49"/>
        <v>0.14732431153907458</v>
      </c>
      <c r="AD53" s="463">
        <f t="shared" si="50"/>
        <v>2.1589495407325301</v>
      </c>
      <c r="AE53" s="463">
        <f t="shared" si="17"/>
        <v>1.8644252477716811E-2</v>
      </c>
      <c r="AF53" s="463">
        <f t="shared" si="18"/>
        <v>3.9599999999999996E-2</v>
      </c>
      <c r="AG53" s="463">
        <f t="shared" si="51"/>
        <v>5.8353047372522553E-2</v>
      </c>
      <c r="AH53" s="463">
        <f t="shared" si="52"/>
        <v>0</v>
      </c>
      <c r="AI53">
        <f t="shared" si="21"/>
        <v>0</v>
      </c>
      <c r="AJ53" s="464">
        <f t="shared" si="22"/>
        <v>0.1198944</v>
      </c>
      <c r="AK53">
        <f t="shared" si="23"/>
        <v>3.6000000000000004E-2</v>
      </c>
      <c r="AL53" s="464">
        <f t="shared" si="24"/>
        <v>0.27</v>
      </c>
      <c r="AM53" s="464">
        <f t="shared" si="25"/>
        <v>0.17963774597495527</v>
      </c>
      <c r="AN53" s="464">
        <f t="shared" si="42"/>
        <v>0.30600000000000005</v>
      </c>
      <c r="AO53" s="464">
        <f t="shared" si="53"/>
        <v>1.0895842251778984</v>
      </c>
      <c r="AP53" s="100">
        <f t="shared" si="27"/>
        <v>13.200000000000001</v>
      </c>
      <c r="AQ53" s="10">
        <f t="shared" si="43"/>
        <v>0.92374976010442089</v>
      </c>
      <c r="AR53" s="77">
        <f t="shared" si="54"/>
        <v>3.6831077884768644</v>
      </c>
      <c r="AS53" s="77">
        <f t="shared" si="44"/>
        <v>1.4588261843130639</v>
      </c>
      <c r="AT53" s="10"/>
      <c r="AU53">
        <f t="shared" si="45"/>
        <v>92.374976010442083</v>
      </c>
      <c r="BD53">
        <v>9.9955739999999995</v>
      </c>
      <c r="BE53">
        <v>12.605</v>
      </c>
      <c r="BF53">
        <v>5.1111979999999999</v>
      </c>
      <c r="BG53">
        <v>87.386508098290477</v>
      </c>
      <c r="BH53">
        <v>9299.4335961019988</v>
      </c>
    </row>
    <row r="54" spans="1:60" x14ac:dyDescent="0.15">
      <c r="A54" s="36" t="s">
        <v>145</v>
      </c>
      <c r="B54" s="5">
        <f>QrrBot*1000000000</f>
        <v>40</v>
      </c>
      <c r="C54" s="473" t="s">
        <v>136</v>
      </c>
      <c r="D54" s="34" t="s">
        <v>196</v>
      </c>
      <c r="E54" s="13"/>
      <c r="G54">
        <v>45</v>
      </c>
      <c r="H54">
        <f t="shared" si="0"/>
        <v>2.7</v>
      </c>
      <c r="I54" s="463">
        <f t="shared" si="1"/>
        <v>0.41909666666666667</v>
      </c>
      <c r="J54" s="464">
        <f t="shared" si="2"/>
        <v>3.5559717171717176</v>
      </c>
      <c r="K54" s="464">
        <f t="shared" si="31"/>
        <v>4.4779858585858587</v>
      </c>
      <c r="L54" s="464">
        <f t="shared" si="32"/>
        <v>0.9220141414141414</v>
      </c>
      <c r="M54" s="77">
        <f t="shared" si="3"/>
        <v>0</v>
      </c>
      <c r="N54" s="463">
        <f t="shared" si="46"/>
        <v>2.8885540623485713</v>
      </c>
      <c r="O54" s="463">
        <f t="shared" si="5"/>
        <v>5.6996168524154393E-2</v>
      </c>
      <c r="P54">
        <f t="shared" si="6"/>
        <v>0.4</v>
      </c>
      <c r="Q54" s="463">
        <f t="shared" si="34"/>
        <v>0.45699616852415442</v>
      </c>
      <c r="R54" s="9">
        <f t="shared" si="39"/>
        <v>1.0265206140698935</v>
      </c>
      <c r="S54" s="9">
        <f t="shared" si="7"/>
        <v>2.1074891422208624E-3</v>
      </c>
      <c r="T54" s="9">
        <f t="shared" si="40"/>
        <v>2.1074891422208624E-3</v>
      </c>
      <c r="U54" s="463">
        <f t="shared" si="47"/>
        <v>1.86998276389663</v>
      </c>
      <c r="V54" s="465">
        <f t="shared" si="9"/>
        <v>1.1539557272992583E-3</v>
      </c>
      <c r="W54" s="463">
        <f t="shared" si="41"/>
        <v>1.1539557272992583E-3</v>
      </c>
      <c r="X54" s="463">
        <f t="shared" si="48"/>
        <v>1.86998276389663</v>
      </c>
      <c r="Y54" s="463">
        <f t="shared" si="11"/>
        <v>1.3987342149081919E-2</v>
      </c>
      <c r="Z54" s="463">
        <f t="shared" si="12"/>
        <v>0.10550396350330833</v>
      </c>
      <c r="AA54" s="463">
        <f t="shared" si="13"/>
        <v>3.0000000000000002E-2</v>
      </c>
      <c r="AB54" s="463">
        <f t="shared" si="14"/>
        <v>0</v>
      </c>
      <c r="AC54" s="463">
        <f t="shared" si="49"/>
        <v>0.14970069713947487</v>
      </c>
      <c r="AD54" s="463">
        <f t="shared" si="50"/>
        <v>2.2015696749909948</v>
      </c>
      <c r="AE54" s="463">
        <f t="shared" si="17"/>
        <v>1.9387636135359817E-2</v>
      </c>
      <c r="AF54" s="463">
        <f t="shared" si="18"/>
        <v>4.0500000000000001E-2</v>
      </c>
      <c r="AG54" s="463">
        <f t="shared" si="51"/>
        <v>6.0003969648381811E-2</v>
      </c>
      <c r="AH54" s="463">
        <f t="shared" si="52"/>
        <v>0</v>
      </c>
      <c r="AI54">
        <f t="shared" si="21"/>
        <v>0</v>
      </c>
      <c r="AJ54" s="464">
        <f t="shared" si="22"/>
        <v>0.119892</v>
      </c>
      <c r="AK54">
        <f t="shared" si="23"/>
        <v>3.6000000000000004E-2</v>
      </c>
      <c r="AL54" s="464">
        <f t="shared" si="24"/>
        <v>0.27</v>
      </c>
      <c r="AM54" s="464">
        <f t="shared" si="25"/>
        <v>0.17963774597495527</v>
      </c>
      <c r="AN54" s="464">
        <f t="shared" si="42"/>
        <v>0.30600000000000005</v>
      </c>
      <c r="AO54" s="464">
        <f t="shared" si="53"/>
        <v>1.0958542801815314</v>
      </c>
      <c r="AP54" s="100">
        <f t="shared" si="27"/>
        <v>13.5</v>
      </c>
      <c r="AQ54" s="10">
        <f t="shared" si="43"/>
        <v>0.92492016848445124</v>
      </c>
      <c r="AR54" s="77">
        <f t="shared" si="54"/>
        <v>3.7425174284868716</v>
      </c>
      <c r="AS54" s="77">
        <f t="shared" si="44"/>
        <v>1.5000992412095453</v>
      </c>
      <c r="AT54" s="10"/>
      <c r="AU54">
        <f t="shared" si="45"/>
        <v>92.492016848445118</v>
      </c>
      <c r="BD54">
        <v>9.9949670000000008</v>
      </c>
      <c r="BE54">
        <v>13.75</v>
      </c>
      <c r="BF54">
        <v>5.1122329999999998</v>
      </c>
      <c r="BG54">
        <v>85.985113444924963</v>
      </c>
      <c r="BH54">
        <v>11457.230537720005</v>
      </c>
    </row>
    <row r="55" spans="1:60" x14ac:dyDescent="0.15">
      <c r="A55" s="36" t="s">
        <v>146</v>
      </c>
      <c r="B55" s="5">
        <f>TrrBot*1000000000</f>
        <v>40</v>
      </c>
      <c r="C55" s="473" t="s">
        <v>147</v>
      </c>
      <c r="D55" s="34" t="s">
        <v>187</v>
      </c>
      <c r="E55" s="13"/>
      <c r="G55">
        <v>46</v>
      </c>
      <c r="H55">
        <f t="shared" si="0"/>
        <v>2.7600000000000002</v>
      </c>
      <c r="I55" s="463">
        <f t="shared" si="1"/>
        <v>0.41915066666666667</v>
      </c>
      <c r="J55" s="464">
        <f t="shared" si="2"/>
        <v>3.556429898989899</v>
      </c>
      <c r="K55" s="464">
        <f t="shared" si="31"/>
        <v>4.5382149494949502</v>
      </c>
      <c r="L55" s="464">
        <f t="shared" si="32"/>
        <v>0.98178505050505072</v>
      </c>
      <c r="M55" s="77">
        <f t="shared" si="3"/>
        <v>0</v>
      </c>
      <c r="N55" s="463">
        <f t="shared" si="46"/>
        <v>2.9447607942812226</v>
      </c>
      <c r="O55" s="463">
        <f t="shared" si="5"/>
        <v>5.9246476631931166E-2</v>
      </c>
      <c r="P55">
        <f t="shared" si="6"/>
        <v>0.4</v>
      </c>
      <c r="Q55" s="463">
        <f t="shared" si="34"/>
        <v>0.45924647663193119</v>
      </c>
      <c r="R55" s="9">
        <f t="shared" si="39"/>
        <v>1.026652879767926</v>
      </c>
      <c r="S55" s="9">
        <f t="shared" si="7"/>
        <v>2.1080322710715508E-3</v>
      </c>
      <c r="T55" s="9">
        <f t="shared" si="40"/>
        <v>2.1080322710715508E-3</v>
      </c>
      <c r="U55" s="463">
        <f t="shared" si="47"/>
        <v>1.9064925083218254</v>
      </c>
      <c r="V55" s="465">
        <f t="shared" si="9"/>
        <v>1.1994555158147909E-3</v>
      </c>
      <c r="W55" s="463">
        <f t="shared" si="41"/>
        <v>1.1994555158147909E-3</v>
      </c>
      <c r="X55" s="463">
        <f t="shared" si="48"/>
        <v>1.9064925083218254</v>
      </c>
      <c r="Y55" s="463">
        <f t="shared" si="11"/>
        <v>1.4538854737148981E-2</v>
      </c>
      <c r="Z55" s="463">
        <f t="shared" si="12"/>
        <v>0.10732977747539223</v>
      </c>
      <c r="AA55" s="463">
        <f t="shared" si="13"/>
        <v>3.0000000000000002E-2</v>
      </c>
      <c r="AB55" s="463">
        <f t="shared" si="14"/>
        <v>0</v>
      </c>
      <c r="AC55" s="463">
        <f t="shared" si="49"/>
        <v>0.15208975329555852</v>
      </c>
      <c r="AD55" s="463">
        <f t="shared" si="50"/>
        <v>2.2443044470945854</v>
      </c>
      <c r="AE55" s="463">
        <f t="shared" si="17"/>
        <v>2.0147609804994134E-2</v>
      </c>
      <c r="AF55" s="463">
        <f t="shared" si="18"/>
        <v>4.1400000000000006E-2</v>
      </c>
      <c r="AG55" s="463">
        <f t="shared" si="51"/>
        <v>6.1671863869913919E-2</v>
      </c>
      <c r="AH55" s="463">
        <f t="shared" si="52"/>
        <v>0</v>
      </c>
      <c r="AI55">
        <f t="shared" si="21"/>
        <v>0</v>
      </c>
      <c r="AJ55" s="464">
        <f t="shared" si="22"/>
        <v>0.11988960000000001</v>
      </c>
      <c r="AK55">
        <f t="shared" si="23"/>
        <v>3.6000000000000004E-2</v>
      </c>
      <c r="AL55" s="464">
        <f t="shared" si="24"/>
        <v>0.27</v>
      </c>
      <c r="AM55" s="464">
        <f t="shared" si="25"/>
        <v>0.17963774597495527</v>
      </c>
      <c r="AN55" s="464">
        <f t="shared" si="42"/>
        <v>0.30600000000000005</v>
      </c>
      <c r="AO55" s="464">
        <f t="shared" si="53"/>
        <v>1.1022051815842899</v>
      </c>
      <c r="AP55" s="100">
        <f t="shared" si="27"/>
        <v>13.8</v>
      </c>
      <c r="AQ55" s="10">
        <f t="shared" si="43"/>
        <v>0.92603744424708612</v>
      </c>
      <c r="AR55" s="77">
        <f t="shared" si="54"/>
        <v>3.8022438323889629</v>
      </c>
      <c r="AS55" s="77">
        <f t="shared" si="44"/>
        <v>1.541796596747848</v>
      </c>
      <c r="AT55" s="10"/>
      <c r="AU55">
        <f t="shared" si="45"/>
        <v>92.603744424708609</v>
      </c>
      <c r="BD55">
        <v>9.9943860000000004</v>
      </c>
      <c r="BE55">
        <v>14.954000000000001</v>
      </c>
      <c r="BF55">
        <v>5.1130310000000003</v>
      </c>
      <c r="BG55">
        <v>84.352650264578628</v>
      </c>
      <c r="BH55">
        <v>14183.318533699994</v>
      </c>
    </row>
    <row r="56" spans="1:60" x14ac:dyDescent="0.15">
      <c r="A56" s="36" t="s">
        <v>160</v>
      </c>
      <c r="B56" s="5">
        <f>ThetaJaBot</f>
        <v>25</v>
      </c>
      <c r="C56" s="473" t="s">
        <v>381</v>
      </c>
      <c r="D56" s="34" t="s">
        <v>184</v>
      </c>
      <c r="E56" s="62"/>
      <c r="G56">
        <v>47</v>
      </c>
      <c r="H56">
        <f t="shared" si="0"/>
        <v>2.82</v>
      </c>
      <c r="I56" s="463">
        <f t="shared" si="1"/>
        <v>0.41920466666666667</v>
      </c>
      <c r="J56" s="464">
        <f t="shared" si="2"/>
        <v>3.5568880808080814</v>
      </c>
      <c r="K56" s="464">
        <f t="shared" si="31"/>
        <v>4.5984440404040408</v>
      </c>
      <c r="L56" s="464">
        <f t="shared" si="32"/>
        <v>1.0415559595959591</v>
      </c>
      <c r="M56" s="77">
        <f t="shared" si="3"/>
        <v>0</v>
      </c>
      <c r="N56" s="463">
        <f t="shared" si="46"/>
        <v>3.0011144155046052</v>
      </c>
      <c r="O56" s="463">
        <f t="shared" si="5"/>
        <v>6.1547034795997199E-2</v>
      </c>
      <c r="P56">
        <f t="shared" si="6"/>
        <v>0.4</v>
      </c>
      <c r="Q56" s="463">
        <f t="shared" si="34"/>
        <v>0.46154703479599724</v>
      </c>
      <c r="R56" s="9">
        <f t="shared" si="39"/>
        <v>1.0267851454659587</v>
      </c>
      <c r="S56" s="9">
        <f t="shared" si="7"/>
        <v>2.1085754698990998E-3</v>
      </c>
      <c r="T56" s="9">
        <f t="shared" si="40"/>
        <v>2.1085754698990998E-3</v>
      </c>
      <c r="U56" s="463">
        <f t="shared" si="47"/>
        <v>1.9431020379023538</v>
      </c>
      <c r="V56" s="465">
        <f t="shared" si="9"/>
        <v>1.2459630248010925E-3</v>
      </c>
      <c r="W56" s="463">
        <f t="shared" si="41"/>
        <v>1.2459630248010925E-3</v>
      </c>
      <c r="X56" s="463">
        <f t="shared" si="48"/>
        <v>1.9431020379023538</v>
      </c>
      <c r="Y56" s="463">
        <f t="shared" si="11"/>
        <v>1.5102582118801122E-2</v>
      </c>
      <c r="Z56" s="463">
        <f t="shared" si="12"/>
        <v>0.10915559144747611</v>
      </c>
      <c r="AA56" s="463">
        <f t="shared" si="13"/>
        <v>3.0000000000000002E-2</v>
      </c>
      <c r="AB56" s="463">
        <f t="shared" si="14"/>
        <v>0</v>
      </c>
      <c r="AC56" s="463">
        <f t="shared" si="49"/>
        <v>0.15449149561619721</v>
      </c>
      <c r="AD56" s="463">
        <f t="shared" si="50"/>
        <v>2.2871471761234052</v>
      </c>
      <c r="AE56" s="463">
        <f t="shared" si="17"/>
        <v>2.0924168820997069E-2</v>
      </c>
      <c r="AF56" s="463">
        <f t="shared" si="18"/>
        <v>4.2299999999999997E-2</v>
      </c>
      <c r="AG56" s="463">
        <f t="shared" si="51"/>
        <v>6.3356737528195831E-2</v>
      </c>
      <c r="AH56" s="463">
        <f t="shared" si="52"/>
        <v>0</v>
      </c>
      <c r="AI56">
        <f t="shared" si="21"/>
        <v>0</v>
      </c>
      <c r="AJ56" s="464">
        <f t="shared" si="22"/>
        <v>0.11988720000000001</v>
      </c>
      <c r="AK56">
        <f t="shared" si="23"/>
        <v>3.6000000000000004E-2</v>
      </c>
      <c r="AL56" s="464">
        <f t="shared" si="24"/>
        <v>0.27</v>
      </c>
      <c r="AM56" s="464">
        <f t="shared" si="25"/>
        <v>0.17963774597495527</v>
      </c>
      <c r="AN56" s="464">
        <f t="shared" si="42"/>
        <v>0.30600000000000005</v>
      </c>
      <c r="AO56" s="464">
        <f t="shared" si="53"/>
        <v>1.1086370064350906</v>
      </c>
      <c r="AP56" s="100">
        <f t="shared" si="27"/>
        <v>14.1</v>
      </c>
      <c r="AQ56" s="10">
        <f t="shared" si="43"/>
        <v>0.92710477566359151</v>
      </c>
      <c r="AR56" s="77">
        <f t="shared" si="54"/>
        <v>3.8622873904049304</v>
      </c>
      <c r="AS56" s="77">
        <f t="shared" si="44"/>
        <v>1.5839184382048959</v>
      </c>
      <c r="AT56" s="10"/>
      <c r="AU56">
        <f t="shared" si="45"/>
        <v>92.710477566359145</v>
      </c>
      <c r="BE56" s="31"/>
      <c r="BF56" s="32"/>
    </row>
    <row r="57" spans="1:60" x14ac:dyDescent="0.15">
      <c r="A57" s="37" t="s">
        <v>364</v>
      </c>
      <c r="B57" s="28" t="s">
        <v>201</v>
      </c>
      <c r="C57" s="37" t="s">
        <v>148</v>
      </c>
      <c r="D57" s="542" t="s">
        <v>391</v>
      </c>
      <c r="E57" s="53"/>
      <c r="G57">
        <v>48</v>
      </c>
      <c r="H57">
        <f t="shared" si="0"/>
        <v>2.88</v>
      </c>
      <c r="I57" s="463">
        <f t="shared" si="1"/>
        <v>0.41925866666666667</v>
      </c>
      <c r="J57" s="464">
        <f t="shared" si="2"/>
        <v>3.5573462626262624</v>
      </c>
      <c r="K57" s="464">
        <f t="shared" si="31"/>
        <v>4.6586731313131313</v>
      </c>
      <c r="L57" s="464">
        <f t="shared" si="32"/>
        <v>1.1013268686868687</v>
      </c>
      <c r="M57" s="77">
        <f t="shared" si="3"/>
        <v>0</v>
      </c>
      <c r="N57" s="463">
        <f t="shared" si="46"/>
        <v>3.0576068042427811</v>
      </c>
      <c r="O57" s="463">
        <f t="shared" si="5"/>
        <v>6.3897897806197076E-2</v>
      </c>
      <c r="P57">
        <f t="shared" si="6"/>
        <v>0.4</v>
      </c>
      <c r="Q57" s="463">
        <f t="shared" si="34"/>
        <v>0.46389789780619711</v>
      </c>
      <c r="R57" s="9">
        <f t="shared" si="39"/>
        <v>1.0269174111639909</v>
      </c>
      <c r="S57" s="9">
        <f t="shared" si="7"/>
        <v>2.1091187387035065E-3</v>
      </c>
      <c r="T57" s="9">
        <f t="shared" si="40"/>
        <v>2.1091187387035065E-3</v>
      </c>
      <c r="U57" s="463">
        <f t="shared" si="47"/>
        <v>1.9798061116976218</v>
      </c>
      <c r="V57" s="465">
        <f t="shared" si="9"/>
        <v>1.2934786391720346E-3</v>
      </c>
      <c r="W57" s="463">
        <f t="shared" si="41"/>
        <v>1.2934786391720346E-3</v>
      </c>
      <c r="X57" s="463">
        <f t="shared" si="48"/>
        <v>1.9798061116976218</v>
      </c>
      <c r="Y57" s="463">
        <f t="shared" si="11"/>
        <v>1.5678528959661025E-2</v>
      </c>
      <c r="Z57" s="463">
        <f t="shared" si="12"/>
        <v>0.11098140541956</v>
      </c>
      <c r="AA57" s="463">
        <f t="shared" si="13"/>
        <v>3.0000000000000002E-2</v>
      </c>
      <c r="AB57" s="463">
        <f t="shared" si="14"/>
        <v>0</v>
      </c>
      <c r="AC57" s="463">
        <f t="shared" si="49"/>
        <v>0.15690593981134851</v>
      </c>
      <c r="AD57" s="463">
        <f t="shared" si="50"/>
        <v>2.3300916568745738</v>
      </c>
      <c r="AE57" s="463">
        <f t="shared" si="17"/>
        <v>2.1717308517745983E-2</v>
      </c>
      <c r="AF57" s="463">
        <f t="shared" si="18"/>
        <v>4.3199999999999995E-2</v>
      </c>
      <c r="AG57" s="463">
        <f t="shared" si="51"/>
        <v>6.5058598282809965E-2</v>
      </c>
      <c r="AH57" s="463">
        <f t="shared" si="52"/>
        <v>0</v>
      </c>
      <c r="AI57">
        <f t="shared" si="21"/>
        <v>0</v>
      </c>
      <c r="AJ57" s="464">
        <f t="shared" si="22"/>
        <v>0.1198848</v>
      </c>
      <c r="AK57">
        <f t="shared" si="23"/>
        <v>3.6000000000000004E-2</v>
      </c>
      <c r="AL57" s="464">
        <f t="shared" si="24"/>
        <v>0.27</v>
      </c>
      <c r="AM57" s="464">
        <f t="shared" si="25"/>
        <v>0.17963774597495527</v>
      </c>
      <c r="AN57" s="464">
        <f t="shared" si="42"/>
        <v>0.30600000000000005</v>
      </c>
      <c r="AO57" s="464">
        <f t="shared" si="53"/>
        <v>1.1151498332782313</v>
      </c>
      <c r="AP57" s="100">
        <f t="shared" si="27"/>
        <v>14.399999999999999</v>
      </c>
      <c r="AQ57" s="10">
        <f t="shared" si="43"/>
        <v>0.92812510061060693</v>
      </c>
      <c r="AR57" s="77">
        <f t="shared" si="54"/>
        <v>3.9226484952837128</v>
      </c>
      <c r="AS57" s="77">
        <f t="shared" si="44"/>
        <v>1.6264649570702492</v>
      </c>
      <c r="AT57" s="10"/>
      <c r="AU57">
        <f t="shared" si="45"/>
        <v>92.812510061060692</v>
      </c>
      <c r="BE57" s="31"/>
      <c r="BF57" s="32"/>
    </row>
    <row r="58" spans="1:60" x14ac:dyDescent="0.15">
      <c r="A58" s="36" t="s">
        <v>365</v>
      </c>
      <c r="B58" s="136">
        <f>VfdSky</f>
        <v>0</v>
      </c>
      <c r="C58" s="473" t="s">
        <v>0</v>
      </c>
      <c r="D58" s="34" t="s">
        <v>368</v>
      </c>
      <c r="E58" s="53"/>
      <c r="G58">
        <v>49</v>
      </c>
      <c r="H58">
        <f t="shared" si="0"/>
        <v>2.94</v>
      </c>
      <c r="I58" s="463">
        <f t="shared" si="1"/>
        <v>0.41931266666666667</v>
      </c>
      <c r="J58" s="464">
        <f t="shared" si="2"/>
        <v>3.5578044444444448</v>
      </c>
      <c r="K58" s="464">
        <f t="shared" si="31"/>
        <v>4.7189022222222228</v>
      </c>
      <c r="L58" s="464">
        <f t="shared" si="32"/>
        <v>1.1610977777777776</v>
      </c>
      <c r="M58" s="77">
        <f t="shared" si="3"/>
        <v>0</v>
      </c>
      <c r="N58" s="463">
        <f t="shared" si="46"/>
        <v>3.1142304087434485</v>
      </c>
      <c r="O58" s="463">
        <f t="shared" si="5"/>
        <v>6.6299121681447068E-2</v>
      </c>
      <c r="P58">
        <f t="shared" si="6"/>
        <v>0.4</v>
      </c>
      <c r="Q58" s="463">
        <f t="shared" si="34"/>
        <v>0.4662991216814471</v>
      </c>
      <c r="R58" s="9">
        <f t="shared" si="39"/>
        <v>1.0270496768620236</v>
      </c>
      <c r="S58" s="9">
        <f t="shared" si="7"/>
        <v>2.1096620774847742E-3</v>
      </c>
      <c r="T58" s="9">
        <f t="shared" si="40"/>
        <v>2.1096620774847742E-3</v>
      </c>
      <c r="U58" s="463">
        <f t="shared" si="47"/>
        <v>2.0165998565252949</v>
      </c>
      <c r="V58" s="465">
        <f t="shared" si="9"/>
        <v>1.3420027438414872E-3</v>
      </c>
      <c r="W58" s="463">
        <f t="shared" si="41"/>
        <v>1.3420027438414872E-3</v>
      </c>
      <c r="X58" s="463">
        <f t="shared" si="48"/>
        <v>2.0165998565252949</v>
      </c>
      <c r="Y58" s="463">
        <f t="shared" si="11"/>
        <v>1.6266699925351361E-2</v>
      </c>
      <c r="Z58" s="463">
        <f t="shared" si="12"/>
        <v>0.11280721939164391</v>
      </c>
      <c r="AA58" s="463">
        <f t="shared" si="13"/>
        <v>3.0000000000000002E-2</v>
      </c>
      <c r="AB58" s="463">
        <f t="shared" si="14"/>
        <v>0</v>
      </c>
      <c r="AC58" s="463">
        <f t="shared" si="49"/>
        <v>0.15933310169233575</v>
      </c>
      <c r="AD58" s="463">
        <f t="shared" si="50"/>
        <v>2.3731321196689716</v>
      </c>
      <c r="AE58" s="463">
        <f t="shared" si="17"/>
        <v>2.2527024229618185E-2</v>
      </c>
      <c r="AF58" s="463">
        <f t="shared" si="18"/>
        <v>4.4100000000000007E-2</v>
      </c>
      <c r="AG58" s="463">
        <f t="shared" si="51"/>
        <v>6.6777453961957514E-2</v>
      </c>
      <c r="AH58" s="463">
        <f t="shared" si="52"/>
        <v>0</v>
      </c>
      <c r="AI58">
        <f t="shared" si="21"/>
        <v>0</v>
      </c>
      <c r="AJ58" s="464">
        <f t="shared" si="22"/>
        <v>0.1198824</v>
      </c>
      <c r="AK58">
        <f t="shared" si="23"/>
        <v>3.6000000000000004E-2</v>
      </c>
      <c r="AL58" s="464">
        <f t="shared" si="24"/>
        <v>0.27</v>
      </c>
      <c r="AM58" s="464">
        <f t="shared" si="25"/>
        <v>0.17963774597495527</v>
      </c>
      <c r="AN58" s="464">
        <f t="shared" si="42"/>
        <v>0.30600000000000005</v>
      </c>
      <c r="AO58" s="464">
        <f t="shared" si="53"/>
        <v>1.1217437421570668</v>
      </c>
      <c r="AP58" s="100">
        <f t="shared" si="27"/>
        <v>14.7</v>
      </c>
      <c r="AQ58" s="10">
        <f t="shared" si="43"/>
        <v>0.92910113066942313</v>
      </c>
      <c r="AR58" s="77">
        <f t="shared" si="54"/>
        <v>3.9833275423083938</v>
      </c>
      <c r="AS58" s="77">
        <f t="shared" si="44"/>
        <v>1.6694363490489379</v>
      </c>
      <c r="AT58" s="10"/>
      <c r="AU58">
        <f t="shared" si="45"/>
        <v>92.910113066942316</v>
      </c>
      <c r="BE58" s="31"/>
      <c r="BF58" s="32"/>
    </row>
    <row r="59" spans="1:60" x14ac:dyDescent="0.15">
      <c r="A59" s="36" t="s">
        <v>366</v>
      </c>
      <c r="B59" s="136">
        <f>QrrSky</f>
        <v>0</v>
      </c>
      <c r="C59" s="473" t="s">
        <v>136</v>
      </c>
      <c r="D59" s="34" t="s">
        <v>369</v>
      </c>
      <c r="E59" s="53"/>
      <c r="G59">
        <v>50</v>
      </c>
      <c r="H59">
        <f t="shared" si="0"/>
        <v>3</v>
      </c>
      <c r="I59" s="463">
        <f t="shared" si="1"/>
        <v>0.41936666666666667</v>
      </c>
      <c r="J59" s="464">
        <f t="shared" si="2"/>
        <v>3.5582626262626262</v>
      </c>
      <c r="K59" s="464">
        <f t="shared" si="31"/>
        <v>4.7791313131313133</v>
      </c>
      <c r="L59" s="464">
        <f t="shared" si="32"/>
        <v>1.2208686868686869</v>
      </c>
      <c r="M59" s="77">
        <f t="shared" si="3"/>
        <v>0</v>
      </c>
      <c r="N59" s="463">
        <f t="shared" si="46"/>
        <v>3.1709781997234625</v>
      </c>
      <c r="O59" s="463">
        <f t="shared" si="5"/>
        <v>6.8750763673092019E-2</v>
      </c>
      <c r="P59">
        <f t="shared" si="6"/>
        <v>0.4</v>
      </c>
      <c r="Q59" s="463">
        <f t="shared" si="34"/>
        <v>0.46875076367309204</v>
      </c>
      <c r="R59" s="9">
        <f t="shared" si="39"/>
        <v>1.0271819425600561</v>
      </c>
      <c r="S59" s="9">
        <f t="shared" si="7"/>
        <v>2.110205486242901E-3</v>
      </c>
      <c r="T59" s="9">
        <f t="shared" si="40"/>
        <v>2.110205486242901E-3</v>
      </c>
      <c r="U59" s="463">
        <f t="shared" si="47"/>
        <v>2.0534787362847706</v>
      </c>
      <c r="V59" s="465">
        <f t="shared" si="9"/>
        <v>1.3915357237233204E-3</v>
      </c>
      <c r="W59" s="463">
        <f t="shared" si="41"/>
        <v>1.3915357237233204E-3</v>
      </c>
      <c r="X59" s="463">
        <f t="shared" si="48"/>
        <v>2.0534787362847706</v>
      </c>
      <c r="Y59" s="463">
        <f t="shared" si="11"/>
        <v>1.6867099681494795E-2</v>
      </c>
      <c r="Z59" s="463">
        <f t="shared" si="12"/>
        <v>0.11463303336372778</v>
      </c>
      <c r="AA59" s="463">
        <f t="shared" si="13"/>
        <v>3.0000000000000002E-2</v>
      </c>
      <c r="AB59" s="463">
        <f t="shared" si="14"/>
        <v>0</v>
      </c>
      <c r="AC59" s="463">
        <f t="shared" si="49"/>
        <v>0.16177299717213023</v>
      </c>
      <c r="AD59" s="463">
        <f t="shared" si="50"/>
        <v>2.4162631940142099</v>
      </c>
      <c r="AE59" s="463">
        <f t="shared" si="17"/>
        <v>2.3353311290991007E-2</v>
      </c>
      <c r="AF59" s="463">
        <f t="shared" si="18"/>
        <v>4.4999999999999998E-2</v>
      </c>
      <c r="AG59" s="463">
        <f t="shared" si="51"/>
        <v>6.851331256257609E-2</v>
      </c>
      <c r="AH59" s="463">
        <f t="shared" si="52"/>
        <v>0</v>
      </c>
      <c r="AI59">
        <f t="shared" si="21"/>
        <v>0</v>
      </c>
      <c r="AJ59" s="464">
        <f t="shared" si="22"/>
        <v>0.11988</v>
      </c>
      <c r="AK59">
        <f t="shared" si="23"/>
        <v>3.6000000000000004E-2</v>
      </c>
      <c r="AL59" s="464">
        <f t="shared" si="24"/>
        <v>0.27</v>
      </c>
      <c r="AM59" s="464">
        <f t="shared" si="25"/>
        <v>0.17963774597495527</v>
      </c>
      <c r="AN59" s="464">
        <f t="shared" si="42"/>
        <v>0.30600000000000005</v>
      </c>
      <c r="AO59" s="464">
        <f t="shared" si="53"/>
        <v>1.1284188146177647</v>
      </c>
      <c r="AP59" s="100">
        <f t="shared" si="27"/>
        <v>15</v>
      </c>
      <c r="AQ59" s="10">
        <f t="shared" si="43"/>
        <v>0.93003537249447932</v>
      </c>
      <c r="AR59" s="77">
        <f t="shared" si="54"/>
        <v>4.0443249293032562</v>
      </c>
      <c r="AS59" s="77">
        <f t="shared" si="44"/>
        <v>1.7128328140644022</v>
      </c>
      <c r="AT59" s="10"/>
      <c r="AU59">
        <f t="shared" si="45"/>
        <v>93.00353724944793</v>
      </c>
      <c r="BE59" s="31"/>
      <c r="BF59" s="32"/>
    </row>
    <row r="60" spans="1:60" x14ac:dyDescent="0.15">
      <c r="A60" s="36" t="s">
        <v>367</v>
      </c>
      <c r="B60" s="136">
        <f>Ireverse</f>
        <v>0</v>
      </c>
      <c r="C60" s="473" t="s">
        <v>135</v>
      </c>
      <c r="D60" s="34" t="s">
        <v>370</v>
      </c>
      <c r="E60" s="62"/>
      <c r="G60">
        <v>51</v>
      </c>
      <c r="H60">
        <f t="shared" si="0"/>
        <v>3.06</v>
      </c>
      <c r="I60" s="463">
        <f t="shared" si="1"/>
        <v>0.41942066666666666</v>
      </c>
      <c r="J60" s="464">
        <f t="shared" si="2"/>
        <v>3.5587208080808086</v>
      </c>
      <c r="K60" s="464">
        <f t="shared" si="31"/>
        <v>4.8393604040404039</v>
      </c>
      <c r="L60" s="464">
        <f t="shared" si="32"/>
        <v>1.2806395959595958</v>
      </c>
      <c r="M60" s="77">
        <f t="shared" si="3"/>
        <v>0</v>
      </c>
      <c r="N60" s="463">
        <f t="shared" si="46"/>
        <v>3.2278436273290785</v>
      </c>
      <c r="O60" s="463">
        <f t="shared" si="5"/>
        <v>7.1252882268338549E-2</v>
      </c>
      <c r="P60">
        <f t="shared" si="6"/>
        <v>0.4</v>
      </c>
      <c r="Q60" s="463">
        <f t="shared" si="34"/>
        <v>0.47125288226833856</v>
      </c>
      <c r="R60" s="9">
        <f t="shared" si="39"/>
        <v>1.0273142082580888</v>
      </c>
      <c r="S60" s="9">
        <f t="shared" si="7"/>
        <v>2.1107489649778879E-3</v>
      </c>
      <c r="T60" s="9">
        <f t="shared" si="40"/>
        <v>2.1107489649778879E-3</v>
      </c>
      <c r="U60" s="463">
        <f t="shared" si="47"/>
        <v>2.0904385241925918</v>
      </c>
      <c r="V60" s="465">
        <f t="shared" si="9"/>
        <v>1.4420779637314054E-3</v>
      </c>
      <c r="W60" s="463">
        <f t="shared" si="41"/>
        <v>1.4420779637314054E-3</v>
      </c>
      <c r="X60" s="463">
        <f t="shared" si="48"/>
        <v>2.0904385241925918</v>
      </c>
      <c r="Y60" s="463">
        <f t="shared" si="11"/>
        <v>1.7479732893714003E-2</v>
      </c>
      <c r="Z60" s="463">
        <f t="shared" si="12"/>
        <v>0.11645884733581166</v>
      </c>
      <c r="AA60" s="463">
        <f t="shared" si="13"/>
        <v>3.0000000000000002E-2</v>
      </c>
      <c r="AB60" s="463">
        <f t="shared" si="14"/>
        <v>0</v>
      </c>
      <c r="AC60" s="463">
        <f t="shared" si="49"/>
        <v>0.16422564226563588</v>
      </c>
      <c r="AD60" s="463">
        <f t="shared" si="50"/>
        <v>2.4594798757177183</v>
      </c>
      <c r="AE60" s="463">
        <f t="shared" si="17"/>
        <v>2.4196165036241772E-2</v>
      </c>
      <c r="AF60" s="463">
        <f t="shared" si="18"/>
        <v>4.5899999999999989E-2</v>
      </c>
      <c r="AG60" s="463">
        <f t="shared" si="51"/>
        <v>7.0266182250461648E-2</v>
      </c>
      <c r="AH60" s="463">
        <f t="shared" si="52"/>
        <v>0</v>
      </c>
      <c r="AI60">
        <f t="shared" si="21"/>
        <v>0</v>
      </c>
      <c r="AJ60" s="464">
        <f t="shared" si="22"/>
        <v>0.1198776</v>
      </c>
      <c r="AK60">
        <f t="shared" si="23"/>
        <v>3.6000000000000004E-2</v>
      </c>
      <c r="AL60" s="464">
        <f t="shared" si="24"/>
        <v>0.27</v>
      </c>
      <c r="AM60" s="464">
        <f t="shared" si="25"/>
        <v>0.17963774597495527</v>
      </c>
      <c r="AN60" s="464">
        <f t="shared" si="42"/>
        <v>0.30600000000000005</v>
      </c>
      <c r="AO60" s="464">
        <f t="shared" si="53"/>
        <v>1.1351751337131455</v>
      </c>
      <c r="AP60" s="100">
        <f t="shared" si="27"/>
        <v>15.3</v>
      </c>
      <c r="AQ60" s="10">
        <f t="shared" si="43"/>
        <v>0.93093014680539776</v>
      </c>
      <c r="AR60" s="77">
        <f t="shared" si="54"/>
        <v>4.1056410566408967</v>
      </c>
      <c r="AS60" s="77">
        <f t="shared" si="44"/>
        <v>1.7566545562615412</v>
      </c>
      <c r="AT60" s="10"/>
      <c r="AU60">
        <f t="shared" si="45"/>
        <v>93.093014680539781</v>
      </c>
      <c r="BE60" s="31"/>
      <c r="BF60" s="32"/>
    </row>
    <row r="61" spans="1:60" x14ac:dyDescent="0.15">
      <c r="A61" s="37" t="s">
        <v>209</v>
      </c>
      <c r="B61" s="28" t="s">
        <v>201</v>
      </c>
      <c r="C61" s="37" t="s">
        <v>148</v>
      </c>
      <c r="D61" s="542" t="s">
        <v>391</v>
      </c>
      <c r="E61" s="13"/>
      <c r="G61">
        <v>52</v>
      </c>
      <c r="H61">
        <f t="shared" si="0"/>
        <v>3.12</v>
      </c>
      <c r="I61" s="463">
        <f t="shared" si="1"/>
        <v>0.41947466666666666</v>
      </c>
      <c r="J61" s="464">
        <f t="shared" si="2"/>
        <v>3.5591789898989896</v>
      </c>
      <c r="K61" s="464">
        <f t="shared" si="31"/>
        <v>4.8995894949494954</v>
      </c>
      <c r="L61" s="464">
        <f t="shared" si="32"/>
        <v>1.3404105050505053</v>
      </c>
      <c r="M61" s="77">
        <f t="shared" si="3"/>
        <v>0</v>
      </c>
      <c r="N61" s="463">
        <f t="shared" si="46"/>
        <v>3.2848205821391323</v>
      </c>
      <c r="O61" s="463">
        <f t="shared" si="5"/>
        <v>7.3805537193765716E-2</v>
      </c>
      <c r="P61">
        <f t="shared" si="6"/>
        <v>0.4</v>
      </c>
      <c r="Q61" s="463">
        <f t="shared" si="34"/>
        <v>0.47380553719376572</v>
      </c>
      <c r="R61" s="9">
        <f t="shared" si="39"/>
        <v>1.0274464739561211</v>
      </c>
      <c r="S61" s="9">
        <f t="shared" si="7"/>
        <v>2.1112925136897321E-3</v>
      </c>
      <c r="T61" s="9">
        <f t="shared" si="40"/>
        <v>2.1112925136897321E-3</v>
      </c>
      <c r="U61" s="463">
        <f t="shared" si="47"/>
        <v>2.127475277625551</v>
      </c>
      <c r="V61" s="465">
        <f t="shared" si="9"/>
        <v>1.4936298487796121E-3</v>
      </c>
      <c r="W61" s="463">
        <f t="shared" si="41"/>
        <v>1.4936298487796121E-3</v>
      </c>
      <c r="X61" s="463">
        <f t="shared" si="48"/>
        <v>2.127475277625551</v>
      </c>
      <c r="Y61" s="463">
        <f t="shared" si="11"/>
        <v>1.810460422763166E-2</v>
      </c>
      <c r="Z61" s="463">
        <f t="shared" si="12"/>
        <v>0.11828466130789557</v>
      </c>
      <c r="AA61" s="463">
        <f t="shared" si="13"/>
        <v>3.0000000000000002E-2</v>
      </c>
      <c r="AB61" s="463">
        <f t="shared" si="14"/>
        <v>0</v>
      </c>
      <c r="AC61" s="463">
        <f t="shared" si="49"/>
        <v>0.16669105308997534</v>
      </c>
      <c r="AD61" s="463">
        <f t="shared" si="50"/>
        <v>2.5027774970893746</v>
      </c>
      <c r="AE61" s="463">
        <f t="shared" si="17"/>
        <v>2.5055580799747821E-2</v>
      </c>
      <c r="AF61" s="463">
        <f t="shared" si="18"/>
        <v>4.6800000000000001E-2</v>
      </c>
      <c r="AG61" s="463">
        <f t="shared" si="51"/>
        <v>7.2036071360394499E-2</v>
      </c>
      <c r="AH61" s="463">
        <f t="shared" si="52"/>
        <v>0</v>
      </c>
      <c r="AI61">
        <f t="shared" si="21"/>
        <v>0</v>
      </c>
      <c r="AJ61" s="464">
        <f t="shared" si="22"/>
        <v>0.1198752</v>
      </c>
      <c r="AK61">
        <f t="shared" si="23"/>
        <v>3.6000000000000004E-2</v>
      </c>
      <c r="AL61" s="464">
        <f t="shared" si="24"/>
        <v>0.27</v>
      </c>
      <c r="AM61" s="464">
        <f t="shared" si="25"/>
        <v>0.17963774597495527</v>
      </c>
      <c r="AN61" s="464">
        <f t="shared" si="42"/>
        <v>0.30600000000000005</v>
      </c>
      <c r="AO61" s="464">
        <f t="shared" si="53"/>
        <v>1.1420127840066048</v>
      </c>
      <c r="AP61" s="100">
        <f t="shared" si="27"/>
        <v>15.600000000000001</v>
      </c>
      <c r="AQ61" s="10">
        <f t="shared" si="43"/>
        <v>0.93178760530528615</v>
      </c>
      <c r="AR61" s="77">
        <f t="shared" si="54"/>
        <v>4.1672763272493833</v>
      </c>
      <c r="AS61" s="77">
        <f t="shared" si="44"/>
        <v>1.8009017840098624</v>
      </c>
      <c r="AT61" s="10"/>
      <c r="AU61">
        <f t="shared" si="45"/>
        <v>93.178760530528621</v>
      </c>
      <c r="BE61" s="31"/>
      <c r="BF61" s="32"/>
    </row>
    <row r="62" spans="1:60" x14ac:dyDescent="0.15">
      <c r="A62" s="36" t="s">
        <v>210</v>
      </c>
      <c r="B62" s="137">
        <v>20</v>
      </c>
      <c r="C62" s="473" t="s">
        <v>381</v>
      </c>
      <c r="D62" s="34" t="s">
        <v>184</v>
      </c>
      <c r="G62">
        <v>53</v>
      </c>
      <c r="H62">
        <f t="shared" si="0"/>
        <v>3.18</v>
      </c>
      <c r="I62" s="463">
        <f t="shared" si="1"/>
        <v>0.41952866666666666</v>
      </c>
      <c r="J62" s="464">
        <f t="shared" si="2"/>
        <v>3.559637171717172</v>
      </c>
      <c r="K62" s="464">
        <f t="shared" si="31"/>
        <v>4.9598185858585859</v>
      </c>
      <c r="L62" s="464">
        <f t="shared" si="32"/>
        <v>1.4001814141414142</v>
      </c>
      <c r="M62" s="77">
        <f t="shared" si="3"/>
        <v>0</v>
      </c>
      <c r="N62" s="463">
        <f t="shared" si="46"/>
        <v>3.3419033597920245</v>
      </c>
      <c r="O62" s="463">
        <f t="shared" si="5"/>
        <v>7.6408789418912576E-2</v>
      </c>
      <c r="P62">
        <f t="shared" si="6"/>
        <v>0.4</v>
      </c>
      <c r="Q62" s="463">
        <f t="shared" si="34"/>
        <v>0.47640878941891263</v>
      </c>
      <c r="R62" s="9">
        <f t="shared" si="39"/>
        <v>1.0275787396541538</v>
      </c>
      <c r="S62" s="9">
        <f t="shared" si="7"/>
        <v>2.1118361323784383E-3</v>
      </c>
      <c r="T62" s="9">
        <f t="shared" si="40"/>
        <v>2.1118361323784383E-3</v>
      </c>
      <c r="U62" s="463">
        <f t="shared" si="47"/>
        <v>2.1645853153012031</v>
      </c>
      <c r="V62" s="465">
        <f t="shared" si="9"/>
        <v>1.5461917637818109E-3</v>
      </c>
      <c r="W62" s="463">
        <f t="shared" si="41"/>
        <v>1.5461917637818109E-3</v>
      </c>
      <c r="X62" s="463">
        <f t="shared" si="48"/>
        <v>2.1645853153012031</v>
      </c>
      <c r="Y62" s="463">
        <f t="shared" si="11"/>
        <v>1.8741718348870437E-2</v>
      </c>
      <c r="Z62" s="463">
        <f t="shared" si="12"/>
        <v>0.12011047527997945</v>
      </c>
      <c r="AA62" s="463">
        <f t="shared" si="13"/>
        <v>3.0000000000000002E-2</v>
      </c>
      <c r="AB62" s="463">
        <f t="shared" si="14"/>
        <v>0</v>
      </c>
      <c r="AC62" s="463">
        <f t="shared" si="49"/>
        <v>0.16916924586477874</v>
      </c>
      <c r="AD62" s="463">
        <f t="shared" si="50"/>
        <v>2.5461516999133442</v>
      </c>
      <c r="AE62" s="463">
        <f t="shared" si="17"/>
        <v>2.593155391588645E-2</v>
      </c>
      <c r="AF62" s="463">
        <f t="shared" si="18"/>
        <v>4.7699999999999999E-2</v>
      </c>
      <c r="AG62" s="463">
        <f t="shared" si="51"/>
        <v>7.3822988396269426E-2</v>
      </c>
      <c r="AH62" s="463">
        <f t="shared" si="52"/>
        <v>0</v>
      </c>
      <c r="AI62">
        <f t="shared" si="21"/>
        <v>0</v>
      </c>
      <c r="AJ62" s="464">
        <f t="shared" si="22"/>
        <v>0.1198728</v>
      </c>
      <c r="AK62">
        <f t="shared" si="23"/>
        <v>3.6000000000000004E-2</v>
      </c>
      <c r="AL62" s="464">
        <f t="shared" si="24"/>
        <v>0.27</v>
      </c>
      <c r="AM62" s="464">
        <f t="shared" si="25"/>
        <v>0.17963774597495527</v>
      </c>
      <c r="AN62" s="464">
        <f t="shared" si="42"/>
        <v>0.30600000000000005</v>
      </c>
      <c r="AO62" s="464">
        <f t="shared" si="53"/>
        <v>1.1489318515761211</v>
      </c>
      <c r="AP62" s="100">
        <f t="shared" si="27"/>
        <v>15.9</v>
      </c>
      <c r="AQ62" s="10">
        <f t="shared" si="43"/>
        <v>0.93260974578475397</v>
      </c>
      <c r="AR62" s="77">
        <f t="shared" si="54"/>
        <v>4.229231146619469</v>
      </c>
      <c r="AS62" s="77">
        <f t="shared" si="44"/>
        <v>1.8455747099067357</v>
      </c>
      <c r="AT62" s="10"/>
      <c r="AU62">
        <f t="shared" si="45"/>
        <v>93.260974578475398</v>
      </c>
      <c r="BE62" s="31"/>
      <c r="BF62" s="32"/>
    </row>
    <row r="63" spans="1:60" x14ac:dyDescent="0.15">
      <c r="A63" s="36" t="s">
        <v>210</v>
      </c>
      <c r="B63" s="137">
        <v>2</v>
      </c>
      <c r="C63" s="473" t="s">
        <v>278</v>
      </c>
      <c r="D63" s="34" t="s">
        <v>184</v>
      </c>
      <c r="G63">
        <v>54</v>
      </c>
      <c r="H63">
        <f t="shared" si="0"/>
        <v>3.24</v>
      </c>
      <c r="I63" s="463">
        <f t="shared" si="1"/>
        <v>0.41958266666666666</v>
      </c>
      <c r="J63" s="464">
        <f t="shared" si="2"/>
        <v>3.5600953535353534</v>
      </c>
      <c r="K63" s="464">
        <f t="shared" si="31"/>
        <v>5.0200476767676765</v>
      </c>
      <c r="L63" s="464">
        <f t="shared" si="32"/>
        <v>1.4599523232323235</v>
      </c>
      <c r="M63" s="77">
        <f t="shared" si="3"/>
        <v>0</v>
      </c>
      <c r="N63" s="463">
        <f t="shared" si="46"/>
        <v>3.3990866288639956</v>
      </c>
      <c r="O63" s="463">
        <f t="shared" si="5"/>
        <v>7.9062701159944057E-2</v>
      </c>
      <c r="P63">
        <f t="shared" si="6"/>
        <v>0.4</v>
      </c>
      <c r="Q63" s="463">
        <f t="shared" si="34"/>
        <v>0.47906270115994409</v>
      </c>
      <c r="R63" s="9">
        <f t="shared" si="39"/>
        <v>1.0277110053521861</v>
      </c>
      <c r="S63" s="9">
        <f t="shared" si="7"/>
        <v>2.112379821044002E-3</v>
      </c>
      <c r="T63" s="9">
        <f t="shared" si="40"/>
        <v>2.112379821044002E-3</v>
      </c>
      <c r="U63" s="463">
        <f t="shared" si="47"/>
        <v>2.2017651965555389</v>
      </c>
      <c r="V63" s="465">
        <f t="shared" si="9"/>
        <v>1.5997640936518728E-3</v>
      </c>
      <c r="W63" s="463">
        <f t="shared" si="41"/>
        <v>1.5997640936518728E-3</v>
      </c>
      <c r="X63" s="463">
        <f t="shared" si="48"/>
        <v>2.2017651965555389</v>
      </c>
      <c r="Y63" s="463">
        <f t="shared" si="11"/>
        <v>1.9391079923053004E-2</v>
      </c>
      <c r="Z63" s="463">
        <f t="shared" si="12"/>
        <v>0.12193628925206332</v>
      </c>
      <c r="AA63" s="463">
        <f t="shared" si="13"/>
        <v>3.0000000000000002E-2</v>
      </c>
      <c r="AB63" s="463">
        <f t="shared" si="14"/>
        <v>0</v>
      </c>
      <c r="AC63" s="463">
        <f t="shared" si="49"/>
        <v>0.17166023691247431</v>
      </c>
      <c r="AD63" s="463">
        <f t="shared" si="50"/>
        <v>2.5895984109044305</v>
      </c>
      <c r="AE63" s="463">
        <f t="shared" si="17"/>
        <v>2.6824079719035009E-2</v>
      </c>
      <c r="AF63" s="463">
        <f t="shared" si="18"/>
        <v>4.8600000000000004E-2</v>
      </c>
      <c r="AG63" s="463">
        <f t="shared" si="51"/>
        <v>7.5626942031230271E-2</v>
      </c>
      <c r="AH63" s="463">
        <f t="shared" si="52"/>
        <v>0</v>
      </c>
      <c r="AI63">
        <f t="shared" si="21"/>
        <v>0</v>
      </c>
      <c r="AJ63" s="464">
        <f t="shared" si="22"/>
        <v>0.1198704</v>
      </c>
      <c r="AK63">
        <f t="shared" si="23"/>
        <v>3.6000000000000004E-2</v>
      </c>
      <c r="AL63" s="464">
        <f t="shared" si="24"/>
        <v>0.27</v>
      </c>
      <c r="AM63" s="464">
        <f t="shared" si="25"/>
        <v>0.17963774597495527</v>
      </c>
      <c r="AN63" s="464">
        <f t="shared" si="42"/>
        <v>0.30600000000000005</v>
      </c>
      <c r="AO63" s="464">
        <f t="shared" si="53"/>
        <v>1.1559324240183446</v>
      </c>
      <c r="AP63" s="100">
        <f t="shared" si="27"/>
        <v>16.200000000000003</v>
      </c>
      <c r="AQ63" s="10">
        <f t="shared" si="43"/>
        <v>0.93339842563464437</v>
      </c>
      <c r="AR63" s="77">
        <f t="shared" si="54"/>
        <v>4.2915059228118579</v>
      </c>
      <c r="AS63" s="77">
        <f t="shared" si="44"/>
        <v>1.8906735507807568</v>
      </c>
      <c r="AT63" s="10"/>
      <c r="AU63">
        <f t="shared" si="45"/>
        <v>93.33984256346443</v>
      </c>
      <c r="BE63" s="31"/>
      <c r="BF63" s="32"/>
    </row>
    <row r="64" spans="1:60" x14ac:dyDescent="0.15">
      <c r="A64" s="138"/>
      <c r="B64" s="45"/>
      <c r="G64">
        <v>55</v>
      </c>
      <c r="H64">
        <f t="shared" si="0"/>
        <v>3.3000000000000003</v>
      </c>
      <c r="I64" s="463">
        <f t="shared" si="1"/>
        <v>0.41963666666666666</v>
      </c>
      <c r="J64" s="464">
        <f t="shared" si="2"/>
        <v>3.5605535353535358</v>
      </c>
      <c r="K64" s="464">
        <f t="shared" si="31"/>
        <v>5.0802767676767679</v>
      </c>
      <c r="L64" s="464">
        <f t="shared" si="32"/>
        <v>1.5197232323232324</v>
      </c>
      <c r="M64" s="77">
        <f t="shared" si="3"/>
        <v>0</v>
      </c>
      <c r="N64" s="463">
        <f t="shared" si="46"/>
        <v>3.4563654016673664</v>
      </c>
      <c r="O64" s="463">
        <f t="shared" si="5"/>
        <v>8.1767335883394673E-2</v>
      </c>
      <c r="P64">
        <f t="shared" si="6"/>
        <v>0.4</v>
      </c>
      <c r="Q64" s="463">
        <f t="shared" si="34"/>
        <v>0.48176733588339471</v>
      </c>
      <c r="R64" s="9">
        <f t="shared" si="39"/>
        <v>1.0278432710502188</v>
      </c>
      <c r="S64" s="9">
        <f t="shared" si="7"/>
        <v>2.1129235796864274E-3</v>
      </c>
      <c r="T64" s="9">
        <f t="shared" si="40"/>
        <v>2.1129235796864274E-3</v>
      </c>
      <c r="U64" s="463">
        <f t="shared" si="47"/>
        <v>2.2390117025041443</v>
      </c>
      <c r="V64" s="465">
        <f t="shared" si="9"/>
        <v>1.6543472233036672E-3</v>
      </c>
      <c r="W64" s="463">
        <f t="shared" si="41"/>
        <v>1.6543472233036672E-3</v>
      </c>
      <c r="X64" s="463">
        <f t="shared" si="48"/>
        <v>2.2390117025041443</v>
      </c>
      <c r="Y64" s="463">
        <f t="shared" si="11"/>
        <v>2.0052693615802027E-2</v>
      </c>
      <c r="Z64" s="463">
        <f t="shared" si="12"/>
        <v>0.12376210322414723</v>
      </c>
      <c r="AA64" s="463">
        <f t="shared" si="13"/>
        <v>3.0000000000000002E-2</v>
      </c>
      <c r="AB64" s="463">
        <f t="shared" si="14"/>
        <v>0</v>
      </c>
      <c r="AC64" s="463">
        <f t="shared" si="49"/>
        <v>0.17416404265858146</v>
      </c>
      <c r="AD64" s="463">
        <f t="shared" si="50"/>
        <v>2.6331138193957186</v>
      </c>
      <c r="AE64" s="463">
        <f t="shared" si="17"/>
        <v>2.7733153543570838E-2</v>
      </c>
      <c r="AF64" s="463">
        <f t="shared" si="18"/>
        <v>4.9500000000000002E-2</v>
      </c>
      <c r="AG64" s="463">
        <f t="shared" si="51"/>
        <v>7.7447941107808463E-2</v>
      </c>
      <c r="AH64" s="463">
        <f t="shared" si="52"/>
        <v>0</v>
      </c>
      <c r="AI64">
        <f t="shared" si="21"/>
        <v>0</v>
      </c>
      <c r="AJ64" s="464">
        <f t="shared" si="22"/>
        <v>0.119868</v>
      </c>
      <c r="AK64">
        <f t="shared" si="23"/>
        <v>3.6000000000000004E-2</v>
      </c>
      <c r="AL64" s="464">
        <f t="shared" si="24"/>
        <v>0.27</v>
      </c>
      <c r="AM64" s="464">
        <f t="shared" si="25"/>
        <v>0.17963774597495527</v>
      </c>
      <c r="AN64" s="464">
        <f t="shared" si="42"/>
        <v>0.30600000000000005</v>
      </c>
      <c r="AO64" s="464">
        <f t="shared" si="53"/>
        <v>1.1630145904527747</v>
      </c>
      <c r="AP64" s="100">
        <f t="shared" si="27"/>
        <v>16.5</v>
      </c>
      <c r="AQ64" s="10">
        <f t="shared" si="43"/>
        <v>0.93415537395969717</v>
      </c>
      <c r="AR64" s="77">
        <f t="shared" si="54"/>
        <v>4.3541010664645361</v>
      </c>
      <c r="AS64" s="77">
        <f t="shared" si="44"/>
        <v>1.9361985276952116</v>
      </c>
      <c r="AT64" s="10"/>
      <c r="AU64">
        <f t="shared" si="45"/>
        <v>93.415537395969722</v>
      </c>
      <c r="BE64" s="31"/>
      <c r="BF64" s="32"/>
    </row>
    <row r="65" spans="1:58" x14ac:dyDescent="0.15">
      <c r="G65">
        <v>56</v>
      </c>
      <c r="H65">
        <f t="shared" si="0"/>
        <v>3.3600000000000003</v>
      </c>
      <c r="I65" s="463">
        <f t="shared" si="1"/>
        <v>0.41969066666666666</v>
      </c>
      <c r="J65" s="464">
        <f t="shared" si="2"/>
        <v>3.5610117171717168</v>
      </c>
      <c r="K65" s="464">
        <f t="shared" si="31"/>
        <v>5.1405058585858585</v>
      </c>
      <c r="L65" s="464">
        <f t="shared" si="32"/>
        <v>1.5794941414141419</v>
      </c>
      <c r="M65" s="77">
        <f t="shared" si="3"/>
        <v>0</v>
      </c>
      <c r="N65" s="463">
        <f t="shared" si="46"/>
        <v>3.5137350076738652</v>
      </c>
      <c r="O65" s="463">
        <f t="shared" si="5"/>
        <v>8.4522758309991106E-2</v>
      </c>
      <c r="P65">
        <f t="shared" si="6"/>
        <v>0.4</v>
      </c>
      <c r="Q65" s="463">
        <f t="shared" si="34"/>
        <v>0.48452275830999114</v>
      </c>
      <c r="R65" s="9">
        <f t="shared" si="39"/>
        <v>1.0279755367482513</v>
      </c>
      <c r="S65" s="9">
        <f t="shared" si="7"/>
        <v>2.1134674083057108E-3</v>
      </c>
      <c r="T65" s="9">
        <f t="shared" si="40"/>
        <v>2.1134674083057108E-3</v>
      </c>
      <c r="U65" s="463">
        <f t="shared" si="47"/>
        <v>2.2763218188966712</v>
      </c>
      <c r="V65" s="465">
        <f t="shared" si="9"/>
        <v>1.7099415376510662E-3</v>
      </c>
      <c r="W65" s="463">
        <f t="shared" si="41"/>
        <v>1.7099415376510662E-3</v>
      </c>
      <c r="X65" s="463">
        <f t="shared" si="48"/>
        <v>2.2763218188966712</v>
      </c>
      <c r="Y65" s="463">
        <f t="shared" si="11"/>
        <v>2.0726564092740197E-2</v>
      </c>
      <c r="Z65" s="463">
        <f t="shared" si="12"/>
        <v>0.12558791719623111</v>
      </c>
      <c r="AA65" s="463">
        <f t="shared" si="13"/>
        <v>3.0000000000000002E-2</v>
      </c>
      <c r="AB65" s="463">
        <f t="shared" si="14"/>
        <v>0</v>
      </c>
      <c r="AC65" s="463">
        <f t="shared" si="49"/>
        <v>0.17668067963200548</v>
      </c>
      <c r="AD65" s="463">
        <f t="shared" si="50"/>
        <v>2.6766943570321602</v>
      </c>
      <c r="AE65" s="463">
        <f t="shared" si="17"/>
        <v>2.8658770723871241E-2</v>
      </c>
      <c r="AF65" s="463">
        <f t="shared" si="18"/>
        <v>5.04E-2</v>
      </c>
      <c r="AG65" s="463">
        <f t="shared" si="51"/>
        <v>7.928599463806589E-2</v>
      </c>
      <c r="AH65" s="463">
        <f t="shared" si="52"/>
        <v>0</v>
      </c>
      <c r="AI65">
        <f t="shared" si="21"/>
        <v>0</v>
      </c>
      <c r="AJ65" s="464">
        <f t="shared" si="22"/>
        <v>0.11986560000000002</v>
      </c>
      <c r="AK65">
        <f t="shared" si="23"/>
        <v>3.6000000000000004E-2</v>
      </c>
      <c r="AL65" s="464">
        <f t="shared" si="24"/>
        <v>0.27</v>
      </c>
      <c r="AM65" s="464">
        <f t="shared" si="25"/>
        <v>0.17963774597495527</v>
      </c>
      <c r="AN65" s="464">
        <f t="shared" si="42"/>
        <v>0.30600000000000005</v>
      </c>
      <c r="AO65" s="464">
        <f t="shared" si="53"/>
        <v>1.1701784415260192</v>
      </c>
      <c r="AP65" s="100">
        <f t="shared" si="27"/>
        <v>16.8</v>
      </c>
      <c r="AQ65" s="10">
        <f t="shared" si="43"/>
        <v>0.93488220245927356</v>
      </c>
      <c r="AR65" s="77">
        <f t="shared" si="54"/>
        <v>4.4170169908001373</v>
      </c>
      <c r="AS65" s="77">
        <f t="shared" si="44"/>
        <v>1.9821498659516472</v>
      </c>
      <c r="AT65" s="10"/>
      <c r="AU65">
        <f t="shared" si="45"/>
        <v>93.488220245927351</v>
      </c>
      <c r="BE65" s="31"/>
      <c r="BF65" s="32"/>
    </row>
    <row r="66" spans="1:58" x14ac:dyDescent="0.15">
      <c r="A66" s="12" t="s">
        <v>149</v>
      </c>
      <c r="B66" s="46"/>
      <c r="C66" s="46"/>
      <c r="D66" s="47"/>
      <c r="G66">
        <v>57</v>
      </c>
      <c r="H66">
        <f t="shared" si="0"/>
        <v>3.42</v>
      </c>
      <c r="I66" s="463">
        <f t="shared" si="1"/>
        <v>0.41974466666666665</v>
      </c>
      <c r="J66" s="464">
        <f t="shared" si="2"/>
        <v>3.5614698989898992</v>
      </c>
      <c r="K66" s="464">
        <f t="shared" si="31"/>
        <v>5.2007349494949491</v>
      </c>
      <c r="L66" s="464">
        <f t="shared" si="32"/>
        <v>1.6392650505050503</v>
      </c>
      <c r="M66" s="77">
        <f t="shared" si="3"/>
        <v>0</v>
      </c>
      <c r="N66" s="463">
        <f t="shared" si="46"/>
        <v>3.571191069300399</v>
      </c>
      <c r="O66" s="463">
        <f t="shared" si="5"/>
        <v>8.7329034418553914E-2</v>
      </c>
      <c r="P66">
        <f t="shared" si="6"/>
        <v>0.4</v>
      </c>
      <c r="Q66" s="463">
        <f t="shared" si="34"/>
        <v>0.48732903441855391</v>
      </c>
      <c r="R66" s="9">
        <f t="shared" si="39"/>
        <v>1.0281078024462837</v>
      </c>
      <c r="S66" s="9">
        <f t="shared" si="7"/>
        <v>2.114011306901854E-3</v>
      </c>
      <c r="T66" s="9">
        <f t="shared" si="40"/>
        <v>2.114011306901854E-3</v>
      </c>
      <c r="U66" s="463">
        <f t="shared" si="47"/>
        <v>2.3136927204952134</v>
      </c>
      <c r="V66" s="465">
        <f t="shared" si="9"/>
        <v>1.7665474216079387E-3</v>
      </c>
      <c r="W66" s="463">
        <f t="shared" si="41"/>
        <v>1.7665474216079387E-3</v>
      </c>
      <c r="X66" s="463">
        <f t="shared" si="48"/>
        <v>2.3136927204952134</v>
      </c>
      <c r="Y66" s="463">
        <f t="shared" si="11"/>
        <v>2.1412696019490168E-2</v>
      </c>
      <c r="Z66" s="463">
        <f t="shared" si="12"/>
        <v>0.12741373116831498</v>
      </c>
      <c r="AA66" s="463">
        <f t="shared" si="13"/>
        <v>3.0000000000000002E-2</v>
      </c>
      <c r="AB66" s="463">
        <f t="shared" si="14"/>
        <v>0</v>
      </c>
      <c r="AC66" s="463">
        <f t="shared" si="49"/>
        <v>0.17921016446533505</v>
      </c>
      <c r="AD66" s="463">
        <f t="shared" si="50"/>
        <v>2.7203366792693848</v>
      </c>
      <c r="AE66" s="463">
        <f t="shared" si="17"/>
        <v>2.9600926594313536E-2</v>
      </c>
      <c r="AF66" s="463">
        <f t="shared" si="18"/>
        <v>5.1299999999999998E-2</v>
      </c>
      <c r="AG66" s="463">
        <f t="shared" si="51"/>
        <v>8.114111180374188E-2</v>
      </c>
      <c r="AH66" s="463">
        <f t="shared" si="52"/>
        <v>0</v>
      </c>
      <c r="AI66">
        <f t="shared" si="21"/>
        <v>0</v>
      </c>
      <c r="AJ66" s="464">
        <f t="shared" si="22"/>
        <v>0.11986319999999999</v>
      </c>
      <c r="AK66">
        <f t="shared" si="23"/>
        <v>3.6000000000000004E-2</v>
      </c>
      <c r="AL66" s="464">
        <f t="shared" si="24"/>
        <v>0.27</v>
      </c>
      <c r="AM66" s="464">
        <f t="shared" si="25"/>
        <v>0.17963774597495527</v>
      </c>
      <c r="AN66" s="464">
        <f t="shared" si="42"/>
        <v>0.30600000000000005</v>
      </c>
      <c r="AO66" s="464">
        <f t="shared" si="53"/>
        <v>1.1774240694161406</v>
      </c>
      <c r="AP66" s="100">
        <f t="shared" si="27"/>
        <v>17.100000000000001</v>
      </c>
      <c r="AQ66" s="10">
        <f t="shared" si="43"/>
        <v>0.93558041521910407</v>
      </c>
      <c r="AR66" s="77">
        <f t="shared" si="54"/>
        <v>4.4802541116333767</v>
      </c>
      <c r="AS66" s="77">
        <f t="shared" si="44"/>
        <v>2.028527795093547</v>
      </c>
      <c r="AT66" s="10"/>
      <c r="AU66">
        <f t="shared" si="45"/>
        <v>93.558041521910411</v>
      </c>
      <c r="BE66" s="31"/>
      <c r="BF66" s="32"/>
    </row>
    <row r="67" spans="1:58" x14ac:dyDescent="0.15">
      <c r="A67" s="48" t="s">
        <v>125</v>
      </c>
      <c r="B67" s="28" t="s">
        <v>8</v>
      </c>
      <c r="C67" s="49" t="s">
        <v>148</v>
      </c>
      <c r="D67" s="47"/>
      <c r="G67">
        <v>58</v>
      </c>
      <c r="H67">
        <f t="shared" si="0"/>
        <v>3.4799999999999995</v>
      </c>
      <c r="I67" s="463">
        <f t="shared" si="1"/>
        <v>0.41979866666666665</v>
      </c>
      <c r="J67" s="464">
        <f t="shared" si="2"/>
        <v>3.5619280808080807</v>
      </c>
      <c r="K67" s="464">
        <f t="shared" si="31"/>
        <v>5.2609640404040396</v>
      </c>
      <c r="L67" s="464">
        <f t="shared" si="32"/>
        <v>1.6990359595959592</v>
      </c>
      <c r="M67" s="77">
        <f t="shared" si="3"/>
        <v>0</v>
      </c>
      <c r="N67" s="463">
        <f t="shared" si="46"/>
        <v>3.6287294798231273</v>
      </c>
      <c r="O67" s="463">
        <f t="shared" si="5"/>
        <v>9.0186231449978546E-2</v>
      </c>
      <c r="P67">
        <f t="shared" si="6"/>
        <v>0.4</v>
      </c>
      <c r="Q67" s="463">
        <f t="shared" si="34"/>
        <v>0.49018623144997858</v>
      </c>
      <c r="R67" s="9">
        <f t="shared" si="39"/>
        <v>1.0282400681443162</v>
      </c>
      <c r="S67" s="9">
        <f t="shared" si="7"/>
        <v>2.1145552754748562E-3</v>
      </c>
      <c r="T67" s="9">
        <f t="shared" si="40"/>
        <v>2.1145552754748562E-3</v>
      </c>
      <c r="U67" s="463">
        <f t="shared" si="47"/>
        <v>2.3511217568255907</v>
      </c>
      <c r="V67" s="465">
        <f t="shared" si="9"/>
        <v>1.824165260088155E-3</v>
      </c>
      <c r="W67" s="463">
        <f t="shared" si="41"/>
        <v>1.824165260088155E-3</v>
      </c>
      <c r="X67" s="463">
        <f t="shared" si="48"/>
        <v>2.3511217568255907</v>
      </c>
      <c r="Y67" s="463">
        <f t="shared" si="11"/>
        <v>2.2111094061674608E-2</v>
      </c>
      <c r="Z67" s="463">
        <f t="shared" si="12"/>
        <v>0.12923954514039887</v>
      </c>
      <c r="AA67" s="463">
        <f t="shared" si="13"/>
        <v>3.0000000000000002E-2</v>
      </c>
      <c r="AB67" s="463">
        <f t="shared" si="14"/>
        <v>0</v>
      </c>
      <c r="AC67" s="463">
        <f t="shared" si="49"/>
        <v>0.1817525138951416</v>
      </c>
      <c r="AD67" s="463">
        <f t="shared" si="50"/>
        <v>2.7640376484987992</v>
      </c>
      <c r="AE67" s="463">
        <f t="shared" si="17"/>
        <v>3.0559616489275087E-2</v>
      </c>
      <c r="AF67" s="463">
        <f t="shared" si="18"/>
        <v>5.2199999999999989E-2</v>
      </c>
      <c r="AG67" s="463">
        <f t="shared" si="51"/>
        <v>8.3013301956404689E-2</v>
      </c>
      <c r="AH67" s="463">
        <f t="shared" si="52"/>
        <v>0</v>
      </c>
      <c r="AI67">
        <f t="shared" si="21"/>
        <v>0</v>
      </c>
      <c r="AJ67" s="464">
        <f t="shared" si="22"/>
        <v>0.11986079999999999</v>
      </c>
      <c r="AK67">
        <f t="shared" si="23"/>
        <v>3.6000000000000004E-2</v>
      </c>
      <c r="AL67" s="464">
        <f t="shared" si="24"/>
        <v>0.27</v>
      </c>
      <c r="AM67" s="464">
        <f t="shared" si="25"/>
        <v>0.17963774597495527</v>
      </c>
      <c r="AN67" s="464">
        <f t="shared" si="42"/>
        <v>0.30600000000000005</v>
      </c>
      <c r="AO67" s="464">
        <f t="shared" si="53"/>
        <v>1.1847515678370879</v>
      </c>
      <c r="AP67" s="100">
        <f t="shared" si="27"/>
        <v>17.399999999999999</v>
      </c>
      <c r="AQ67" s="10">
        <f t="shared" si="43"/>
        <v>0.93625141753912766</v>
      </c>
      <c r="AR67" s="77">
        <f t="shared" si="54"/>
        <v>4.5438128473785397</v>
      </c>
      <c r="AS67" s="77">
        <f t="shared" si="44"/>
        <v>2.0753325489101173</v>
      </c>
      <c r="AT67" s="10"/>
      <c r="AU67">
        <f t="shared" si="45"/>
        <v>93.625141753912771</v>
      </c>
      <c r="BE67" s="31"/>
      <c r="BF67" s="32"/>
    </row>
    <row r="68" spans="1:58" x14ac:dyDescent="0.15">
      <c r="A68" s="50" t="s">
        <v>386</v>
      </c>
      <c r="B68" s="466">
        <f>I109</f>
        <v>0.42206666666666665</v>
      </c>
      <c r="C68" s="42" t="s">
        <v>23</v>
      </c>
      <c r="D68" s="47"/>
      <c r="G68">
        <v>59</v>
      </c>
      <c r="H68">
        <f t="shared" si="0"/>
        <v>3.54</v>
      </c>
      <c r="I68" s="463">
        <f t="shared" si="1"/>
        <v>0.41985266666666671</v>
      </c>
      <c r="J68" s="464">
        <f t="shared" si="2"/>
        <v>3.562386262626263</v>
      </c>
      <c r="K68" s="464">
        <f t="shared" si="31"/>
        <v>5.321193131313132</v>
      </c>
      <c r="L68" s="464">
        <f t="shared" si="32"/>
        <v>1.7588068686868685</v>
      </c>
      <c r="M68" s="77">
        <f t="shared" si="3"/>
        <v>0</v>
      </c>
      <c r="N68" s="463">
        <f t="shared" si="46"/>
        <v>3.6863463832109375</v>
      </c>
      <c r="O68" s="463">
        <f t="shared" si="5"/>
        <v>9.3094417911296662E-2</v>
      </c>
      <c r="P68">
        <f t="shared" si="6"/>
        <v>0.4</v>
      </c>
      <c r="Q68" s="463">
        <f t="shared" si="34"/>
        <v>0.49309441791129671</v>
      </c>
      <c r="R68" s="9">
        <f t="shared" si="39"/>
        <v>1.0283723338423489</v>
      </c>
      <c r="S68" s="9">
        <f t="shared" si="7"/>
        <v>2.115099314024719E-3</v>
      </c>
      <c r="T68" s="9">
        <f t="shared" si="40"/>
        <v>2.115099314024719E-3</v>
      </c>
      <c r="U68" s="463">
        <f t="shared" si="47"/>
        <v>2.3886064391667916</v>
      </c>
      <c r="V68" s="465">
        <f t="shared" si="9"/>
        <v>1.8827954380055897E-3</v>
      </c>
      <c r="W68" s="463">
        <f t="shared" si="41"/>
        <v>1.8827954380055897E-3</v>
      </c>
      <c r="X68" s="463">
        <f t="shared" si="48"/>
        <v>2.3886064391667916</v>
      </c>
      <c r="Y68" s="463">
        <f t="shared" si="11"/>
        <v>2.282176288491624E-2</v>
      </c>
      <c r="Z68" s="463">
        <f t="shared" si="12"/>
        <v>0.13106535911248279</v>
      </c>
      <c r="AA68" s="463">
        <f t="shared" si="13"/>
        <v>3.0000000000000002E-2</v>
      </c>
      <c r="AB68" s="463">
        <f t="shared" si="14"/>
        <v>0</v>
      </c>
      <c r="AC68" s="463">
        <f t="shared" si="49"/>
        <v>0.18430774476228087</v>
      </c>
      <c r="AD68" s="463">
        <f t="shared" si="50"/>
        <v>2.8077943186393308</v>
      </c>
      <c r="AE68" s="463">
        <f t="shared" si="17"/>
        <v>3.1534835743133219E-2</v>
      </c>
      <c r="AF68" s="463">
        <f t="shared" si="18"/>
        <v>5.3100000000000001E-2</v>
      </c>
      <c r="AG68" s="463">
        <f t="shared" si="51"/>
        <v>8.4902574617606752E-2</v>
      </c>
      <c r="AH68" s="463">
        <f t="shared" si="52"/>
        <v>0</v>
      </c>
      <c r="AI68">
        <f t="shared" si="21"/>
        <v>0</v>
      </c>
      <c r="AJ68" s="464">
        <f t="shared" si="22"/>
        <v>0.1198584</v>
      </c>
      <c r="AK68">
        <f t="shared" si="23"/>
        <v>3.6000000000000004E-2</v>
      </c>
      <c r="AL68" s="464">
        <f t="shared" si="24"/>
        <v>0.27</v>
      </c>
      <c r="AM68" s="464">
        <f t="shared" si="25"/>
        <v>0.17963774597495527</v>
      </c>
      <c r="AN68" s="464">
        <f t="shared" si="42"/>
        <v>0.30600000000000005</v>
      </c>
      <c r="AO68" s="464">
        <f t="shared" si="53"/>
        <v>1.1921610320432148</v>
      </c>
      <c r="AP68" s="100">
        <f t="shared" si="27"/>
        <v>17.7</v>
      </c>
      <c r="AQ68" s="10">
        <f t="shared" si="43"/>
        <v>0.93689652390633471</v>
      </c>
      <c r="AR68" s="77">
        <f t="shared" si="54"/>
        <v>4.6076936190570219</v>
      </c>
      <c r="AS68" s="77">
        <f t="shared" si="44"/>
        <v>2.1225643654401689</v>
      </c>
      <c r="AT68" s="10"/>
      <c r="AU68">
        <f t="shared" si="45"/>
        <v>93.689652390633469</v>
      </c>
      <c r="BE68" s="31"/>
      <c r="BF68" s="32"/>
    </row>
    <row r="69" spans="1:58" x14ac:dyDescent="0.15">
      <c r="A69" s="36" t="s">
        <v>151</v>
      </c>
      <c r="B69" s="466">
        <f>1-B68</f>
        <v>0.57793333333333341</v>
      </c>
      <c r="C69" s="42" t="s">
        <v>23</v>
      </c>
      <c r="G69">
        <v>60</v>
      </c>
      <c r="H69">
        <f t="shared" si="0"/>
        <v>3.5999999999999996</v>
      </c>
      <c r="I69" s="463">
        <f t="shared" si="1"/>
        <v>0.41990666666666665</v>
      </c>
      <c r="J69" s="464">
        <f t="shared" si="2"/>
        <v>3.562844444444444</v>
      </c>
      <c r="K69" s="464">
        <f t="shared" si="31"/>
        <v>5.3814222222222217</v>
      </c>
      <c r="L69" s="464">
        <f t="shared" si="32"/>
        <v>1.8185777777777776</v>
      </c>
      <c r="M69" s="77">
        <f t="shared" si="3"/>
        <v>0</v>
      </c>
      <c r="N69" s="463">
        <f t="shared" si="46"/>
        <v>3.7440381556917548</v>
      </c>
      <c r="O69" s="463">
        <f t="shared" si="5"/>
        <v>9.6053663579817414E-2</v>
      </c>
      <c r="P69">
        <f t="shared" si="6"/>
        <v>0.4</v>
      </c>
      <c r="Q69" s="463">
        <f t="shared" si="34"/>
        <v>0.49605366357981745</v>
      </c>
      <c r="R69" s="9">
        <f t="shared" si="39"/>
        <v>1.0285045995403812</v>
      </c>
      <c r="S69" s="9">
        <f t="shared" si="7"/>
        <v>2.11564342255144E-3</v>
      </c>
      <c r="T69" s="9">
        <f t="shared" si="40"/>
        <v>2.11564342255144E-3</v>
      </c>
      <c r="U69" s="463">
        <f t="shared" si="47"/>
        <v>2.4261444286582394</v>
      </c>
      <c r="V69" s="465">
        <f t="shared" si="9"/>
        <v>1.942438340274107E-3</v>
      </c>
      <c r="W69" s="463">
        <f t="shared" si="41"/>
        <v>1.942438340274107E-3</v>
      </c>
      <c r="X69" s="463">
        <f t="shared" si="48"/>
        <v>2.4261444286582394</v>
      </c>
      <c r="Y69" s="463">
        <f t="shared" si="11"/>
        <v>2.3544707154837662E-2</v>
      </c>
      <c r="Z69" s="463">
        <f t="shared" si="12"/>
        <v>0.13289117308456666</v>
      </c>
      <c r="AA69" s="463">
        <f t="shared" si="13"/>
        <v>3.0000000000000002E-2</v>
      </c>
      <c r="AB69" s="463">
        <f t="shared" si="14"/>
        <v>0</v>
      </c>
      <c r="AC69" s="463">
        <f t="shared" si="49"/>
        <v>0.18687587401219649</v>
      </c>
      <c r="AD69" s="463">
        <f t="shared" si="50"/>
        <v>2.8516039210532558</v>
      </c>
      <c r="AE69" s="463">
        <f t="shared" si="17"/>
        <v>3.2526579690265206E-2</v>
      </c>
      <c r="AF69" s="463">
        <f t="shared" si="18"/>
        <v>5.3999999999999992E-2</v>
      </c>
      <c r="AG69" s="463">
        <f t="shared" si="51"/>
        <v>8.6808939479044459E-2</v>
      </c>
      <c r="AH69" s="463">
        <f t="shared" si="52"/>
        <v>0</v>
      </c>
      <c r="AI69">
        <f t="shared" si="21"/>
        <v>0</v>
      </c>
      <c r="AJ69" s="464">
        <f t="shared" si="22"/>
        <v>0.119856</v>
      </c>
      <c r="AK69">
        <f t="shared" si="23"/>
        <v>3.6000000000000004E-2</v>
      </c>
      <c r="AL69" s="464">
        <f t="shared" si="24"/>
        <v>0.27</v>
      </c>
      <c r="AM69" s="464">
        <f t="shared" si="25"/>
        <v>0.17963774597495527</v>
      </c>
      <c r="AN69" s="464">
        <f t="shared" si="42"/>
        <v>0.30600000000000005</v>
      </c>
      <c r="AO69" s="464">
        <f t="shared" si="53"/>
        <v>1.199652558833884</v>
      </c>
      <c r="AP69" s="100">
        <f t="shared" si="27"/>
        <v>18</v>
      </c>
      <c r="AQ69" s="10">
        <f t="shared" si="43"/>
        <v>0.9375169652076899</v>
      </c>
      <c r="AR69" s="77">
        <f t="shared" si="54"/>
        <v>4.6718968503049121</v>
      </c>
      <c r="AS69" s="77">
        <f t="shared" si="44"/>
        <v>2.1702234869761114</v>
      </c>
      <c r="AT69" s="10"/>
      <c r="AU69">
        <f t="shared" si="45"/>
        <v>93.751696520768988</v>
      </c>
      <c r="BE69" s="31"/>
      <c r="BF69" s="32"/>
    </row>
    <row r="70" spans="1:58" x14ac:dyDescent="0.15">
      <c r="A70" s="51" t="s">
        <v>387</v>
      </c>
      <c r="B70" s="466">
        <f>Ipp</f>
        <v>0.57793333333333341</v>
      </c>
      <c r="C70" s="42" t="s">
        <v>2</v>
      </c>
      <c r="G70">
        <v>61</v>
      </c>
      <c r="H70">
        <f t="shared" si="0"/>
        <v>3.66</v>
      </c>
      <c r="I70" s="463">
        <f t="shared" si="1"/>
        <v>0.41996066666666665</v>
      </c>
      <c r="J70" s="464">
        <f t="shared" si="2"/>
        <v>3.5633026262626264</v>
      </c>
      <c r="K70" s="464">
        <f t="shared" si="31"/>
        <v>5.4416513131313131</v>
      </c>
      <c r="L70" s="464">
        <f t="shared" si="32"/>
        <v>1.8783486868686869</v>
      </c>
      <c r="M70" s="77">
        <f t="shared" si="3"/>
        <v>0</v>
      </c>
      <c r="N70" s="463">
        <f t="shared" si="46"/>
        <v>3.8018013888849471</v>
      </c>
      <c r="O70" s="463">
        <f t="shared" si="5"/>
        <v>9.9064039507350418E-2</v>
      </c>
      <c r="P70">
        <f t="shared" si="6"/>
        <v>0.4</v>
      </c>
      <c r="Q70" s="463">
        <f t="shared" si="34"/>
        <v>0.49906403950735045</v>
      </c>
      <c r="R70" s="9">
        <f t="shared" si="39"/>
        <v>1.0286368652384139</v>
      </c>
      <c r="S70" s="9">
        <f t="shared" si="7"/>
        <v>2.116187601055022E-3</v>
      </c>
      <c r="T70" s="9">
        <f t="shared" si="40"/>
        <v>2.116187601055022E-3</v>
      </c>
      <c r="U70" s="463">
        <f t="shared" si="47"/>
        <v>2.4637335254173496</v>
      </c>
      <c r="V70" s="465">
        <f t="shared" si="9"/>
        <v>2.0030943518075826E-3</v>
      </c>
      <c r="W70" s="463">
        <f t="shared" si="41"/>
        <v>2.0030943518075826E-3</v>
      </c>
      <c r="X70" s="463">
        <f t="shared" si="48"/>
        <v>2.4637335254173496</v>
      </c>
      <c r="Y70" s="463">
        <f t="shared" si="11"/>
        <v>2.4279931537061608E-2</v>
      </c>
      <c r="Z70" s="463">
        <f t="shared" si="12"/>
        <v>0.13471698705665056</v>
      </c>
      <c r="AA70" s="463">
        <f t="shared" si="13"/>
        <v>3.0000000000000002E-2</v>
      </c>
      <c r="AB70" s="463">
        <f t="shared" si="14"/>
        <v>0</v>
      </c>
      <c r="AC70" s="463">
        <f t="shared" si="49"/>
        <v>0.18945691869522641</v>
      </c>
      <c r="AD70" s="463">
        <f t="shared" si="50"/>
        <v>2.895463851658679</v>
      </c>
      <c r="AE70" s="463">
        <f t="shared" si="17"/>
        <v>3.3534843665048449E-2</v>
      </c>
      <c r="AF70" s="463">
        <f t="shared" si="18"/>
        <v>5.4899999999999997E-2</v>
      </c>
      <c r="AG70" s="463">
        <f t="shared" si="51"/>
        <v>8.8732406402722327E-2</v>
      </c>
      <c r="AH70" s="463">
        <f t="shared" si="52"/>
        <v>0</v>
      </c>
      <c r="AI70">
        <f t="shared" si="21"/>
        <v>0</v>
      </c>
      <c r="AJ70" s="464">
        <f t="shared" si="22"/>
        <v>0.1198536</v>
      </c>
      <c r="AK70">
        <f t="shared" si="23"/>
        <v>3.6000000000000004E-2</v>
      </c>
      <c r="AL70" s="464">
        <f t="shared" si="24"/>
        <v>0.27</v>
      </c>
      <c r="AM70" s="464">
        <f t="shared" si="25"/>
        <v>0.17963774597495527</v>
      </c>
      <c r="AN70" s="464">
        <f t="shared" si="42"/>
        <v>0.30600000000000005</v>
      </c>
      <c r="AO70" s="464">
        <f t="shared" si="53"/>
        <v>1.2072262465581618</v>
      </c>
      <c r="AP70" s="100">
        <f t="shared" si="27"/>
        <v>18.3</v>
      </c>
      <c r="AQ70" s="10">
        <f t="shared" si="43"/>
        <v>0.93811389526631639</v>
      </c>
      <c r="AR70" s="77">
        <f t="shared" si="54"/>
        <v>4.7364229673806602</v>
      </c>
      <c r="AS70" s="77">
        <f t="shared" si="44"/>
        <v>2.2183101600680581</v>
      </c>
      <c r="AT70" s="10"/>
      <c r="AU70">
        <f t="shared" si="45"/>
        <v>93.811389526631643</v>
      </c>
      <c r="BE70" s="31"/>
      <c r="BF70" s="32"/>
    </row>
    <row r="71" spans="1:58" x14ac:dyDescent="0.15">
      <c r="A71" s="48" t="s">
        <v>129</v>
      </c>
      <c r="B71" s="28" t="s">
        <v>8</v>
      </c>
      <c r="C71" s="30" t="s">
        <v>148</v>
      </c>
      <c r="G71">
        <v>62</v>
      </c>
      <c r="H71">
        <f t="shared" si="0"/>
        <v>3.7199999999999998</v>
      </c>
      <c r="I71" s="463">
        <f t="shared" si="1"/>
        <v>0.42001466666666665</v>
      </c>
      <c r="J71" s="464">
        <f t="shared" si="2"/>
        <v>3.5637608080808079</v>
      </c>
      <c r="K71" s="464">
        <f t="shared" si="31"/>
        <v>5.5018804040404037</v>
      </c>
      <c r="L71" s="464">
        <f t="shared" si="32"/>
        <v>1.9381195959595958</v>
      </c>
      <c r="M71" s="77">
        <f t="shared" si="3"/>
        <v>0</v>
      </c>
      <c r="N71" s="463">
        <f t="shared" si="46"/>
        <v>3.8596328743505812</v>
      </c>
      <c r="O71" s="463">
        <f t="shared" si="5"/>
        <v>0.1021256180245091</v>
      </c>
      <c r="P71">
        <f t="shared" si="6"/>
        <v>0.4</v>
      </c>
      <c r="Q71" s="463">
        <f t="shared" si="34"/>
        <v>0.50212561802450917</v>
      </c>
      <c r="R71" s="9">
        <f t="shared" si="39"/>
        <v>1.0287691309364464</v>
      </c>
      <c r="S71" s="9">
        <f t="shared" si="7"/>
        <v>2.1167318495354625E-3</v>
      </c>
      <c r="T71" s="9">
        <f t="shared" si="40"/>
        <v>2.1167318495354625E-3</v>
      </c>
      <c r="U71" s="463">
        <f t="shared" si="47"/>
        <v>2.5013716585710881</v>
      </c>
      <c r="V71" s="465">
        <f t="shared" si="9"/>
        <v>2.0647638575198831E-3</v>
      </c>
      <c r="W71" s="463">
        <f t="shared" si="41"/>
        <v>2.0647638575198831E-3</v>
      </c>
      <c r="X71" s="463">
        <f t="shared" si="48"/>
        <v>2.5013716585710881</v>
      </c>
      <c r="Y71" s="463">
        <f t="shared" si="11"/>
        <v>2.5027440697210704E-2</v>
      </c>
      <c r="Z71" s="463">
        <f t="shared" si="12"/>
        <v>0.13654280102873442</v>
      </c>
      <c r="AA71" s="463">
        <f t="shared" si="13"/>
        <v>3.0000000000000002E-2</v>
      </c>
      <c r="AB71" s="463">
        <f t="shared" si="14"/>
        <v>0</v>
      </c>
      <c r="AC71" s="463">
        <f t="shared" si="49"/>
        <v>0.19205089596691091</v>
      </c>
      <c r="AD71" s="463">
        <f t="shared" si="50"/>
        <v>2.9393716591246255</v>
      </c>
      <c r="AE71" s="463">
        <f t="shared" si="17"/>
        <v>3.4559623001860218E-2</v>
      </c>
      <c r="AF71" s="463">
        <f t="shared" si="18"/>
        <v>5.5799999999999995E-2</v>
      </c>
      <c r="AG71" s="463">
        <f t="shared" si="51"/>
        <v>9.0672985421120914E-2</v>
      </c>
      <c r="AH71" s="463">
        <f t="shared" si="52"/>
        <v>0</v>
      </c>
      <c r="AI71">
        <f t="shared" si="21"/>
        <v>0</v>
      </c>
      <c r="AJ71" s="464">
        <f t="shared" si="22"/>
        <v>0.1198512</v>
      </c>
      <c r="AK71">
        <f t="shared" si="23"/>
        <v>3.6000000000000004E-2</v>
      </c>
      <c r="AL71" s="464">
        <f t="shared" si="24"/>
        <v>0.27</v>
      </c>
      <c r="AM71" s="464">
        <f t="shared" si="25"/>
        <v>0.17963774597495527</v>
      </c>
      <c r="AN71" s="464">
        <f t="shared" si="42"/>
        <v>0.30600000000000005</v>
      </c>
      <c r="AO71" s="464">
        <f t="shared" si="53"/>
        <v>1.2148821951195963</v>
      </c>
      <c r="AP71" s="100">
        <f t="shared" si="27"/>
        <v>18.599999999999998</v>
      </c>
      <c r="AQ71" s="10">
        <f t="shared" si="43"/>
        <v>0.93868839677387428</v>
      </c>
      <c r="AR71" s="77">
        <f t="shared" si="54"/>
        <v>4.801272399172773</v>
      </c>
      <c r="AS71" s="77">
        <f t="shared" si="44"/>
        <v>2.2668246355280228</v>
      </c>
      <c r="AT71" s="10"/>
      <c r="AU71">
        <f t="shared" si="45"/>
        <v>93.868839677387427</v>
      </c>
      <c r="BE71" s="31"/>
      <c r="BF71" s="32"/>
    </row>
    <row r="72" spans="1:58" x14ac:dyDescent="0.15">
      <c r="A72" s="50" t="s">
        <v>166</v>
      </c>
      <c r="B72" s="466">
        <f>(QgdTop+QgsTop/2)*(RdsonDRT+RGateTop)/(Vdd-VspTop)*1000000000</f>
        <v>5.7249070631970262</v>
      </c>
      <c r="C72" s="42" t="s">
        <v>147</v>
      </c>
      <c r="G72">
        <v>63</v>
      </c>
      <c r="H72">
        <f t="shared" si="0"/>
        <v>3.7800000000000002</v>
      </c>
      <c r="I72" s="463">
        <f t="shared" si="1"/>
        <v>0.42006866666666665</v>
      </c>
      <c r="J72" s="464">
        <f t="shared" si="2"/>
        <v>3.5642189898989902</v>
      </c>
      <c r="K72" s="464">
        <f t="shared" si="31"/>
        <v>5.5621094949494951</v>
      </c>
      <c r="L72" s="464">
        <f t="shared" si="32"/>
        <v>1.9978905050505051</v>
      </c>
      <c r="M72" s="77">
        <f t="shared" si="3"/>
        <v>0</v>
      </c>
      <c r="N72" s="463">
        <f t="shared" si="46"/>
        <v>3.9175295894219335</v>
      </c>
      <c r="O72" s="463">
        <f t="shared" si="5"/>
        <v>0.10523847274509701</v>
      </c>
      <c r="P72">
        <f t="shared" si="6"/>
        <v>0.4</v>
      </c>
      <c r="Q72" s="463">
        <f t="shared" si="34"/>
        <v>0.50523847274509703</v>
      </c>
      <c r="R72" s="9">
        <f t="shared" si="39"/>
        <v>1.0289013966344791</v>
      </c>
      <c r="S72" s="9">
        <f t="shared" si="7"/>
        <v>2.1172761679927633E-3</v>
      </c>
      <c r="T72" s="9">
        <f t="shared" si="40"/>
        <v>2.1172761679927633E-3</v>
      </c>
      <c r="U72" s="463">
        <f t="shared" si="47"/>
        <v>2.5390568771153816</v>
      </c>
      <c r="V72" s="465">
        <f t="shared" si="9"/>
        <v>2.1274472423248817E-3</v>
      </c>
      <c r="W72" s="463">
        <f t="shared" si="41"/>
        <v>2.1274472423248817E-3</v>
      </c>
      <c r="X72" s="463">
        <f t="shared" si="48"/>
        <v>2.5390568771153816</v>
      </c>
      <c r="Y72" s="463">
        <f t="shared" si="11"/>
        <v>2.5787239300907656E-2</v>
      </c>
      <c r="Z72" s="463">
        <f t="shared" si="12"/>
        <v>0.13836861500081835</v>
      </c>
      <c r="AA72" s="463">
        <f t="shared" si="13"/>
        <v>3.0000000000000002E-2</v>
      </c>
      <c r="AB72" s="463">
        <f t="shared" si="14"/>
        <v>0</v>
      </c>
      <c r="AC72" s="463">
        <f t="shared" si="49"/>
        <v>0.19465782308830318</v>
      </c>
      <c r="AD72" s="463">
        <f t="shared" si="50"/>
        <v>2.9833250340466537</v>
      </c>
      <c r="AE72" s="463">
        <f t="shared" si="17"/>
        <v>3.5600913035077876E-2</v>
      </c>
      <c r="AF72" s="463">
        <f t="shared" si="18"/>
        <v>5.67E-2</v>
      </c>
      <c r="AG72" s="463">
        <f t="shared" si="51"/>
        <v>9.263068673736953E-2</v>
      </c>
      <c r="AH72" s="463">
        <f t="shared" si="52"/>
        <v>0</v>
      </c>
      <c r="AI72">
        <f t="shared" si="21"/>
        <v>0</v>
      </c>
      <c r="AJ72" s="464">
        <f t="shared" si="22"/>
        <v>0.11984880000000001</v>
      </c>
      <c r="AK72">
        <f t="shared" si="23"/>
        <v>3.6000000000000004E-2</v>
      </c>
      <c r="AL72" s="464">
        <f t="shared" si="24"/>
        <v>0.27</v>
      </c>
      <c r="AM72" s="464">
        <f t="shared" si="25"/>
        <v>0.17963774597495527</v>
      </c>
      <c r="AN72" s="464">
        <f t="shared" si="42"/>
        <v>0.30600000000000005</v>
      </c>
      <c r="AO72" s="464">
        <f t="shared" si="53"/>
        <v>1.2226205059810873</v>
      </c>
      <c r="AP72" s="100">
        <f t="shared" si="27"/>
        <v>18.900000000000002</v>
      </c>
      <c r="AQ72" s="10">
        <f t="shared" si="43"/>
        <v>0.93924148668322371</v>
      </c>
      <c r="AR72" s="77">
        <f t="shared" si="54"/>
        <v>4.8664455772075792</v>
      </c>
      <c r="AS72" s="77">
        <f t="shared" si="44"/>
        <v>2.3157671684342382</v>
      </c>
      <c r="AT72" s="10"/>
      <c r="AU72">
        <f t="shared" si="45"/>
        <v>93.924148668322374</v>
      </c>
      <c r="BE72" s="31"/>
      <c r="BF72" s="32"/>
    </row>
    <row r="73" spans="1:58" x14ac:dyDescent="0.15">
      <c r="A73" s="51" t="s">
        <v>167</v>
      </c>
      <c r="B73" s="466">
        <f>(QgdTop+QgsTop/2)*(RdsonDRT+RGateTop)/(VspTop)*1000000000</f>
        <v>14.528301886792455</v>
      </c>
      <c r="C73" s="42" t="s">
        <v>147</v>
      </c>
      <c r="G73">
        <v>64</v>
      </c>
      <c r="H73">
        <f t="shared" ref="H73:H136" si="55">Iout*(G73/200)</f>
        <v>3.84</v>
      </c>
      <c r="I73" s="463">
        <f t="shared" si="1"/>
        <v>0.4201226666666667</v>
      </c>
      <c r="J73" s="464">
        <f t="shared" ref="J73:J136" si="56">(Vin-Vout)*I73/(Fsw*Lout2)</f>
        <v>3.5646771717171721</v>
      </c>
      <c r="K73" s="464">
        <f t="shared" si="31"/>
        <v>5.6223385858585857</v>
      </c>
      <c r="L73" s="464">
        <f t="shared" si="32"/>
        <v>2.057661414141414</v>
      </c>
      <c r="M73" s="77">
        <f t="shared" ref="M73:M136" si="57">IF(MIN(Vin, -L73/(CossTop+CossBot)*0.00000002)&lt;0, 0, MIN(Vin, -L73/(CossTop+CossBot)*0.00000002))</f>
        <v>0</v>
      </c>
      <c r="N73" s="463">
        <f t="shared" ref="N73:N109" si="58">SQRT(H73^2+(J73^2)/12)</f>
        <v>3.9754886842014105</v>
      </c>
      <c r="O73" s="463">
        <f t="shared" si="5"/>
        <v>0.1084026785705756</v>
      </c>
      <c r="P73">
        <f t="shared" ref="P73:P136" si="59">Core_Loss</f>
        <v>0.4</v>
      </c>
      <c r="Q73" s="463">
        <f t="shared" si="34"/>
        <v>0.50840267857057564</v>
      </c>
      <c r="R73" s="9">
        <f t="shared" si="39"/>
        <v>1.0290336623325116</v>
      </c>
      <c r="S73" s="9">
        <f t="shared" si="7"/>
        <v>2.1178205564269226E-3</v>
      </c>
      <c r="T73" s="9">
        <f t="shared" si="40"/>
        <v>2.1178205564269226E-3</v>
      </c>
      <c r="U73" s="463">
        <f t="shared" ref="U73:U109" si="60">SQRT(I73)*SQRT(H73^2+(J73^2)/12)</f>
        <v>2.5767873415250593</v>
      </c>
      <c r="V73" s="465">
        <f t="shared" si="9"/>
        <v>2.1911448911364484E-3</v>
      </c>
      <c r="W73" s="463">
        <f t="shared" si="41"/>
        <v>2.1911448911364484E-3</v>
      </c>
      <c r="X73" s="463">
        <f t="shared" ref="X73:X109" si="61">SQRT(I73)*SQRT(H73^2+(J73^2)/12)</f>
        <v>2.5767873415250593</v>
      </c>
      <c r="Y73" s="463">
        <f t="shared" si="11"/>
        <v>2.6559332013775132E-2</v>
      </c>
      <c r="Z73" s="463">
        <f t="shared" ref="Z73:Z136" si="62">IF(L73&lt;0, (Vin*K73*Tf/2)*Fsw, (Vin*L73*Tr/2+Vin*K73*Tf/2)*Fsw)</f>
        <v>0.14019442897290221</v>
      </c>
      <c r="AA73" s="463">
        <f t="shared" ref="AA73:AA136" si="63">(0.5*CossTop*(Vin-M73)^2-0.5*CossBot*(Vin-M73)^2+(QossBot*(Vin-M73)/Vin)*Vin)*Fsw</f>
        <v>3.0000000000000002E-2</v>
      </c>
      <c r="AB73" s="463">
        <f t="shared" ref="AB73:AB136" si="64">IF(L73&gt;0,0,-L73*VsdTop*Deadtime*Fsw)</f>
        <v>0</v>
      </c>
      <c r="AC73" s="463">
        <f t="shared" ref="AC73:AC104" si="65">(AB73+AA73+Z73+Y73*(1+RdsonTopTc*Ta-RdsonTopTc*25))/(1-Y73*RdsonTopTc*ThetaJaTop)</f>
        <v>0.19727771742628178</v>
      </c>
      <c r="AD73" s="463">
        <f t="shared" ref="AD73:AD109" si="66">SQRT(1-I73)*SQRT(H73^2+(J73^2)/12)</f>
        <v>3.0273217990114105</v>
      </c>
      <c r="AE73" s="463">
        <f t="shared" si="17"/>
        <v>3.6658709099078736E-2</v>
      </c>
      <c r="AF73" s="463">
        <f t="shared" ref="AF73:AF136" si="67">IF(L73&lt;0, Deadtime*Fsw*IF(VfdSky&gt;0,0,VsdBot)*K73, Deadtime*Fsw*IF(VfdSky&gt;0,0,VsdBot)*(K73+L73))</f>
        <v>5.7599999999999998E-2</v>
      </c>
      <c r="AG73" s="463">
        <f t="shared" ref="AG73:AG104" si="68">(AF73+AE73*(1+RdsonBotTc*Ta-RdsonBotTc*25))/(1-AE73*RdsonBotTc*ThetaJaBot)</f>
        <v>9.4605520725422762E-2</v>
      </c>
      <c r="AH73" s="463">
        <f t="shared" ref="AH73:AH109" si="69">IF(RDSON_sense=1, 0, AD73^2*Rshunt)</f>
        <v>0</v>
      </c>
      <c r="AI73">
        <f t="shared" ref="AI73:AI136" si="70">2*Deadtime*Fsw*IF(VfdSky&gt;0,VfdSky,0)*H73</f>
        <v>0</v>
      </c>
      <c r="AJ73" s="464">
        <f t="shared" ref="AJ73:AJ136" si="71">IF(QrrSky&gt;0,QrrSky,QrrBot)*Fsw*(Vin-H73*RdsonTop)</f>
        <v>0.11984640000000001</v>
      </c>
      <c r="AK73">
        <f t="shared" si="23"/>
        <v>3.6000000000000004E-2</v>
      </c>
      <c r="AL73" s="464">
        <f t="shared" si="24"/>
        <v>0.27</v>
      </c>
      <c r="AM73" s="464">
        <f t="shared" si="25"/>
        <v>0.17963774597495527</v>
      </c>
      <c r="AN73" s="464">
        <f t="shared" si="42"/>
        <v>0.30600000000000005</v>
      </c>
      <c r="AO73" s="464">
        <f t="shared" ref="AO73:AO104" si="72">SUM(Q73,T73,W73,AC73,AJ73,AI73,AG73,AN73, AH73)</f>
        <v>1.2304412821698436</v>
      </c>
      <c r="AP73" s="100">
        <f t="shared" ref="AP73:AP136" si="73">Vout*H73</f>
        <v>19.2</v>
      </c>
      <c r="AQ73" s="10">
        <f t="shared" si="43"/>
        <v>0.9397741211178009</v>
      </c>
      <c r="AR73" s="77">
        <f t="shared" ref="AR73:AR109" si="74">ThetaJaTop*AC73</f>
        <v>4.9319429356570446</v>
      </c>
      <c r="AS73" s="77">
        <f t="shared" si="44"/>
        <v>2.365138018135569</v>
      </c>
      <c r="AT73" s="10"/>
      <c r="AU73">
        <f t="shared" si="45"/>
        <v>93.977412111780083</v>
      </c>
      <c r="BE73" s="31"/>
      <c r="BF73" s="32"/>
    </row>
    <row r="74" spans="1:58" x14ac:dyDescent="0.15">
      <c r="A74" s="48" t="s">
        <v>206</v>
      </c>
      <c r="B74" s="28" t="s">
        <v>8</v>
      </c>
      <c r="C74" s="30" t="s">
        <v>148</v>
      </c>
      <c r="G74">
        <v>65</v>
      </c>
      <c r="H74">
        <f t="shared" si="55"/>
        <v>3.9000000000000004</v>
      </c>
      <c r="I74" s="463">
        <f t="shared" ref="I74:I109" si="75">(Vout+Rdcr*H74+RdsonBot*H74)/(Vin-RdsonTop*H74+RdsonBot*H74)</f>
        <v>0.42017666666666664</v>
      </c>
      <c r="J74" s="464">
        <f t="shared" si="56"/>
        <v>3.5651353535353536</v>
      </c>
      <c r="K74" s="464">
        <f t="shared" ref="K74:K137" si="76">H74+J74/2</f>
        <v>5.6825676767676772</v>
      </c>
      <c r="L74" s="464">
        <f t="shared" ref="L74:L109" si="77">H74-J74/2</f>
        <v>2.1174323232323236</v>
      </c>
      <c r="M74" s="77">
        <f t="shared" si="57"/>
        <v>0</v>
      </c>
      <c r="N74" s="463">
        <f t="shared" si="58"/>
        <v>4.0335074696123936</v>
      </c>
      <c r="O74" s="463">
        <f t="shared" ref="O74:O109" si="78">(N74^2*Rdcr*(1+Ltc*Ta-Ltc*25))/(1-N74^2*Rdcr*Ltc*ThetaCa)</f>
        <v>0.11161831169461559</v>
      </c>
      <c r="P74">
        <f t="shared" si="59"/>
        <v>0.4</v>
      </c>
      <c r="Q74" s="463">
        <f t="shared" ref="Q74:Q137" si="79">O74+P74</f>
        <v>0.51161831169461558</v>
      </c>
      <c r="R74" s="9">
        <f t="shared" si="39"/>
        <v>1.0291659280305441</v>
      </c>
      <c r="S74" s="9">
        <f t="shared" ref="S74:S109" si="80">RCoutEsr*R74^2</f>
        <v>2.1183650148379422E-3</v>
      </c>
      <c r="T74" s="9">
        <f t="shared" si="40"/>
        <v>2.1183650148379422E-3</v>
      </c>
      <c r="U74" s="463">
        <f t="shared" si="60"/>
        <v>2.614561316044997</v>
      </c>
      <c r="V74" s="465">
        <f t="shared" ref="V74:V109" si="81">RCinEsr*U74^2</f>
        <v>2.2558571888684521E-3</v>
      </c>
      <c r="W74" s="463">
        <f t="shared" si="41"/>
        <v>2.2558571888684521E-3</v>
      </c>
      <c r="X74" s="463">
        <f t="shared" si="61"/>
        <v>2.614561316044997</v>
      </c>
      <c r="Y74" s="463">
        <f t="shared" ref="Y74:Y109" si="82">RdsonTop*X74^2</f>
        <v>2.7343723501435786E-2</v>
      </c>
      <c r="Z74" s="463">
        <f t="shared" si="62"/>
        <v>0.14202024294498611</v>
      </c>
      <c r="AA74" s="463">
        <f t="shared" si="63"/>
        <v>3.0000000000000002E-2</v>
      </c>
      <c r="AB74" s="463">
        <f t="shared" si="64"/>
        <v>0</v>
      </c>
      <c r="AC74" s="463">
        <f t="shared" si="65"/>
        <v>0.19991059645386608</v>
      </c>
      <c r="AD74" s="463">
        <f t="shared" si="66"/>
        <v>3.0713598994679909</v>
      </c>
      <c r="AE74" s="463">
        <f t="shared" ref="AE74:AE109" si="83">RdsonBot*AD74^2</f>
        <v>3.7733006528240111E-2</v>
      </c>
      <c r="AF74" s="463">
        <f t="shared" si="67"/>
        <v>5.8500000000000003E-2</v>
      </c>
      <c r="AG74" s="463">
        <f t="shared" si="68"/>
        <v>9.6597497930241458E-2</v>
      </c>
      <c r="AH74" s="463">
        <f t="shared" si="69"/>
        <v>0</v>
      </c>
      <c r="AI74">
        <f t="shared" si="70"/>
        <v>0</v>
      </c>
      <c r="AJ74" s="464">
        <f t="shared" si="71"/>
        <v>0.11984400000000001</v>
      </c>
      <c r="AK74">
        <f t="shared" ref="AK74:AK137" si="84">Iq*Vin</f>
        <v>3.6000000000000004E-2</v>
      </c>
      <c r="AL74" s="464">
        <f t="shared" ref="AL74:AL137" si="85">Vin*(QgTop+QgBot)*Fsw</f>
        <v>0.27</v>
      </c>
      <c r="AM74" s="464">
        <f t="shared" ref="AM74:AM137" si="86">(Vin-Vdd)*Fsw*(QgTop+QgBot)+(RdsonDRT+RdsonDRT2)*Fsw*QgTop*Vdd/(RdsonDRT+2*RGateTop+RdsonDRT2)+(RdsonDRB+RdsonDRB2)*Fsw*QgBot*Vdd/(RdsonDRB+2*RGateBot+RdsonDRB2)</f>
        <v>0.17963774597495527</v>
      </c>
      <c r="AN74" s="464">
        <f t="shared" si="42"/>
        <v>0.30600000000000005</v>
      </c>
      <c r="AO74" s="464">
        <f t="shared" si="72"/>
        <v>1.2383446282824297</v>
      </c>
      <c r="AP74" s="100">
        <f t="shared" si="73"/>
        <v>19.5</v>
      </c>
      <c r="AQ74" s="10">
        <f t="shared" si="43"/>
        <v>0.94028719984749376</v>
      </c>
      <c r="AR74" s="77">
        <f t="shared" si="74"/>
        <v>4.9977649113466516</v>
      </c>
      <c r="AS74" s="77">
        <f t="shared" si="44"/>
        <v>2.4149374482560364</v>
      </c>
      <c r="AT74" s="10"/>
      <c r="AU74">
        <f t="shared" si="45"/>
        <v>94.028719984749372</v>
      </c>
      <c r="BE74" s="31"/>
      <c r="BF74" s="32"/>
    </row>
    <row r="75" spans="1:58" x14ac:dyDescent="0.15">
      <c r="A75" s="52" t="s">
        <v>207</v>
      </c>
      <c r="B75" s="142">
        <f>AN9</f>
        <v>0.30600000000000005</v>
      </c>
      <c r="C75" s="143" t="s">
        <v>208</v>
      </c>
      <c r="G75">
        <v>66</v>
      </c>
      <c r="H75">
        <f t="shared" si="55"/>
        <v>3.96</v>
      </c>
      <c r="I75" s="463">
        <f t="shared" si="75"/>
        <v>0.42023066666666664</v>
      </c>
      <c r="J75" s="464">
        <f t="shared" si="56"/>
        <v>3.5655935353535351</v>
      </c>
      <c r="K75" s="464">
        <f t="shared" si="76"/>
        <v>5.7427967676767677</v>
      </c>
      <c r="L75" s="464">
        <f t="shared" si="77"/>
        <v>2.1772032323232322</v>
      </c>
      <c r="M75" s="77">
        <f t="shared" si="57"/>
        <v>0</v>
      </c>
      <c r="N75" s="463">
        <f t="shared" si="58"/>
        <v>4.0915834064103969</v>
      </c>
      <c r="O75" s="463">
        <f t="shared" si="78"/>
        <v>0.1148854496077311</v>
      </c>
      <c r="P75">
        <f t="shared" si="59"/>
        <v>0.4</v>
      </c>
      <c r="Q75" s="463">
        <f t="shared" si="79"/>
        <v>0.51488544960773108</v>
      </c>
      <c r="R75" s="9">
        <f t="shared" ref="R75:R109" si="87">J75/(2*SQRT(3))</f>
        <v>1.0292981937285766</v>
      </c>
      <c r="S75" s="9">
        <f t="shared" si="80"/>
        <v>2.1189095432258206E-3</v>
      </c>
      <c r="T75" s="9">
        <f t="shared" ref="T75:T109" si="88">S75</f>
        <v>2.1189095432258206E-3</v>
      </c>
      <c r="U75" s="463">
        <f t="shared" si="60"/>
        <v>2.6523771616001506</v>
      </c>
      <c r="V75" s="465">
        <f t="shared" si="81"/>
        <v>2.3215845204347632E-3</v>
      </c>
      <c r="W75" s="463">
        <f t="shared" ref="W75:W109" si="89">V75</f>
        <v>2.3215845204347632E-3</v>
      </c>
      <c r="X75" s="463">
        <f t="shared" si="61"/>
        <v>2.6523771616001506</v>
      </c>
      <c r="Y75" s="463">
        <f t="shared" si="82"/>
        <v>2.8140418429512284E-2</v>
      </c>
      <c r="Z75" s="463">
        <f t="shared" si="62"/>
        <v>0.14384605691707</v>
      </c>
      <c r="AA75" s="463">
        <f t="shared" si="63"/>
        <v>3.0000000000000002E-2</v>
      </c>
      <c r="AB75" s="463">
        <f t="shared" si="64"/>
        <v>0</v>
      </c>
      <c r="AC75" s="463">
        <f t="shared" si="65"/>
        <v>0.20255647775053309</v>
      </c>
      <c r="AD75" s="463">
        <f t="shared" si="66"/>
        <v>3.1154373953322887</v>
      </c>
      <c r="AE75" s="463">
        <f t="shared" si="83"/>
        <v>3.8823800656939342E-2</v>
      </c>
      <c r="AF75" s="463">
        <f t="shared" si="67"/>
        <v>5.9399999999999994E-2</v>
      </c>
      <c r="AG75" s="463">
        <f t="shared" si="68"/>
        <v>9.8606629067978138E-2</v>
      </c>
      <c r="AH75" s="463">
        <f t="shared" si="69"/>
        <v>0</v>
      </c>
      <c r="AI75">
        <f t="shared" si="70"/>
        <v>0</v>
      </c>
      <c r="AJ75" s="464">
        <f t="shared" si="71"/>
        <v>0.11984159999999999</v>
      </c>
      <c r="AK75">
        <f t="shared" si="84"/>
        <v>3.6000000000000004E-2</v>
      </c>
      <c r="AL75" s="464">
        <f t="shared" si="85"/>
        <v>0.27</v>
      </c>
      <c r="AM75" s="464">
        <f t="shared" si="86"/>
        <v>0.17963774597495527</v>
      </c>
      <c r="AN75" s="464">
        <f t="shared" ref="AN75:AN109" si="90">SUM(AK75:AL75)</f>
        <v>0.30600000000000005</v>
      </c>
      <c r="AO75" s="464">
        <f t="shared" si="72"/>
        <v>1.2463306504899028</v>
      </c>
      <c r="AP75" s="100">
        <f t="shared" si="73"/>
        <v>19.8</v>
      </c>
      <c r="AQ75" s="10">
        <f t="shared" ref="AQ75:AQ109" si="91">AP75/(AP75+AO75)</f>
        <v>0.94078157037502919</v>
      </c>
      <c r="AR75" s="77">
        <f t="shared" si="74"/>
        <v>5.0639119437633271</v>
      </c>
      <c r="AS75" s="77">
        <f t="shared" ref="AS75:AS109" si="92">AG75*ThetaJaBot</f>
        <v>2.4651657266994533</v>
      </c>
      <c r="AT75" s="10"/>
      <c r="AU75">
        <f t="shared" ref="AU75:AU109" si="93">AQ75*100</f>
        <v>94.078157037502919</v>
      </c>
      <c r="BE75" s="31"/>
      <c r="BF75" s="32"/>
    </row>
    <row r="76" spans="1:58" x14ac:dyDescent="0.15">
      <c r="A76" s="52" t="s">
        <v>211</v>
      </c>
      <c r="B76" s="141">
        <f>B75*B62</f>
        <v>6.120000000000001</v>
      </c>
      <c r="C76" s="474" t="s">
        <v>442</v>
      </c>
      <c r="G76">
        <v>67</v>
      </c>
      <c r="H76">
        <f t="shared" si="55"/>
        <v>4.0200000000000005</v>
      </c>
      <c r="I76" s="463">
        <f t="shared" si="75"/>
        <v>0.42028466666666664</v>
      </c>
      <c r="J76" s="464">
        <f t="shared" si="56"/>
        <v>3.5660517171717174</v>
      </c>
      <c r="K76" s="464">
        <f t="shared" si="76"/>
        <v>5.8030258585858592</v>
      </c>
      <c r="L76" s="464">
        <f t="shared" si="77"/>
        <v>2.2369741414141417</v>
      </c>
      <c r="M76" s="77">
        <f t="shared" si="57"/>
        <v>0</v>
      </c>
      <c r="N76" s="463">
        <f t="shared" si="58"/>
        <v>4.1497140950667051</v>
      </c>
      <c r="O76" s="463">
        <f t="shared" si="78"/>
        <v>0.11820417110199881</v>
      </c>
      <c r="P76">
        <f t="shared" si="59"/>
        <v>0.4</v>
      </c>
      <c r="Q76" s="463">
        <f t="shared" si="79"/>
        <v>0.51820417110199879</v>
      </c>
      <c r="R76" s="9">
        <f t="shared" si="87"/>
        <v>1.0294304594266093</v>
      </c>
      <c r="S76" s="9">
        <f t="shared" si="80"/>
        <v>2.1194541415905594E-3</v>
      </c>
      <c r="T76" s="9">
        <f t="shared" si="88"/>
        <v>2.1194541415905594E-3</v>
      </c>
      <c r="U76" s="463">
        <f t="shared" si="60"/>
        <v>2.6902333292684553</v>
      </c>
      <c r="V76" s="465">
        <f t="shared" si="81"/>
        <v>2.3883272707492563E-3</v>
      </c>
      <c r="W76" s="463">
        <f t="shared" si="89"/>
        <v>2.3883272707492563E-3</v>
      </c>
      <c r="X76" s="463">
        <f t="shared" si="61"/>
        <v>2.6902333292684553</v>
      </c>
      <c r="Y76" s="463">
        <f t="shared" si="82"/>
        <v>2.8949421463627351E-2</v>
      </c>
      <c r="Z76" s="463">
        <f t="shared" si="62"/>
        <v>0.1456718708891539</v>
      </c>
      <c r="AA76" s="463">
        <f t="shared" si="63"/>
        <v>3.0000000000000002E-2</v>
      </c>
      <c r="AB76" s="463">
        <f t="shared" si="64"/>
        <v>0</v>
      </c>
      <c r="AC76" s="463">
        <f t="shared" si="65"/>
        <v>0.2052153790025375</v>
      </c>
      <c r="AD76" s="463">
        <f t="shared" si="66"/>
        <v>3.1595524532579682</v>
      </c>
      <c r="AE76" s="463">
        <f t="shared" si="83"/>
        <v>3.9931086819553784E-2</v>
      </c>
      <c r="AF76" s="463">
        <f t="shared" si="67"/>
        <v>6.0300000000000006E-2</v>
      </c>
      <c r="AG76" s="463">
        <f t="shared" si="68"/>
        <v>0.10063292502616633</v>
      </c>
      <c r="AH76" s="463">
        <f t="shared" si="69"/>
        <v>0</v>
      </c>
      <c r="AI76">
        <f t="shared" si="70"/>
        <v>0</v>
      </c>
      <c r="AJ76" s="464">
        <f t="shared" si="71"/>
        <v>0.11983919999999999</v>
      </c>
      <c r="AK76">
        <f t="shared" si="84"/>
        <v>3.6000000000000004E-2</v>
      </c>
      <c r="AL76" s="464">
        <f t="shared" si="85"/>
        <v>0.27</v>
      </c>
      <c r="AM76" s="464">
        <f t="shared" si="86"/>
        <v>0.17963774597495527</v>
      </c>
      <c r="AN76" s="464">
        <f t="shared" si="90"/>
        <v>0.30600000000000005</v>
      </c>
      <c r="AO76" s="464">
        <f t="shared" si="72"/>
        <v>1.2543994565430425</v>
      </c>
      <c r="AP76" s="100">
        <f t="shared" si="73"/>
        <v>20.100000000000001</v>
      </c>
      <c r="AQ76" s="10">
        <f t="shared" si="91"/>
        <v>0.94125803167184408</v>
      </c>
      <c r="AR76" s="77">
        <f t="shared" si="74"/>
        <v>5.1303844750634378</v>
      </c>
      <c r="AS76" s="77">
        <f t="shared" si="92"/>
        <v>2.5158231256541583</v>
      </c>
      <c r="AT76" s="10"/>
      <c r="AU76">
        <f t="shared" si="93"/>
        <v>94.125803167184401</v>
      </c>
      <c r="BE76" s="31"/>
      <c r="BF76" s="32"/>
    </row>
    <row r="77" spans="1:58" x14ac:dyDescent="0.15">
      <c r="A77" s="52" t="s">
        <v>388</v>
      </c>
      <c r="B77" s="141">
        <f>(QgBot+QgTop)*Fsw+Iq</f>
        <v>2.5499999999999998E-2</v>
      </c>
      <c r="C77" s="34" t="s">
        <v>2</v>
      </c>
      <c r="G77">
        <v>68</v>
      </c>
      <c r="H77">
        <f t="shared" si="55"/>
        <v>4.08</v>
      </c>
      <c r="I77" s="463">
        <f t="shared" si="75"/>
        <v>0.42033866666666669</v>
      </c>
      <c r="J77" s="464">
        <f t="shared" si="56"/>
        <v>3.5665098989898993</v>
      </c>
      <c r="K77" s="464">
        <f t="shared" si="76"/>
        <v>5.8632549494949497</v>
      </c>
      <c r="L77" s="464">
        <f t="shared" si="77"/>
        <v>2.2967450505050504</v>
      </c>
      <c r="M77" s="77">
        <f t="shared" si="57"/>
        <v>0</v>
      </c>
      <c r="N77" s="463">
        <f t="shared" si="58"/>
        <v>4.2078972664462801</v>
      </c>
      <c r="O77" s="463">
        <f t="shared" si="78"/>
        <v>0.12157455627585995</v>
      </c>
      <c r="P77">
        <f t="shared" si="59"/>
        <v>0.4</v>
      </c>
      <c r="Q77" s="463">
        <f t="shared" si="79"/>
        <v>0.52157455627586002</v>
      </c>
      <c r="R77" s="9">
        <f t="shared" si="87"/>
        <v>1.0295627251246418</v>
      </c>
      <c r="S77" s="9">
        <f t="shared" si="80"/>
        <v>2.119998809932157E-3</v>
      </c>
      <c r="T77" s="9">
        <f t="shared" si="88"/>
        <v>2.119998809932157E-3</v>
      </c>
      <c r="U77" s="463">
        <f t="shared" si="60"/>
        <v>2.7281283542661443</v>
      </c>
      <c r="V77" s="465">
        <f t="shared" si="81"/>
        <v>2.4560858247257974E-3</v>
      </c>
      <c r="W77" s="463">
        <f t="shared" si="89"/>
        <v>2.4560858247257974E-3</v>
      </c>
      <c r="X77" s="463">
        <f t="shared" si="61"/>
        <v>2.7281283542661443</v>
      </c>
      <c r="Y77" s="463">
        <f t="shared" si="82"/>
        <v>2.9770737269403606E-2</v>
      </c>
      <c r="Z77" s="463">
        <f t="shared" si="62"/>
        <v>0.14749768486123774</v>
      </c>
      <c r="AA77" s="463">
        <f t="shared" si="63"/>
        <v>3.0000000000000002E-2</v>
      </c>
      <c r="AB77" s="463">
        <f t="shared" si="64"/>
        <v>0</v>
      </c>
      <c r="AC77" s="463">
        <f t="shared" si="65"/>
        <v>0.20788731800323285</v>
      </c>
      <c r="AD77" s="463">
        <f t="shared" si="66"/>
        <v>3.2037033395143153</v>
      </c>
      <c r="AE77" s="463">
        <f t="shared" si="83"/>
        <v>4.1054860350460708E-2</v>
      </c>
      <c r="AF77" s="463">
        <f t="shared" si="67"/>
        <v>6.1199999999999997E-2</v>
      </c>
      <c r="AG77" s="463">
        <f t="shared" si="68"/>
        <v>0.10267639686391436</v>
      </c>
      <c r="AH77" s="463">
        <f t="shared" si="69"/>
        <v>0</v>
      </c>
      <c r="AI77">
        <f t="shared" si="70"/>
        <v>0</v>
      </c>
      <c r="AJ77" s="464">
        <f t="shared" si="71"/>
        <v>0.11983679999999999</v>
      </c>
      <c r="AK77">
        <f t="shared" si="84"/>
        <v>3.6000000000000004E-2</v>
      </c>
      <c r="AL77" s="464">
        <f t="shared" si="85"/>
        <v>0.27</v>
      </c>
      <c r="AM77" s="464">
        <f t="shared" si="86"/>
        <v>0.17963774597495527</v>
      </c>
      <c r="AN77" s="464">
        <f t="shared" si="90"/>
        <v>0.30600000000000005</v>
      </c>
      <c r="AO77" s="464">
        <f t="shared" si="72"/>
        <v>1.2625511557776652</v>
      </c>
      <c r="AP77" s="100">
        <f t="shared" si="73"/>
        <v>20.399999999999999</v>
      </c>
      <c r="AQ77" s="10">
        <f t="shared" si="91"/>
        <v>0.94171733759802678</v>
      </c>
      <c r="AR77" s="77">
        <f t="shared" si="74"/>
        <v>5.1971829500808209</v>
      </c>
      <c r="AS77" s="77">
        <f t="shared" si="92"/>
        <v>2.5669099215978588</v>
      </c>
      <c r="AT77" s="10"/>
      <c r="AU77">
        <f t="shared" si="93"/>
        <v>94.171733759802677</v>
      </c>
      <c r="BE77" s="31"/>
      <c r="BF77" s="32"/>
    </row>
    <row r="78" spans="1:58" x14ac:dyDescent="0.15">
      <c r="A78" s="52" t="s">
        <v>389</v>
      </c>
      <c r="B78" s="140">
        <f>QrrBot*Fsw</f>
        <v>0.01</v>
      </c>
      <c r="C78" s="34" t="s">
        <v>2</v>
      </c>
      <c r="G78">
        <v>69</v>
      </c>
      <c r="H78">
        <f t="shared" si="55"/>
        <v>4.1399999999999997</v>
      </c>
      <c r="I78" s="463">
        <f t="shared" si="75"/>
        <v>0.42039266666666669</v>
      </c>
      <c r="J78" s="464">
        <f t="shared" si="56"/>
        <v>3.5669680808080808</v>
      </c>
      <c r="K78" s="464">
        <f t="shared" si="76"/>
        <v>5.9234840404040403</v>
      </c>
      <c r="L78" s="464">
        <f t="shared" si="77"/>
        <v>2.3565159595959591</v>
      </c>
      <c r="M78" s="77">
        <f t="shared" si="57"/>
        <v>0</v>
      </c>
      <c r="N78" s="463">
        <f t="shared" si="58"/>
        <v>4.2661307732095262</v>
      </c>
      <c r="O78" s="463">
        <f t="shared" si="78"/>
        <v>0.12499668653900917</v>
      </c>
      <c r="P78">
        <f t="shared" si="59"/>
        <v>0.4</v>
      </c>
      <c r="Q78" s="463">
        <f t="shared" si="79"/>
        <v>0.52499668653900922</v>
      </c>
      <c r="R78" s="9">
        <f t="shared" si="87"/>
        <v>1.0296949908226742</v>
      </c>
      <c r="S78" s="9">
        <f t="shared" si="80"/>
        <v>2.1205435482506145E-3</v>
      </c>
      <c r="T78" s="9">
        <f t="shared" si="88"/>
        <v>2.1205435482506145E-3</v>
      </c>
      <c r="U78" s="463">
        <f t="shared" si="60"/>
        <v>2.7660608504000663</v>
      </c>
      <c r="V78" s="465">
        <f t="shared" si="81"/>
        <v>2.5248605672782594E-3</v>
      </c>
      <c r="W78" s="463">
        <f t="shared" si="89"/>
        <v>2.5248605672782594E-3</v>
      </c>
      <c r="X78" s="463">
        <f t="shared" si="61"/>
        <v>2.7660608504000663</v>
      </c>
      <c r="Y78" s="463">
        <f t="shared" si="82"/>
        <v>3.0604370512463754E-2</v>
      </c>
      <c r="Z78" s="463">
        <f t="shared" si="62"/>
        <v>0.14932349883332163</v>
      </c>
      <c r="AA78" s="463">
        <f t="shared" si="63"/>
        <v>3.0000000000000002E-2</v>
      </c>
      <c r="AB78" s="463">
        <f t="shared" si="64"/>
        <v>0</v>
      </c>
      <c r="AC78" s="463">
        <f t="shared" si="65"/>
        <v>0.21057231265339649</v>
      </c>
      <c r="AD78" s="463">
        <f t="shared" si="66"/>
        <v>3.2478884134171504</v>
      </c>
      <c r="AE78" s="463">
        <f t="shared" si="83"/>
        <v>4.2195116584037504E-2</v>
      </c>
      <c r="AF78" s="463">
        <f t="shared" si="67"/>
        <v>6.2099999999999995E-2</v>
      </c>
      <c r="AG78" s="463">
        <f t="shared" si="68"/>
        <v>0.10473705581210356</v>
      </c>
      <c r="AH78" s="463">
        <f t="shared" si="69"/>
        <v>0</v>
      </c>
      <c r="AI78">
        <f t="shared" si="70"/>
        <v>0</v>
      </c>
      <c r="AJ78" s="464">
        <f t="shared" si="71"/>
        <v>0.11983440000000001</v>
      </c>
      <c r="AK78">
        <f t="shared" si="84"/>
        <v>3.6000000000000004E-2</v>
      </c>
      <c r="AL78" s="464">
        <f t="shared" si="85"/>
        <v>0.27</v>
      </c>
      <c r="AM78" s="464">
        <f t="shared" si="86"/>
        <v>0.17963774597495527</v>
      </c>
      <c r="AN78" s="464">
        <f t="shared" si="90"/>
        <v>0.30600000000000005</v>
      </c>
      <c r="AO78" s="464">
        <f t="shared" si="72"/>
        <v>1.2707858591200383</v>
      </c>
      <c r="AP78" s="100">
        <f t="shared" si="73"/>
        <v>20.7</v>
      </c>
      <c r="AQ78" s="10">
        <f t="shared" si="91"/>
        <v>0.94216020003706247</v>
      </c>
      <c r="AR78" s="77">
        <f t="shared" si="74"/>
        <v>5.2643078163349122</v>
      </c>
      <c r="AS78" s="77">
        <f t="shared" si="92"/>
        <v>2.6184263953025888</v>
      </c>
      <c r="AT78" s="10"/>
      <c r="AU78">
        <f t="shared" si="93"/>
        <v>94.216020003706248</v>
      </c>
      <c r="BE78" s="31"/>
      <c r="BF78" s="32"/>
    </row>
    <row r="79" spans="1:58" x14ac:dyDescent="0.15">
      <c r="A79" s="52" t="s">
        <v>390</v>
      </c>
      <c r="B79" s="541">
        <f>C79/Vin</f>
        <v>3.6120833333333339E-4</v>
      </c>
      <c r="C79" s="540">
        <f>Deadtime*Fsw*(Ipp/2)*(VsdTop+VsdBot)</f>
        <v>4.3345000000000007E-3</v>
      </c>
      <c r="G79">
        <v>70</v>
      </c>
      <c r="H79">
        <f t="shared" si="55"/>
        <v>4.1999999999999993</v>
      </c>
      <c r="I79" s="463">
        <f t="shared" si="75"/>
        <v>0.42044666666666664</v>
      </c>
      <c r="J79" s="464">
        <f t="shared" si="56"/>
        <v>3.5674262626262623</v>
      </c>
      <c r="K79" s="464">
        <f t="shared" si="76"/>
        <v>5.9837131313131309</v>
      </c>
      <c r="L79" s="464">
        <f t="shared" si="77"/>
        <v>2.4162868686868682</v>
      </c>
      <c r="M79" s="77">
        <f t="shared" si="57"/>
        <v>0</v>
      </c>
      <c r="N79" s="463">
        <f t="shared" si="58"/>
        <v>4.3244125818743244</v>
      </c>
      <c r="O79" s="463">
        <f t="shared" si="78"/>
        <v>0.12847064461736749</v>
      </c>
      <c r="P79">
        <f t="shared" si="59"/>
        <v>0.4</v>
      </c>
      <c r="Q79" s="463">
        <f t="shared" si="79"/>
        <v>0.52847064461736748</v>
      </c>
      <c r="R79" s="9">
        <f t="shared" si="87"/>
        <v>1.0298272565207065</v>
      </c>
      <c r="S79" s="9">
        <f t="shared" si="80"/>
        <v>2.1210883565459301E-3</v>
      </c>
      <c r="T79" s="9">
        <f t="shared" si="88"/>
        <v>2.1210883565459301E-3</v>
      </c>
      <c r="U79" s="463">
        <f t="shared" si="60"/>
        <v>2.8040295049459814</v>
      </c>
      <c r="V79" s="465">
        <f t="shared" si="81"/>
        <v>2.59465188332051E-3</v>
      </c>
      <c r="W79" s="463">
        <f t="shared" si="89"/>
        <v>2.59465188332051E-3</v>
      </c>
      <c r="X79" s="463">
        <f t="shared" si="61"/>
        <v>2.8040295049459814</v>
      </c>
      <c r="Y79" s="463">
        <f t="shared" si="82"/>
        <v>3.1450325858430425E-2</v>
      </c>
      <c r="Z79" s="463">
        <f t="shared" si="62"/>
        <v>0.15114931280540556</v>
      </c>
      <c r="AA79" s="463">
        <f t="shared" si="63"/>
        <v>3.0000000000000002E-2</v>
      </c>
      <c r="AB79" s="463">
        <f t="shared" si="64"/>
        <v>0</v>
      </c>
      <c r="AC79" s="463">
        <f t="shared" si="65"/>
        <v>0.21327038096155523</v>
      </c>
      <c r="AD79" s="463">
        <f t="shared" si="66"/>
        <v>3.2921061212642213</v>
      </c>
      <c r="AE79" s="463">
        <f t="shared" si="83"/>
        <v>4.3351850854661422E-2</v>
      </c>
      <c r="AF79" s="463">
        <f t="shared" si="67"/>
        <v>6.2999999999999987E-2</v>
      </c>
      <c r="AG79" s="463">
        <f t="shared" si="68"/>
        <v>0.10681491327359044</v>
      </c>
      <c r="AH79" s="463">
        <f t="shared" si="69"/>
        <v>0</v>
      </c>
      <c r="AI79">
        <f t="shared" si="70"/>
        <v>0</v>
      </c>
      <c r="AJ79" s="464">
        <f t="shared" si="71"/>
        <v>0.11983200000000001</v>
      </c>
      <c r="AK79">
        <f t="shared" si="84"/>
        <v>3.6000000000000004E-2</v>
      </c>
      <c r="AL79" s="464">
        <f t="shared" si="85"/>
        <v>0.27</v>
      </c>
      <c r="AM79" s="464">
        <f t="shared" si="86"/>
        <v>0.17963774597495527</v>
      </c>
      <c r="AN79" s="464">
        <f t="shared" si="90"/>
        <v>0.30600000000000005</v>
      </c>
      <c r="AO79" s="464">
        <f t="shared" si="72"/>
        <v>1.2791036790923798</v>
      </c>
      <c r="AP79" s="100">
        <f t="shared" si="73"/>
        <v>20.999999999999996</v>
      </c>
      <c r="AQ79" s="10">
        <f t="shared" si="91"/>
        <v>0.94258729177275014</v>
      </c>
      <c r="AR79" s="77">
        <f t="shared" si="74"/>
        <v>5.3317595240388806</v>
      </c>
      <c r="AS79" s="77">
        <f t="shared" si="92"/>
        <v>2.670372831839761</v>
      </c>
      <c r="AT79" s="10"/>
      <c r="AU79">
        <f t="shared" si="93"/>
        <v>94.258729177275015</v>
      </c>
      <c r="BE79" s="31"/>
      <c r="BF79" s="32"/>
    </row>
    <row r="80" spans="1:58" x14ac:dyDescent="0.15">
      <c r="A80" s="52" t="s">
        <v>92</v>
      </c>
      <c r="B80" s="541">
        <f>SUM(B77:B79)</f>
        <v>3.5861208333333332E-2</v>
      </c>
      <c r="C80" s="34" t="s">
        <v>2</v>
      </c>
      <c r="G80">
        <v>71</v>
      </c>
      <c r="H80">
        <f t="shared" si="55"/>
        <v>4.26</v>
      </c>
      <c r="I80" s="463">
        <f t="shared" si="75"/>
        <v>0.42050066666666663</v>
      </c>
      <c r="J80" s="464">
        <f t="shared" si="56"/>
        <v>3.5678844444444446</v>
      </c>
      <c r="K80" s="464">
        <f t="shared" si="76"/>
        <v>6.0439422222222223</v>
      </c>
      <c r="L80" s="464">
        <f t="shared" si="77"/>
        <v>2.4760577777777772</v>
      </c>
      <c r="M80" s="77">
        <f t="shared" si="57"/>
        <v>0</v>
      </c>
      <c r="N80" s="463">
        <f t="shared" si="58"/>
        <v>4.3827407654810075</v>
      </c>
      <c r="O80" s="463">
        <f t="shared" si="78"/>
        <v>0.13199651455814274</v>
      </c>
      <c r="P80">
        <f t="shared" si="59"/>
        <v>0.4</v>
      </c>
      <c r="Q80" s="463">
        <f t="shared" si="79"/>
        <v>0.53199651455814279</v>
      </c>
      <c r="R80" s="9">
        <f t="shared" si="87"/>
        <v>1.0299595222187392</v>
      </c>
      <c r="S80" s="9">
        <f t="shared" si="80"/>
        <v>2.1216332348181072E-3</v>
      </c>
      <c r="T80" s="9">
        <f t="shared" si="88"/>
        <v>2.1216332348181072E-3</v>
      </c>
      <c r="U80" s="463">
        <f t="shared" si="60"/>
        <v>2.842033073915851</v>
      </c>
      <c r="V80" s="465">
        <f t="shared" si="81"/>
        <v>2.6654601577664216E-3</v>
      </c>
      <c r="W80" s="463">
        <f t="shared" si="89"/>
        <v>2.6654601577664216E-3</v>
      </c>
      <c r="X80" s="463">
        <f t="shared" si="61"/>
        <v>2.842033073915851</v>
      </c>
      <c r="Y80" s="463">
        <f t="shared" si="82"/>
        <v>3.2308607972926326E-2</v>
      </c>
      <c r="Z80" s="463">
        <f t="shared" si="62"/>
        <v>0.15297512677748945</v>
      </c>
      <c r="AA80" s="463">
        <f t="shared" si="63"/>
        <v>3.0000000000000002E-2</v>
      </c>
      <c r="AB80" s="463">
        <f t="shared" si="64"/>
        <v>0</v>
      </c>
      <c r="AC80" s="463">
        <f t="shared" si="65"/>
        <v>0.21598154104431472</v>
      </c>
      <c r="AD80" s="463">
        <f t="shared" si="66"/>
        <v>3.3363549907312722</v>
      </c>
      <c r="AE80" s="463">
        <f t="shared" si="83"/>
        <v>4.4525058496709867E-2</v>
      </c>
      <c r="AF80" s="463">
        <f t="shared" si="67"/>
        <v>6.3899999999999998E-2</v>
      </c>
      <c r="AG80" s="463">
        <f t="shared" si="68"/>
        <v>0.10890998082341366</v>
      </c>
      <c r="AH80" s="463">
        <f t="shared" si="69"/>
        <v>0</v>
      </c>
      <c r="AI80">
        <f t="shared" si="70"/>
        <v>0</v>
      </c>
      <c r="AJ80" s="464">
        <f t="shared" si="71"/>
        <v>0.11982960000000001</v>
      </c>
      <c r="AK80">
        <f t="shared" si="84"/>
        <v>3.6000000000000004E-2</v>
      </c>
      <c r="AL80" s="464">
        <f t="shared" si="85"/>
        <v>0.27</v>
      </c>
      <c r="AM80" s="464">
        <f t="shared" si="86"/>
        <v>0.17963774597495527</v>
      </c>
      <c r="AN80" s="464">
        <f t="shared" si="90"/>
        <v>0.30600000000000005</v>
      </c>
      <c r="AO80" s="464">
        <f t="shared" si="72"/>
        <v>1.2875047298184557</v>
      </c>
      <c r="AP80" s="100">
        <f t="shared" si="73"/>
        <v>21.299999999999997</v>
      </c>
      <c r="AQ80" s="10">
        <f t="shared" si="91"/>
        <v>0.94299924913269506</v>
      </c>
      <c r="AR80" s="77">
        <f t="shared" si="74"/>
        <v>5.3995385261078681</v>
      </c>
      <c r="AS80" s="77">
        <f t="shared" si="92"/>
        <v>2.7227495205853414</v>
      </c>
      <c r="AT80" s="10"/>
      <c r="AU80">
        <f t="shared" si="93"/>
        <v>94.299924913269507</v>
      </c>
      <c r="BE80" s="31"/>
      <c r="BF80" s="32"/>
    </row>
    <row r="81" spans="1:58" x14ac:dyDescent="0.15">
      <c r="A81" s="62"/>
      <c r="B81" s="53"/>
      <c r="C81" s="53"/>
      <c r="G81">
        <v>72</v>
      </c>
      <c r="H81">
        <f t="shared" si="55"/>
        <v>4.32</v>
      </c>
      <c r="I81" s="463">
        <f t="shared" si="75"/>
        <v>0.42055466666666669</v>
      </c>
      <c r="J81" s="464">
        <f t="shared" si="56"/>
        <v>3.5683426262626265</v>
      </c>
      <c r="K81" s="464">
        <f t="shared" si="76"/>
        <v>6.1041713131313138</v>
      </c>
      <c r="L81" s="464">
        <f t="shared" si="77"/>
        <v>2.5358286868686868</v>
      </c>
      <c r="M81" s="77">
        <f t="shared" si="57"/>
        <v>0</v>
      </c>
      <c r="N81" s="463">
        <f t="shared" si="58"/>
        <v>4.4411134968083816</v>
      </c>
      <c r="O81" s="463">
        <f t="shared" si="78"/>
        <v>0.13557438173497549</v>
      </c>
      <c r="P81">
        <f t="shared" si="59"/>
        <v>0.4</v>
      </c>
      <c r="Q81" s="463">
        <f t="shared" si="79"/>
        <v>0.53557438173497551</v>
      </c>
      <c r="R81" s="9">
        <f t="shared" si="87"/>
        <v>1.0300917879167719</v>
      </c>
      <c r="S81" s="9">
        <f t="shared" si="80"/>
        <v>2.1221781830671436E-3</v>
      </c>
      <c r="T81" s="9">
        <f t="shared" si="88"/>
        <v>2.1221781830671436E-3</v>
      </c>
      <c r="U81" s="463">
        <f t="shared" si="60"/>
        <v>2.8800703776806458</v>
      </c>
      <c r="V81" s="465">
        <f t="shared" si="81"/>
        <v>2.7372857755298672E-3</v>
      </c>
      <c r="W81" s="463">
        <f t="shared" si="89"/>
        <v>2.7372857755298672E-3</v>
      </c>
      <c r="X81" s="463">
        <f t="shared" si="61"/>
        <v>2.8800703776806458</v>
      </c>
      <c r="Y81" s="463">
        <f t="shared" si="82"/>
        <v>3.3179221521574147E-2</v>
      </c>
      <c r="Z81" s="463">
        <f t="shared" si="62"/>
        <v>0.15480094074957335</v>
      </c>
      <c r="AA81" s="463">
        <f t="shared" si="63"/>
        <v>3.0000000000000002E-2</v>
      </c>
      <c r="AB81" s="463">
        <f t="shared" si="64"/>
        <v>0</v>
      </c>
      <c r="AC81" s="463">
        <f t="shared" si="65"/>
        <v>0.2187058111266903</v>
      </c>
      <c r="AD81" s="463">
        <f t="shared" si="66"/>
        <v>3.3806336256891303</v>
      </c>
      <c r="AE81" s="463">
        <f t="shared" si="83"/>
        <v>4.5714734844560144E-2</v>
      </c>
      <c r="AF81" s="463">
        <f t="shared" si="67"/>
        <v>6.4799999999999996E-2</v>
      </c>
      <c r="AG81" s="463">
        <f t="shared" si="68"/>
        <v>0.11102227020900472</v>
      </c>
      <c r="AH81" s="463">
        <f t="shared" si="69"/>
        <v>0</v>
      </c>
      <c r="AI81">
        <f t="shared" si="70"/>
        <v>0</v>
      </c>
      <c r="AJ81" s="464">
        <f t="shared" si="71"/>
        <v>0.11982720000000001</v>
      </c>
      <c r="AK81">
        <f t="shared" si="84"/>
        <v>3.6000000000000004E-2</v>
      </c>
      <c r="AL81" s="464">
        <f t="shared" si="85"/>
        <v>0.27</v>
      </c>
      <c r="AM81" s="464">
        <f t="shared" si="86"/>
        <v>0.17963774597495527</v>
      </c>
      <c r="AN81" s="464">
        <f t="shared" si="90"/>
        <v>0.30600000000000005</v>
      </c>
      <c r="AO81" s="464">
        <f t="shared" si="72"/>
        <v>1.2959891270292676</v>
      </c>
      <c r="AP81" s="100">
        <f t="shared" si="73"/>
        <v>21.6</v>
      </c>
      <c r="AQ81" s="10">
        <f t="shared" si="91"/>
        <v>0.9433966744201796</v>
      </c>
      <c r="AR81" s="77">
        <f t="shared" si="74"/>
        <v>5.4676452781672573</v>
      </c>
      <c r="AS81" s="77">
        <f t="shared" si="92"/>
        <v>2.7755567552251179</v>
      </c>
      <c r="AT81" s="10"/>
      <c r="AU81">
        <f t="shared" si="93"/>
        <v>94.339667442017955</v>
      </c>
      <c r="BE81" s="31"/>
      <c r="BF81" s="32"/>
    </row>
    <row r="82" spans="1:58" x14ac:dyDescent="0.15">
      <c r="A82" s="62"/>
      <c r="B82" s="53"/>
      <c r="C82" s="53"/>
      <c r="G82">
        <v>73</v>
      </c>
      <c r="H82">
        <f t="shared" si="55"/>
        <v>4.38</v>
      </c>
      <c r="I82" s="463">
        <f t="shared" si="75"/>
        <v>0.42060866666666669</v>
      </c>
      <c r="J82" s="464">
        <f t="shared" si="56"/>
        <v>3.568800808080808</v>
      </c>
      <c r="K82" s="464">
        <f t="shared" si="76"/>
        <v>6.1644004040404035</v>
      </c>
      <c r="L82" s="464">
        <f t="shared" si="77"/>
        <v>2.5955995959595959</v>
      </c>
      <c r="M82" s="77">
        <f t="shared" si="57"/>
        <v>0</v>
      </c>
      <c r="N82" s="463">
        <f t="shared" si="58"/>
        <v>4.4995290420939078</v>
      </c>
      <c r="O82" s="463">
        <f t="shared" si="78"/>
        <v>0.13920433285317332</v>
      </c>
      <c r="P82">
        <f t="shared" si="59"/>
        <v>0.4</v>
      </c>
      <c r="Q82" s="463">
        <f t="shared" si="79"/>
        <v>0.53920433285317337</v>
      </c>
      <c r="R82" s="9">
        <f t="shared" si="87"/>
        <v>1.0302240536148044</v>
      </c>
      <c r="S82" s="9">
        <f t="shared" si="80"/>
        <v>2.1227232012930391E-3</v>
      </c>
      <c r="T82" s="9">
        <f t="shared" si="88"/>
        <v>2.1227232012930391E-3</v>
      </c>
      <c r="U82" s="463">
        <f t="shared" si="60"/>
        <v>2.9181402969184211</v>
      </c>
      <c r="V82" s="465">
        <f t="shared" si="81"/>
        <v>2.8101291215247132E-3</v>
      </c>
      <c r="W82" s="463">
        <f t="shared" si="89"/>
        <v>2.8101291215247132E-3</v>
      </c>
      <c r="X82" s="463">
        <f t="shared" si="61"/>
        <v>2.9181402969184211</v>
      </c>
      <c r="Y82" s="463">
        <f t="shared" si="82"/>
        <v>3.4062171169996526E-2</v>
      </c>
      <c r="Z82" s="463">
        <f t="shared" si="62"/>
        <v>0.15662675472165721</v>
      </c>
      <c r="AA82" s="463">
        <f t="shared" si="63"/>
        <v>3.0000000000000002E-2</v>
      </c>
      <c r="AB82" s="463">
        <f t="shared" si="64"/>
        <v>0</v>
      </c>
      <c r="AC82" s="463">
        <f t="shared" si="65"/>
        <v>0.22144320954244054</v>
      </c>
      <c r="AD82" s="463">
        <f t="shared" si="66"/>
        <v>3.4249407014059945</v>
      </c>
      <c r="AE82" s="463">
        <f t="shared" si="83"/>
        <v>4.6920875232589546E-2</v>
      </c>
      <c r="AF82" s="463">
        <f t="shared" si="67"/>
        <v>6.5699999999999995E-2</v>
      </c>
      <c r="AG82" s="463">
        <f t="shared" si="68"/>
        <v>0.11315179335040335</v>
      </c>
      <c r="AH82" s="463">
        <f t="shared" si="69"/>
        <v>0</v>
      </c>
      <c r="AI82">
        <f t="shared" si="70"/>
        <v>0</v>
      </c>
      <c r="AJ82" s="464">
        <f t="shared" si="71"/>
        <v>0.11982480000000001</v>
      </c>
      <c r="AK82">
        <f t="shared" si="84"/>
        <v>3.6000000000000004E-2</v>
      </c>
      <c r="AL82" s="464">
        <f t="shared" si="85"/>
        <v>0.27</v>
      </c>
      <c r="AM82" s="464">
        <f t="shared" si="86"/>
        <v>0.17963774597495527</v>
      </c>
      <c r="AN82" s="464">
        <f t="shared" si="90"/>
        <v>0.30600000000000005</v>
      </c>
      <c r="AO82" s="464">
        <f t="shared" si="72"/>
        <v>1.304556988068835</v>
      </c>
      <c r="AP82" s="100">
        <f t="shared" si="73"/>
        <v>21.9</v>
      </c>
      <c r="AQ82" s="10">
        <f t="shared" si="91"/>
        <v>0.94378013815391504</v>
      </c>
      <c r="AR82" s="77">
        <f t="shared" si="74"/>
        <v>5.5360802385610137</v>
      </c>
      <c r="AS82" s="77">
        <f t="shared" si="92"/>
        <v>2.8287948337600834</v>
      </c>
      <c r="AT82" s="10"/>
      <c r="AU82">
        <f t="shared" si="93"/>
        <v>94.378013815391498</v>
      </c>
      <c r="BE82" s="31"/>
      <c r="BF82" s="32"/>
    </row>
    <row r="83" spans="1:58" x14ac:dyDescent="0.15">
      <c r="A83" s="62"/>
      <c r="B83" s="53"/>
      <c r="C83" s="53"/>
      <c r="G83">
        <v>74</v>
      </c>
      <c r="H83">
        <f t="shared" si="55"/>
        <v>4.4399999999999995</v>
      </c>
      <c r="I83" s="463">
        <f t="shared" si="75"/>
        <v>0.42066266666666663</v>
      </c>
      <c r="J83" s="464">
        <f t="shared" si="56"/>
        <v>3.5692589898989895</v>
      </c>
      <c r="K83" s="464">
        <f t="shared" si="76"/>
        <v>6.224629494949494</v>
      </c>
      <c r="L83" s="464">
        <f t="shared" si="77"/>
        <v>2.655370505050505</v>
      </c>
      <c r="M83" s="77">
        <f t="shared" si="57"/>
        <v>0</v>
      </c>
      <c r="N83" s="463">
        <f t="shared" si="58"/>
        <v>4.5579857552155527</v>
      </c>
      <c r="O83" s="463">
        <f t="shared" si="78"/>
        <v>0.14288645595503263</v>
      </c>
      <c r="P83">
        <f t="shared" si="59"/>
        <v>0.4</v>
      </c>
      <c r="Q83" s="463">
        <f t="shared" si="79"/>
        <v>0.5428864559550326</v>
      </c>
      <c r="R83" s="9">
        <f t="shared" si="87"/>
        <v>1.0303563193128367</v>
      </c>
      <c r="S83" s="9">
        <f t="shared" si="80"/>
        <v>2.1232682894957926E-3</v>
      </c>
      <c r="T83" s="9">
        <f t="shared" si="88"/>
        <v>2.1232682894957926E-3</v>
      </c>
      <c r="U83" s="463">
        <f t="shared" si="60"/>
        <v>2.9562417688602594</v>
      </c>
      <c r="V83" s="465">
        <f t="shared" si="81"/>
        <v>2.8839905806648317E-3</v>
      </c>
      <c r="W83" s="463">
        <f t="shared" si="89"/>
        <v>2.8839905806648317E-3</v>
      </c>
      <c r="X83" s="463">
        <f t="shared" si="61"/>
        <v>2.9562417688602594</v>
      </c>
      <c r="Y83" s="463">
        <f t="shared" si="82"/>
        <v>3.4957461583816143E-2</v>
      </c>
      <c r="Z83" s="463">
        <f t="shared" si="62"/>
        <v>0.15845256869374111</v>
      </c>
      <c r="AA83" s="463">
        <f t="shared" si="63"/>
        <v>3.0000000000000002E-2</v>
      </c>
      <c r="AB83" s="463">
        <f t="shared" si="64"/>
        <v>0</v>
      </c>
      <c r="AC83" s="463">
        <f t="shared" si="65"/>
        <v>0.2241937547344032</v>
      </c>
      <c r="AD83" s="463">
        <f t="shared" si="66"/>
        <v>3.46927496010245</v>
      </c>
      <c r="AE83" s="463">
        <f t="shared" si="83"/>
        <v>4.8143474995175427E-2</v>
      </c>
      <c r="AF83" s="463">
        <f t="shared" si="67"/>
        <v>6.6599999999999993E-2</v>
      </c>
      <c r="AG83" s="463">
        <f t="shared" si="68"/>
        <v>0.11529856234047728</v>
      </c>
      <c r="AH83" s="463">
        <f t="shared" si="69"/>
        <v>0</v>
      </c>
      <c r="AI83">
        <f t="shared" si="70"/>
        <v>0</v>
      </c>
      <c r="AJ83" s="464">
        <f t="shared" si="71"/>
        <v>0.11982240000000001</v>
      </c>
      <c r="AK83">
        <f t="shared" si="84"/>
        <v>3.6000000000000004E-2</v>
      </c>
      <c r="AL83" s="464">
        <f t="shared" si="85"/>
        <v>0.27</v>
      </c>
      <c r="AM83" s="464">
        <f t="shared" si="86"/>
        <v>0.17963774597495527</v>
      </c>
      <c r="AN83" s="464">
        <f t="shared" si="90"/>
        <v>0.30600000000000005</v>
      </c>
      <c r="AO83" s="464">
        <f t="shared" si="72"/>
        <v>1.3132084319000736</v>
      </c>
      <c r="AP83" s="100">
        <f t="shared" si="73"/>
        <v>22.199999999999996</v>
      </c>
      <c r="AQ83" s="10">
        <f t="shared" si="91"/>
        <v>0.94415018113315152</v>
      </c>
      <c r="AR83" s="77">
        <f t="shared" si="74"/>
        <v>5.6048438683600796</v>
      </c>
      <c r="AS83" s="77">
        <f t="shared" si="92"/>
        <v>2.8824640585119319</v>
      </c>
      <c r="AT83" s="10"/>
      <c r="AU83">
        <f t="shared" si="93"/>
        <v>94.415018113315156</v>
      </c>
      <c r="BE83" s="31"/>
      <c r="BF83" s="32"/>
    </row>
    <row r="84" spans="1:58" x14ac:dyDescent="0.15">
      <c r="G84">
        <v>75</v>
      </c>
      <c r="H84">
        <f t="shared" si="55"/>
        <v>4.5</v>
      </c>
      <c r="I84" s="463">
        <f t="shared" si="75"/>
        <v>0.42071666666666663</v>
      </c>
      <c r="J84" s="464">
        <f t="shared" si="56"/>
        <v>3.5697171717171718</v>
      </c>
      <c r="K84" s="464">
        <f t="shared" si="76"/>
        <v>6.2848585858585864</v>
      </c>
      <c r="L84" s="464">
        <f t="shared" si="77"/>
        <v>2.7151414141414141</v>
      </c>
      <c r="M84" s="77">
        <f t="shared" si="57"/>
        <v>0</v>
      </c>
      <c r="N84" s="463">
        <f t="shared" si="58"/>
        <v>4.6164820722967947</v>
      </c>
      <c r="O84" s="463">
        <f t="shared" si="78"/>
        <v>0.14662084042524942</v>
      </c>
      <c r="P84">
        <f t="shared" si="59"/>
        <v>0.4</v>
      </c>
      <c r="Q84" s="463">
        <f t="shared" si="79"/>
        <v>0.5466208404252495</v>
      </c>
      <c r="R84" s="9">
        <f t="shared" si="87"/>
        <v>1.0304885850108694</v>
      </c>
      <c r="S84" s="9">
        <f t="shared" si="80"/>
        <v>2.1238134476754076E-3</v>
      </c>
      <c r="T84" s="9">
        <f t="shared" si="88"/>
        <v>2.1238134476754076E-3</v>
      </c>
      <c r="U84" s="463">
        <f t="shared" si="60"/>
        <v>2.9943737838092157</v>
      </c>
      <c r="V84" s="465">
        <f t="shared" si="81"/>
        <v>2.9588705378640937E-3</v>
      </c>
      <c r="W84" s="463">
        <f t="shared" si="89"/>
        <v>2.9588705378640937E-3</v>
      </c>
      <c r="X84" s="463">
        <f t="shared" si="61"/>
        <v>2.9943737838092157</v>
      </c>
      <c r="Y84" s="463">
        <f t="shared" si="82"/>
        <v>3.5865097428655679E-2</v>
      </c>
      <c r="Z84" s="463">
        <f t="shared" si="62"/>
        <v>0.16027838266582503</v>
      </c>
      <c r="AA84" s="463">
        <f t="shared" si="63"/>
        <v>3.0000000000000002E-2</v>
      </c>
      <c r="AB84" s="463">
        <f t="shared" si="64"/>
        <v>0</v>
      </c>
      <c r="AC84" s="463">
        <f t="shared" si="65"/>
        <v>0.22695746525483323</v>
      </c>
      <c r="AD84" s="463">
        <f t="shared" si="66"/>
        <v>3.5136352068297851</v>
      </c>
      <c r="AE84" s="463">
        <f t="shared" si="83"/>
        <v>4.9382529466695149E-2</v>
      </c>
      <c r="AF84" s="463">
        <f t="shared" si="67"/>
        <v>6.7500000000000004E-2</v>
      </c>
      <c r="AG84" s="463">
        <f t="shared" si="68"/>
        <v>0.11746258944514608</v>
      </c>
      <c r="AH84" s="463">
        <f t="shared" si="69"/>
        <v>0</v>
      </c>
      <c r="AI84">
        <f t="shared" si="70"/>
        <v>0</v>
      </c>
      <c r="AJ84" s="464">
        <f t="shared" si="71"/>
        <v>0.11982</v>
      </c>
      <c r="AK84">
        <f t="shared" si="84"/>
        <v>3.6000000000000004E-2</v>
      </c>
      <c r="AL84" s="464">
        <f t="shared" si="85"/>
        <v>0.27</v>
      </c>
      <c r="AM84" s="464">
        <f t="shared" si="86"/>
        <v>0.17963774597495527</v>
      </c>
      <c r="AN84" s="464">
        <f t="shared" si="90"/>
        <v>0.30600000000000005</v>
      </c>
      <c r="AO84" s="464">
        <f t="shared" si="72"/>
        <v>1.3219435791107683</v>
      </c>
      <c r="AP84" s="100">
        <f t="shared" si="73"/>
        <v>22.5</v>
      </c>
      <c r="AQ84" s="10">
        <f t="shared" si="91"/>
        <v>0.94450731634382812</v>
      </c>
      <c r="AR84" s="77">
        <f t="shared" si="74"/>
        <v>5.6739366313708306</v>
      </c>
      <c r="AS84" s="77">
        <f t="shared" si="92"/>
        <v>2.936564736128652</v>
      </c>
      <c r="AT84" s="10"/>
      <c r="AU84">
        <f t="shared" si="93"/>
        <v>94.450731634382805</v>
      </c>
      <c r="BE84" s="31"/>
      <c r="BF84" s="32"/>
    </row>
    <row r="85" spans="1:58" x14ac:dyDescent="0.15">
      <c r="G85">
        <v>76</v>
      </c>
      <c r="H85">
        <f t="shared" si="55"/>
        <v>4.5600000000000005</v>
      </c>
      <c r="I85" s="463">
        <f t="shared" si="75"/>
        <v>0.42077066666666663</v>
      </c>
      <c r="J85" s="464">
        <f t="shared" si="56"/>
        <v>3.5701753535353533</v>
      </c>
      <c r="K85" s="464">
        <f t="shared" si="76"/>
        <v>6.3450876767676769</v>
      </c>
      <c r="L85" s="464">
        <f t="shared" si="77"/>
        <v>2.7749123232323241</v>
      </c>
      <c r="M85" s="77">
        <f t="shared" si="57"/>
        <v>0</v>
      </c>
      <c r="N85" s="463">
        <f t="shared" si="58"/>
        <v>4.675016506699837</v>
      </c>
      <c r="O85" s="463">
        <f t="shared" si="78"/>
        <v>0.1504075769964183</v>
      </c>
      <c r="P85">
        <f t="shared" si="59"/>
        <v>0.4</v>
      </c>
      <c r="Q85" s="463">
        <f t="shared" si="79"/>
        <v>0.55040757699641829</v>
      </c>
      <c r="R85" s="9">
        <f t="shared" si="87"/>
        <v>1.0306208507089019</v>
      </c>
      <c r="S85" s="9">
        <f t="shared" si="80"/>
        <v>2.1243586758318811E-3</v>
      </c>
      <c r="T85" s="9">
        <f t="shared" si="88"/>
        <v>2.1243586758318811E-3</v>
      </c>
      <c r="U85" s="463">
        <f t="shared" si="60"/>
        <v>3.0325353819097396</v>
      </c>
      <c r="V85" s="465">
        <f t="shared" si="81"/>
        <v>3.0347693780363684E-3</v>
      </c>
      <c r="W85" s="463">
        <f t="shared" si="89"/>
        <v>3.0347693780363684E-3</v>
      </c>
      <c r="X85" s="463">
        <f t="shared" si="61"/>
        <v>3.0325353819097396</v>
      </c>
      <c r="Y85" s="463">
        <f t="shared" si="82"/>
        <v>3.6785083370137799E-2</v>
      </c>
      <c r="Z85" s="463">
        <f t="shared" si="62"/>
        <v>0.1621041966379089</v>
      </c>
      <c r="AA85" s="463">
        <f t="shared" si="63"/>
        <v>3.0000000000000002E-2</v>
      </c>
      <c r="AB85" s="463">
        <f t="shared" si="64"/>
        <v>0</v>
      </c>
      <c r="AC85" s="463">
        <f t="shared" si="65"/>
        <v>0.22973435976574352</v>
      </c>
      <c r="AD85" s="463">
        <f t="shared" si="66"/>
        <v>3.5580203056449098</v>
      </c>
      <c r="AE85" s="463">
        <f t="shared" si="83"/>
        <v>5.0638033981525984E-2</v>
      </c>
      <c r="AF85" s="463">
        <f t="shared" si="67"/>
        <v>6.8400000000000002E-2</v>
      </c>
      <c r="AG85" s="463">
        <f t="shared" si="68"/>
        <v>0.11964388710360943</v>
      </c>
      <c r="AH85" s="463">
        <f t="shared" si="69"/>
        <v>0</v>
      </c>
      <c r="AI85">
        <f t="shared" si="70"/>
        <v>0</v>
      </c>
      <c r="AJ85" s="464">
        <f t="shared" si="71"/>
        <v>0.1198176</v>
      </c>
      <c r="AK85">
        <f t="shared" si="84"/>
        <v>3.6000000000000004E-2</v>
      </c>
      <c r="AL85" s="464">
        <f t="shared" si="85"/>
        <v>0.27</v>
      </c>
      <c r="AM85" s="464">
        <f t="shared" si="86"/>
        <v>0.17963774597495527</v>
      </c>
      <c r="AN85" s="464">
        <f t="shared" si="90"/>
        <v>0.30600000000000005</v>
      </c>
      <c r="AO85" s="464">
        <f t="shared" si="72"/>
        <v>1.3307625519196395</v>
      </c>
      <c r="AP85" s="100">
        <f t="shared" si="73"/>
        <v>22.800000000000004</v>
      </c>
      <c r="AQ85" s="10">
        <f t="shared" si="91"/>
        <v>0.94485203071985902</v>
      </c>
      <c r="AR85" s="77">
        <f t="shared" si="74"/>
        <v>5.7433589941435876</v>
      </c>
      <c r="AS85" s="77">
        <f t="shared" si="92"/>
        <v>2.9910971775902357</v>
      </c>
      <c r="AT85" s="10"/>
      <c r="AU85">
        <f t="shared" si="93"/>
        <v>94.485203071985907</v>
      </c>
      <c r="BE85" s="31"/>
      <c r="BF85" s="32"/>
    </row>
    <row r="86" spans="1:58" x14ac:dyDescent="0.15">
      <c r="G86">
        <v>77</v>
      </c>
      <c r="H86">
        <f t="shared" si="55"/>
        <v>4.62</v>
      </c>
      <c r="I86" s="463">
        <f t="shared" si="75"/>
        <v>0.42082466666666668</v>
      </c>
      <c r="J86" s="464">
        <f t="shared" si="56"/>
        <v>3.5706335353535357</v>
      </c>
      <c r="K86" s="464">
        <f t="shared" si="76"/>
        <v>6.4053167676767675</v>
      </c>
      <c r="L86" s="464">
        <f t="shared" si="77"/>
        <v>2.8346832323232323</v>
      </c>
      <c r="M86" s="77">
        <f t="shared" si="57"/>
        <v>0</v>
      </c>
      <c r="N86" s="463">
        <f t="shared" si="58"/>
        <v>4.7335876443753113</v>
      </c>
      <c r="O86" s="463">
        <f t="shared" si="78"/>
        <v>0.15424675775462274</v>
      </c>
      <c r="P86">
        <f t="shared" si="59"/>
        <v>0.4</v>
      </c>
      <c r="Q86" s="463">
        <f t="shared" si="79"/>
        <v>0.55424675775462273</v>
      </c>
      <c r="R86" s="9">
        <f t="shared" si="87"/>
        <v>1.0307531164069346</v>
      </c>
      <c r="S86" s="9">
        <f t="shared" si="80"/>
        <v>2.1249039739652154E-3</v>
      </c>
      <c r="T86" s="9">
        <f t="shared" si="88"/>
        <v>2.1249039739652154E-3</v>
      </c>
      <c r="U86" s="463">
        <f t="shared" si="60"/>
        <v>3.0707256501470943</v>
      </c>
      <c r="V86" s="465">
        <f t="shared" si="81"/>
        <v>3.1116874860955277E-3</v>
      </c>
      <c r="W86" s="463">
        <f t="shared" si="89"/>
        <v>3.1116874860955277E-3</v>
      </c>
      <c r="X86" s="463">
        <f t="shared" si="61"/>
        <v>3.0707256501470943</v>
      </c>
      <c r="Y86" s="463">
        <f t="shared" si="82"/>
        <v>3.7717424073885182E-2</v>
      </c>
      <c r="Z86" s="463">
        <f t="shared" si="62"/>
        <v>0.16393001060999279</v>
      </c>
      <c r="AA86" s="463">
        <f t="shared" si="63"/>
        <v>3.0000000000000002E-2</v>
      </c>
      <c r="AB86" s="463">
        <f t="shared" si="64"/>
        <v>0</v>
      </c>
      <c r="AC86" s="463">
        <f t="shared" si="65"/>
        <v>0.2325244570392479</v>
      </c>
      <c r="AD86" s="463">
        <f t="shared" si="66"/>
        <v>3.6024291760576386</v>
      </c>
      <c r="AE86" s="463">
        <f t="shared" si="83"/>
        <v>5.1909983874045267E-2</v>
      </c>
      <c r="AF86" s="463">
        <f t="shared" si="67"/>
        <v>6.93E-2</v>
      </c>
      <c r="AG86" s="463">
        <f t="shared" si="68"/>
        <v>0.12184246792857992</v>
      </c>
      <c r="AH86" s="463">
        <f t="shared" si="69"/>
        <v>0</v>
      </c>
      <c r="AI86">
        <f t="shared" si="70"/>
        <v>0</v>
      </c>
      <c r="AJ86" s="464">
        <f t="shared" si="71"/>
        <v>0.1198152</v>
      </c>
      <c r="AK86">
        <f t="shared" si="84"/>
        <v>3.6000000000000004E-2</v>
      </c>
      <c r="AL86" s="464">
        <f t="shared" si="85"/>
        <v>0.27</v>
      </c>
      <c r="AM86" s="464">
        <f t="shared" si="86"/>
        <v>0.17963774597495527</v>
      </c>
      <c r="AN86" s="464">
        <f t="shared" si="90"/>
        <v>0.30600000000000005</v>
      </c>
      <c r="AO86" s="464">
        <f t="shared" si="72"/>
        <v>1.3396654741825116</v>
      </c>
      <c r="AP86" s="100">
        <f t="shared" si="73"/>
        <v>23.1</v>
      </c>
      <c r="AQ86" s="10">
        <f t="shared" si="91"/>
        <v>0.94518478677223705</v>
      </c>
      <c r="AR86" s="77">
        <f t="shared" si="74"/>
        <v>5.8131114259811971</v>
      </c>
      <c r="AS86" s="77">
        <f t="shared" si="92"/>
        <v>3.0460616982144981</v>
      </c>
      <c r="AT86" s="10"/>
      <c r="AU86">
        <f t="shared" si="93"/>
        <v>94.518478677223712</v>
      </c>
      <c r="BE86" s="31"/>
      <c r="BF86" s="32"/>
    </row>
    <row r="87" spans="1:58" x14ac:dyDescent="0.15">
      <c r="G87">
        <v>78</v>
      </c>
      <c r="H87">
        <f t="shared" si="55"/>
        <v>4.68</v>
      </c>
      <c r="I87" s="463">
        <f t="shared" si="75"/>
        <v>0.42087866666666668</v>
      </c>
      <c r="J87" s="464">
        <f t="shared" si="56"/>
        <v>3.5710917171717171</v>
      </c>
      <c r="K87" s="464">
        <f t="shared" si="76"/>
        <v>6.4655458585858581</v>
      </c>
      <c r="L87" s="464">
        <f t="shared" si="77"/>
        <v>2.8944541414141414</v>
      </c>
      <c r="M87" s="77">
        <f t="shared" si="57"/>
        <v>0</v>
      </c>
      <c r="N87" s="463">
        <f t="shared" si="58"/>
        <v>4.7921941395396015</v>
      </c>
      <c r="O87" s="463">
        <f t="shared" si="78"/>
        <v>0.15813847614511486</v>
      </c>
      <c r="P87">
        <f t="shared" si="59"/>
        <v>0.4</v>
      </c>
      <c r="Q87" s="463">
        <f t="shared" si="79"/>
        <v>0.55813847614511491</v>
      </c>
      <c r="R87" s="9">
        <f t="shared" si="87"/>
        <v>1.0308853821049671</v>
      </c>
      <c r="S87" s="9">
        <f t="shared" si="80"/>
        <v>2.1254493420754077E-3</v>
      </c>
      <c r="T87" s="9">
        <f t="shared" si="88"/>
        <v>2.1254493420754077E-3</v>
      </c>
      <c r="U87" s="463">
        <f t="shared" si="60"/>
        <v>3.1089437195581588</v>
      </c>
      <c r="V87" s="465">
        <f t="shared" si="81"/>
        <v>3.1896252469554394E-3</v>
      </c>
      <c r="W87" s="463">
        <f t="shared" si="89"/>
        <v>3.1896252469554394E-3</v>
      </c>
      <c r="X87" s="463">
        <f t="shared" si="61"/>
        <v>3.1089437195581588</v>
      </c>
      <c r="Y87" s="463">
        <f t="shared" si="82"/>
        <v>3.8662124205520482E-2</v>
      </c>
      <c r="Z87" s="463">
        <f t="shared" si="62"/>
        <v>0.16575582458207663</v>
      </c>
      <c r="AA87" s="463">
        <f t="shared" si="63"/>
        <v>3.0000000000000002E-2</v>
      </c>
      <c r="AB87" s="463">
        <f t="shared" si="64"/>
        <v>0</v>
      </c>
      <c r="AC87" s="463">
        <f t="shared" si="65"/>
        <v>0.23532777595790647</v>
      </c>
      <c r="AD87" s="463">
        <f t="shared" si="66"/>
        <v>3.6468607897282812</v>
      </c>
      <c r="AE87" s="463">
        <f t="shared" si="83"/>
        <v>5.3198374478630336E-2</v>
      </c>
      <c r="AF87" s="463">
        <f t="shared" si="67"/>
        <v>7.0199999999999999E-2</v>
      </c>
      <c r="AG87" s="463">
        <f t="shared" si="68"/>
        <v>0.12405834470651998</v>
      </c>
      <c r="AH87" s="463">
        <f t="shared" si="69"/>
        <v>0</v>
      </c>
      <c r="AI87">
        <f t="shared" si="70"/>
        <v>0</v>
      </c>
      <c r="AJ87" s="464">
        <f t="shared" si="71"/>
        <v>0.1198128</v>
      </c>
      <c r="AK87">
        <f t="shared" si="84"/>
        <v>3.6000000000000004E-2</v>
      </c>
      <c r="AL87" s="464">
        <f t="shared" si="85"/>
        <v>0.27</v>
      </c>
      <c r="AM87" s="464">
        <f t="shared" si="86"/>
        <v>0.17963774597495527</v>
      </c>
      <c r="AN87" s="464">
        <f t="shared" si="90"/>
        <v>0.30600000000000005</v>
      </c>
      <c r="AO87" s="464">
        <f t="shared" si="72"/>
        <v>1.3486524713985721</v>
      </c>
      <c r="AP87" s="100">
        <f t="shared" si="73"/>
        <v>23.4</v>
      </c>
      <c r="AQ87" s="10">
        <f t="shared" si="91"/>
        <v>0.9455060240973856</v>
      </c>
      <c r="AR87" s="77">
        <f t="shared" si="74"/>
        <v>5.8831943989476621</v>
      </c>
      <c r="AS87" s="77">
        <f t="shared" si="92"/>
        <v>3.1014586176629995</v>
      </c>
      <c r="AT87" s="10"/>
      <c r="AU87">
        <f t="shared" si="93"/>
        <v>94.550602409738559</v>
      </c>
      <c r="BE87" s="31"/>
      <c r="BF87" s="32"/>
    </row>
    <row r="88" spans="1:58" x14ac:dyDescent="0.15">
      <c r="G88">
        <v>79</v>
      </c>
      <c r="H88">
        <f t="shared" si="55"/>
        <v>4.74</v>
      </c>
      <c r="I88" s="463">
        <f t="shared" si="75"/>
        <v>0.42093266666666662</v>
      </c>
      <c r="J88" s="464">
        <f t="shared" si="56"/>
        <v>3.5715498989898991</v>
      </c>
      <c r="K88" s="464">
        <f t="shared" si="76"/>
        <v>6.5257749494949495</v>
      </c>
      <c r="L88" s="464">
        <f t="shared" si="77"/>
        <v>2.9542250505050509</v>
      </c>
      <c r="M88" s="77">
        <f t="shared" si="57"/>
        <v>0</v>
      </c>
      <c r="N88" s="463">
        <f t="shared" si="58"/>
        <v>4.8508347106535421</v>
      </c>
      <c r="O88" s="463">
        <f t="shared" si="78"/>
        <v>0.16208282697808671</v>
      </c>
      <c r="P88">
        <f t="shared" si="59"/>
        <v>0.4</v>
      </c>
      <c r="Q88" s="463">
        <f t="shared" si="79"/>
        <v>0.56208282697808676</v>
      </c>
      <c r="R88" s="9">
        <f t="shared" si="87"/>
        <v>1.0310176478029995</v>
      </c>
      <c r="S88" s="9">
        <f t="shared" si="80"/>
        <v>2.1259947801624598E-3</v>
      </c>
      <c r="T88" s="9">
        <f t="shared" si="88"/>
        <v>2.1259947801624598E-3</v>
      </c>
      <c r="U88" s="463">
        <f t="shared" si="60"/>
        <v>3.1471887626366808</v>
      </c>
      <c r="V88" s="465">
        <f t="shared" si="81"/>
        <v>3.2685830455299785E-3</v>
      </c>
      <c r="W88" s="463">
        <f t="shared" si="89"/>
        <v>3.2685830455299785E-3</v>
      </c>
      <c r="X88" s="463">
        <f t="shared" si="61"/>
        <v>3.1471887626366808</v>
      </c>
      <c r="Y88" s="463">
        <f t="shared" si="82"/>
        <v>3.9619188430666405E-2</v>
      </c>
      <c r="Z88" s="463">
        <f t="shared" si="62"/>
        <v>0.16758163855416056</v>
      </c>
      <c r="AA88" s="463">
        <f t="shared" si="63"/>
        <v>3.0000000000000002E-2</v>
      </c>
      <c r="AB88" s="463">
        <f t="shared" si="64"/>
        <v>0</v>
      </c>
      <c r="AC88" s="463">
        <f t="shared" si="65"/>
        <v>0.23814433551507372</v>
      </c>
      <c r="AD88" s="463">
        <f t="shared" si="66"/>
        <v>3.6913141673954866</v>
      </c>
      <c r="AE88" s="463">
        <f t="shared" si="83"/>
        <v>5.4503201129658535E-2</v>
      </c>
      <c r="AF88" s="463">
        <f t="shared" si="67"/>
        <v>7.1099999999999997E-2</v>
      </c>
      <c r="AG88" s="463">
        <f t="shared" si="68"/>
        <v>0.12629153039788335</v>
      </c>
      <c r="AH88" s="463">
        <f t="shared" si="69"/>
        <v>0</v>
      </c>
      <c r="AI88">
        <f t="shared" si="70"/>
        <v>0</v>
      </c>
      <c r="AJ88" s="464">
        <f t="shared" si="71"/>
        <v>0.1198104</v>
      </c>
      <c r="AK88">
        <f t="shared" si="84"/>
        <v>3.6000000000000004E-2</v>
      </c>
      <c r="AL88" s="464">
        <f t="shared" si="85"/>
        <v>0.27</v>
      </c>
      <c r="AM88" s="464">
        <f t="shared" si="86"/>
        <v>0.17963774597495527</v>
      </c>
      <c r="AN88" s="464">
        <f t="shared" si="90"/>
        <v>0.30600000000000005</v>
      </c>
      <c r="AO88" s="464">
        <f t="shared" si="72"/>
        <v>1.3577236707167364</v>
      </c>
      <c r="AP88" s="100">
        <f t="shared" si="73"/>
        <v>23.700000000000003</v>
      </c>
      <c r="AQ88" s="10">
        <f t="shared" si="91"/>
        <v>0.94581616077507402</v>
      </c>
      <c r="AR88" s="77">
        <f t="shared" si="74"/>
        <v>5.9536083878768427</v>
      </c>
      <c r="AS88" s="77">
        <f t="shared" si="92"/>
        <v>3.1572882599470837</v>
      </c>
      <c r="AT88" s="10"/>
      <c r="AU88">
        <f t="shared" si="93"/>
        <v>94.581616077507405</v>
      </c>
      <c r="BE88" s="31"/>
      <c r="BF88" s="32"/>
    </row>
    <row r="89" spans="1:58" x14ac:dyDescent="0.15">
      <c r="G89">
        <v>80</v>
      </c>
      <c r="H89">
        <f t="shared" si="55"/>
        <v>4.8000000000000007</v>
      </c>
      <c r="I89" s="463">
        <f t="shared" si="75"/>
        <v>0.42098666666666662</v>
      </c>
      <c r="J89" s="464">
        <f t="shared" si="56"/>
        <v>3.5720080808080805</v>
      </c>
      <c r="K89" s="464">
        <f t="shared" si="76"/>
        <v>6.586004040404041</v>
      </c>
      <c r="L89" s="464">
        <f t="shared" si="77"/>
        <v>3.0139959595959604</v>
      </c>
      <c r="M89" s="77">
        <f t="shared" si="57"/>
        <v>0</v>
      </c>
      <c r="N89" s="463">
        <f t="shared" si="58"/>
        <v>4.9095081366785811</v>
      </c>
      <c r="O89" s="463">
        <f t="shared" si="78"/>
        <v>0.16607990643453321</v>
      </c>
      <c r="P89">
        <f t="shared" si="59"/>
        <v>0.4</v>
      </c>
      <c r="Q89" s="463">
        <f t="shared" si="79"/>
        <v>0.56607990643453321</v>
      </c>
      <c r="R89" s="9">
        <f t="shared" si="87"/>
        <v>1.031149913501032</v>
      </c>
      <c r="S89" s="9">
        <f t="shared" si="80"/>
        <v>2.1265402882263717E-3</v>
      </c>
      <c r="T89" s="9">
        <f t="shared" si="88"/>
        <v>2.1265402882263717E-3</v>
      </c>
      <c r="U89" s="463">
        <f t="shared" si="60"/>
        <v>3.1854599909175443</v>
      </c>
      <c r="V89" s="465">
        <f t="shared" si="81"/>
        <v>3.3485612667330123E-3</v>
      </c>
      <c r="W89" s="463">
        <f t="shared" si="89"/>
        <v>3.3485612667330123E-3</v>
      </c>
      <c r="X89" s="463">
        <f t="shared" si="61"/>
        <v>3.1854599909175443</v>
      </c>
      <c r="Y89" s="463">
        <f t="shared" si="82"/>
        <v>4.0588621414945604E-2</v>
      </c>
      <c r="Z89" s="463">
        <f t="shared" si="62"/>
        <v>0.16940745252624445</v>
      </c>
      <c r="AA89" s="463">
        <f t="shared" si="63"/>
        <v>3.0000000000000002E-2</v>
      </c>
      <c r="AB89" s="463">
        <f t="shared" si="64"/>
        <v>0</v>
      </c>
      <c r="AC89" s="463">
        <f t="shared" si="65"/>
        <v>0.24097415481524831</v>
      </c>
      <c r="AD89" s="463">
        <f t="shared" si="66"/>
        <v>3.7357883760160715</v>
      </c>
      <c r="AE89" s="463">
        <f t="shared" si="83"/>
        <v>5.5824459161507189E-2</v>
      </c>
      <c r="AF89" s="463">
        <f t="shared" si="67"/>
        <v>7.2000000000000008E-2</v>
      </c>
      <c r="AG89" s="463">
        <f t="shared" si="68"/>
        <v>0.12854203813736081</v>
      </c>
      <c r="AH89" s="463">
        <f t="shared" si="69"/>
        <v>0</v>
      </c>
      <c r="AI89">
        <f t="shared" si="70"/>
        <v>0</v>
      </c>
      <c r="AJ89" s="464">
        <f t="shared" si="71"/>
        <v>0.11980800000000001</v>
      </c>
      <c r="AK89">
        <f t="shared" si="84"/>
        <v>3.6000000000000004E-2</v>
      </c>
      <c r="AL89" s="464">
        <f t="shared" si="85"/>
        <v>0.27</v>
      </c>
      <c r="AM89" s="464">
        <f t="shared" si="86"/>
        <v>0.17963774597495527</v>
      </c>
      <c r="AN89" s="464">
        <f t="shared" si="90"/>
        <v>0.30600000000000005</v>
      </c>
      <c r="AO89" s="464">
        <f t="shared" si="72"/>
        <v>1.3668792009421018</v>
      </c>
      <c r="AP89" s="100">
        <f t="shared" si="73"/>
        <v>24.000000000000004</v>
      </c>
      <c r="AQ89" s="10">
        <f t="shared" si="91"/>
        <v>0.94611559466521467</v>
      </c>
      <c r="AR89" s="77">
        <f t="shared" si="74"/>
        <v>6.0243538703812076</v>
      </c>
      <c r="AS89" s="77">
        <f t="shared" si="92"/>
        <v>3.2135509534340203</v>
      </c>
      <c r="AT89" s="10"/>
      <c r="AU89">
        <f t="shared" si="93"/>
        <v>94.61155946652147</v>
      </c>
      <c r="BE89" s="31"/>
      <c r="BF89" s="32"/>
    </row>
    <row r="90" spans="1:58" x14ac:dyDescent="0.15">
      <c r="G90">
        <v>81</v>
      </c>
      <c r="H90">
        <f t="shared" si="55"/>
        <v>4.8600000000000003</v>
      </c>
      <c r="I90" s="463">
        <f t="shared" si="75"/>
        <v>0.42104066666666667</v>
      </c>
      <c r="J90" s="464">
        <f t="shared" si="56"/>
        <v>3.5724662626262629</v>
      </c>
      <c r="K90" s="464">
        <f t="shared" si="76"/>
        <v>6.6462331313131315</v>
      </c>
      <c r="L90" s="464">
        <f t="shared" si="77"/>
        <v>3.0737668686868691</v>
      </c>
      <c r="M90" s="77">
        <f t="shared" si="57"/>
        <v>0</v>
      </c>
      <c r="N90" s="463">
        <f t="shared" si="58"/>
        <v>4.9682132535886154</v>
      </c>
      <c r="O90" s="463">
        <f t="shared" si="78"/>
        <v>0.17012981207220793</v>
      </c>
      <c r="P90">
        <f t="shared" si="59"/>
        <v>0.4</v>
      </c>
      <c r="Q90" s="463">
        <f t="shared" si="79"/>
        <v>0.57012981207220792</v>
      </c>
      <c r="R90" s="9">
        <f t="shared" si="87"/>
        <v>1.0312821791990647</v>
      </c>
      <c r="S90" s="9">
        <f t="shared" si="80"/>
        <v>2.1270858662671439E-3</v>
      </c>
      <c r="T90" s="9">
        <f t="shared" si="88"/>
        <v>2.1270858662671439E-3</v>
      </c>
      <c r="U90" s="463">
        <f t="shared" si="60"/>
        <v>3.223756652726006</v>
      </c>
      <c r="V90" s="465">
        <f t="shared" si="81"/>
        <v>3.4295602954784103E-3</v>
      </c>
      <c r="W90" s="463">
        <f t="shared" si="89"/>
        <v>3.4295602954784103E-3</v>
      </c>
      <c r="X90" s="463">
        <f t="shared" si="61"/>
        <v>3.223756652726006</v>
      </c>
      <c r="Y90" s="463">
        <f t="shared" si="82"/>
        <v>4.1570427823980731E-2</v>
      </c>
      <c r="Z90" s="463">
        <f t="shared" si="62"/>
        <v>0.17123326649832832</v>
      </c>
      <c r="AA90" s="463">
        <f t="shared" si="63"/>
        <v>3.0000000000000002E-2</v>
      </c>
      <c r="AB90" s="463">
        <f t="shared" si="64"/>
        <v>0</v>
      </c>
      <c r="AC90" s="463">
        <f t="shared" si="65"/>
        <v>0.24381725307442623</v>
      </c>
      <c r="AD90" s="463">
        <f t="shared" si="66"/>
        <v>3.7802825261001844</v>
      </c>
      <c r="AE90" s="463">
        <f t="shared" si="83"/>
        <v>5.7162143908553571E-2</v>
      </c>
      <c r="AF90" s="463">
        <f t="shared" si="67"/>
        <v>7.2900000000000006E-2</v>
      </c>
      <c r="AG90" s="463">
        <f t="shared" si="68"/>
        <v>0.1308098812341302</v>
      </c>
      <c r="AH90" s="463">
        <f t="shared" si="69"/>
        <v>0</v>
      </c>
      <c r="AI90">
        <f t="shared" si="70"/>
        <v>0</v>
      </c>
      <c r="AJ90" s="464">
        <f t="shared" si="71"/>
        <v>0.11980560000000001</v>
      </c>
      <c r="AK90">
        <f t="shared" si="84"/>
        <v>3.6000000000000004E-2</v>
      </c>
      <c r="AL90" s="464">
        <f t="shared" si="85"/>
        <v>0.27</v>
      </c>
      <c r="AM90" s="464">
        <f t="shared" si="86"/>
        <v>0.17963774597495527</v>
      </c>
      <c r="AN90" s="464">
        <f t="shared" si="90"/>
        <v>0.30600000000000005</v>
      </c>
      <c r="AO90" s="464">
        <f t="shared" si="72"/>
        <v>1.37611919254251</v>
      </c>
      <c r="AP90" s="100">
        <f t="shared" si="73"/>
        <v>24.3</v>
      </c>
      <c r="AQ90" s="10">
        <f t="shared" si="91"/>
        <v>0.94640470461197279</v>
      </c>
      <c r="AR90" s="77">
        <f t="shared" si="74"/>
        <v>6.0954313268606555</v>
      </c>
      <c r="AS90" s="77">
        <f t="shared" si="92"/>
        <v>3.270247030853255</v>
      </c>
      <c r="AT90" s="10"/>
      <c r="AU90">
        <f t="shared" si="93"/>
        <v>94.640470461197282</v>
      </c>
      <c r="BE90" s="31"/>
      <c r="BF90" s="32"/>
    </row>
    <row r="91" spans="1:58" x14ac:dyDescent="0.15">
      <c r="G91">
        <v>82</v>
      </c>
      <c r="H91">
        <f t="shared" si="55"/>
        <v>4.92</v>
      </c>
      <c r="I91" s="463">
        <f t="shared" si="75"/>
        <v>0.42109466666666667</v>
      </c>
      <c r="J91" s="464">
        <f t="shared" si="56"/>
        <v>3.5729244444444443</v>
      </c>
      <c r="K91" s="464">
        <f t="shared" si="76"/>
        <v>6.7064622222222221</v>
      </c>
      <c r="L91" s="464">
        <f t="shared" si="77"/>
        <v>3.1335377777777778</v>
      </c>
      <c r="M91" s="77">
        <f t="shared" si="57"/>
        <v>0</v>
      </c>
      <c r="N91" s="463">
        <f t="shared" si="58"/>
        <v>5.0269489511176042</v>
      </c>
      <c r="O91" s="463">
        <f t="shared" si="78"/>
        <v>0.17423264283167184</v>
      </c>
      <c r="P91">
        <f t="shared" si="59"/>
        <v>0.4</v>
      </c>
      <c r="Q91" s="463">
        <f t="shared" si="79"/>
        <v>0.57423264283167186</v>
      </c>
      <c r="R91" s="9">
        <f t="shared" si="87"/>
        <v>1.031414444897097</v>
      </c>
      <c r="S91" s="9">
        <f t="shared" si="80"/>
        <v>2.1276315142847737E-3</v>
      </c>
      <c r="T91" s="9">
        <f t="shared" si="88"/>
        <v>2.1276315142847737E-3</v>
      </c>
      <c r="U91" s="463">
        <f t="shared" si="60"/>
        <v>3.2620780310790569</v>
      </c>
      <c r="V91" s="465">
        <f t="shared" si="81"/>
        <v>3.5115805166800432E-3</v>
      </c>
      <c r="W91" s="463">
        <f t="shared" si="89"/>
        <v>3.5115805166800432E-3</v>
      </c>
      <c r="X91" s="463">
        <f t="shared" si="61"/>
        <v>3.2620780310790569</v>
      </c>
      <c r="Y91" s="463">
        <f t="shared" si="82"/>
        <v>4.2564612323394466E-2</v>
      </c>
      <c r="Z91" s="463">
        <f t="shared" si="62"/>
        <v>0.17305908047041224</v>
      </c>
      <c r="AA91" s="463">
        <f t="shared" si="63"/>
        <v>3.0000000000000002E-2</v>
      </c>
      <c r="AB91" s="463">
        <f t="shared" si="64"/>
        <v>0</v>
      </c>
      <c r="AC91" s="463">
        <f t="shared" si="65"/>
        <v>0.24667364962045585</v>
      </c>
      <c r="AD91" s="463">
        <f t="shared" si="66"/>
        <v>3.8247957692266086</v>
      </c>
      <c r="AE91" s="463">
        <f t="shared" si="83"/>
        <v>5.8516250705175063E-2</v>
      </c>
      <c r="AF91" s="463">
        <f t="shared" si="67"/>
        <v>7.3799999999999991E-2</v>
      </c>
      <c r="AG91" s="463">
        <f t="shared" si="68"/>
        <v>0.13309507317211133</v>
      </c>
      <c r="AH91" s="463">
        <f t="shared" si="69"/>
        <v>0</v>
      </c>
      <c r="AI91">
        <f t="shared" si="70"/>
        <v>0</v>
      </c>
      <c r="AJ91" s="464">
        <f t="shared" si="71"/>
        <v>0.11980320000000001</v>
      </c>
      <c r="AK91">
        <f t="shared" si="84"/>
        <v>3.6000000000000004E-2</v>
      </c>
      <c r="AL91" s="464">
        <f t="shared" si="85"/>
        <v>0.27</v>
      </c>
      <c r="AM91" s="464">
        <f t="shared" si="86"/>
        <v>0.17963774597495527</v>
      </c>
      <c r="AN91" s="464">
        <f t="shared" si="90"/>
        <v>0.30600000000000005</v>
      </c>
      <c r="AO91" s="464">
        <f t="shared" si="72"/>
        <v>1.3854437776552038</v>
      </c>
      <c r="AP91" s="100">
        <f t="shared" si="73"/>
        <v>24.6</v>
      </c>
      <c r="AQ91" s="10">
        <f t="shared" si="91"/>
        <v>0.94668385156282986</v>
      </c>
      <c r="AR91" s="77">
        <f t="shared" si="74"/>
        <v>6.1668412405113964</v>
      </c>
      <c r="AS91" s="77">
        <f t="shared" si="92"/>
        <v>3.3273768293027834</v>
      </c>
      <c r="AT91" s="10"/>
      <c r="AU91">
        <f t="shared" si="93"/>
        <v>94.66838515628298</v>
      </c>
      <c r="BE91" s="31"/>
      <c r="BF91" s="32"/>
    </row>
    <row r="92" spans="1:58" x14ac:dyDescent="0.15">
      <c r="G92">
        <v>83</v>
      </c>
      <c r="H92">
        <f t="shared" si="55"/>
        <v>4.9799999999999995</v>
      </c>
      <c r="I92" s="463">
        <f t="shared" si="75"/>
        <v>0.42114866666666667</v>
      </c>
      <c r="J92" s="464">
        <f t="shared" si="56"/>
        <v>3.5733826262626263</v>
      </c>
      <c r="K92" s="464">
        <f t="shared" si="76"/>
        <v>6.7666913131313127</v>
      </c>
      <c r="L92" s="464">
        <f t="shared" si="77"/>
        <v>3.1933086868686864</v>
      </c>
      <c r="M92" s="77">
        <f t="shared" si="57"/>
        <v>0</v>
      </c>
      <c r="N92" s="463">
        <f t="shared" si="58"/>
        <v>5.0857141697248016</v>
      </c>
      <c r="O92" s="463">
        <f t="shared" si="78"/>
        <v>0.17838849904243639</v>
      </c>
      <c r="P92">
        <f t="shared" si="59"/>
        <v>0.4</v>
      </c>
      <c r="Q92" s="463">
        <f t="shared" si="79"/>
        <v>0.57838849904243639</v>
      </c>
      <c r="R92" s="9">
        <f t="shared" si="87"/>
        <v>1.0315467105951297</v>
      </c>
      <c r="S92" s="9">
        <f t="shared" si="80"/>
        <v>2.1281772322792646E-3</v>
      </c>
      <c r="T92" s="9">
        <f t="shared" si="88"/>
        <v>2.1281772322792646E-3</v>
      </c>
      <c r="U92" s="463">
        <f t="shared" si="60"/>
        <v>3.3004234417271947</v>
      </c>
      <c r="V92" s="465">
        <f t="shared" si="81"/>
        <v>3.5946223152517861E-3</v>
      </c>
      <c r="W92" s="463">
        <f t="shared" si="89"/>
        <v>3.5946223152517861E-3</v>
      </c>
      <c r="X92" s="463">
        <f t="shared" si="61"/>
        <v>3.3004234417271947</v>
      </c>
      <c r="Y92" s="463">
        <f t="shared" si="82"/>
        <v>4.357117957880953E-2</v>
      </c>
      <c r="Z92" s="463">
        <f t="shared" si="62"/>
        <v>0.17488489444249611</v>
      </c>
      <c r="AA92" s="463">
        <f t="shared" si="63"/>
        <v>3.0000000000000002E-2</v>
      </c>
      <c r="AB92" s="463">
        <f t="shared" si="64"/>
        <v>0</v>
      </c>
      <c r="AC92" s="463">
        <f t="shared" si="65"/>
        <v>0.2495433638933956</v>
      </c>
      <c r="AD92" s="463">
        <f t="shared" si="66"/>
        <v>3.8693272957243159</v>
      </c>
      <c r="AE92" s="463">
        <f t="shared" si="83"/>
        <v>5.9886774885748992E-2</v>
      </c>
      <c r="AF92" s="463">
        <f t="shared" si="67"/>
        <v>7.4699999999999989E-2</v>
      </c>
      <c r="AG92" s="463">
        <f t="shared" si="68"/>
        <v>0.13539762761022481</v>
      </c>
      <c r="AH92" s="463">
        <f t="shared" si="69"/>
        <v>0</v>
      </c>
      <c r="AI92">
        <f t="shared" si="70"/>
        <v>0</v>
      </c>
      <c r="AJ92" s="464">
        <f t="shared" si="71"/>
        <v>0.1198008</v>
      </c>
      <c r="AK92">
        <f t="shared" si="84"/>
        <v>3.6000000000000004E-2</v>
      </c>
      <c r="AL92" s="464">
        <f t="shared" si="85"/>
        <v>0.27</v>
      </c>
      <c r="AM92" s="464">
        <f t="shared" si="86"/>
        <v>0.17963774597495527</v>
      </c>
      <c r="AN92" s="464">
        <f t="shared" si="90"/>
        <v>0.30600000000000005</v>
      </c>
      <c r="AO92" s="464">
        <f t="shared" si="72"/>
        <v>1.394853090093588</v>
      </c>
      <c r="AP92" s="100">
        <f t="shared" si="73"/>
        <v>24.9</v>
      </c>
      <c r="AQ92" s="10">
        <f t="shared" si="91"/>
        <v>0.94695337960952175</v>
      </c>
      <c r="AR92" s="77">
        <f t="shared" si="74"/>
        <v>6.2385840973348898</v>
      </c>
      <c r="AS92" s="77">
        <f t="shared" si="92"/>
        <v>3.3849406902556201</v>
      </c>
      <c r="AT92" s="10"/>
      <c r="AU92">
        <f t="shared" si="93"/>
        <v>94.695337960952173</v>
      </c>
      <c r="BE92" s="31"/>
      <c r="BF92" s="32"/>
    </row>
    <row r="93" spans="1:58" x14ac:dyDescent="0.15">
      <c r="G93">
        <v>84</v>
      </c>
      <c r="H93">
        <f t="shared" si="55"/>
        <v>5.04</v>
      </c>
      <c r="I93" s="463">
        <f t="shared" si="75"/>
        <v>0.42120266666666661</v>
      </c>
      <c r="J93" s="464">
        <f t="shared" si="56"/>
        <v>3.5738408080808077</v>
      </c>
      <c r="K93" s="464">
        <f t="shared" si="76"/>
        <v>6.8269204040404041</v>
      </c>
      <c r="L93" s="464">
        <f t="shared" si="77"/>
        <v>3.2530795959595959</v>
      </c>
      <c r="M93" s="77">
        <f t="shared" si="57"/>
        <v>0</v>
      </c>
      <c r="N93" s="463">
        <f t="shared" si="58"/>
        <v>5.1445078977610006</v>
      </c>
      <c r="O93" s="463">
        <f t="shared" si="78"/>
        <v>0.18259748242920054</v>
      </c>
      <c r="P93">
        <f t="shared" si="59"/>
        <v>0.4</v>
      </c>
      <c r="Q93" s="463">
        <f t="shared" si="79"/>
        <v>0.58259748242920062</v>
      </c>
      <c r="R93" s="9">
        <f t="shared" si="87"/>
        <v>1.031678976293162</v>
      </c>
      <c r="S93" s="9">
        <f t="shared" si="80"/>
        <v>2.1287230202506132E-3</v>
      </c>
      <c r="T93" s="9">
        <f t="shared" si="88"/>
        <v>2.1287230202506132E-3</v>
      </c>
      <c r="U93" s="463">
        <f t="shared" si="60"/>
        <v>3.3387922313258938</v>
      </c>
      <c r="V93" s="465">
        <f t="shared" si="81"/>
        <v>3.6786860761075062E-3</v>
      </c>
      <c r="W93" s="463">
        <f t="shared" si="89"/>
        <v>3.6786860761075062E-3</v>
      </c>
      <c r="X93" s="463">
        <f t="shared" si="61"/>
        <v>3.3387922313258938</v>
      </c>
      <c r="Y93" s="463">
        <f t="shared" si="82"/>
        <v>4.4590134255848561E-2</v>
      </c>
      <c r="Z93" s="463">
        <f t="shared" si="62"/>
        <v>0.17671070841457998</v>
      </c>
      <c r="AA93" s="463">
        <f t="shared" si="63"/>
        <v>3.0000000000000002E-2</v>
      </c>
      <c r="AB93" s="463">
        <f t="shared" si="64"/>
        <v>0</v>
      </c>
      <c r="AC93" s="463">
        <f t="shared" si="65"/>
        <v>0.25242641544587391</v>
      </c>
      <c r="AD93" s="463">
        <f t="shared" si="66"/>
        <v>3.9138763325076034</v>
      </c>
      <c r="AE93" s="463">
        <f t="shared" si="83"/>
        <v>6.1273711784652671E-2</v>
      </c>
      <c r="AF93" s="463">
        <f t="shared" si="67"/>
        <v>7.5600000000000001E-2</v>
      </c>
      <c r="AG93" s="463">
        <f t="shared" si="68"/>
        <v>0.13771755838265518</v>
      </c>
      <c r="AH93" s="463">
        <f t="shared" si="69"/>
        <v>0</v>
      </c>
      <c r="AI93">
        <f t="shared" si="70"/>
        <v>0</v>
      </c>
      <c r="AJ93" s="464">
        <f t="shared" si="71"/>
        <v>0.1197984</v>
      </c>
      <c r="AK93">
        <f t="shared" si="84"/>
        <v>3.6000000000000004E-2</v>
      </c>
      <c r="AL93" s="464">
        <f t="shared" si="85"/>
        <v>0.27</v>
      </c>
      <c r="AM93" s="464">
        <f t="shared" si="86"/>
        <v>0.17963774597495527</v>
      </c>
      <c r="AN93" s="464">
        <f t="shared" si="90"/>
        <v>0.30600000000000005</v>
      </c>
      <c r="AO93" s="464">
        <f t="shared" si="72"/>
        <v>1.4043472653540878</v>
      </c>
      <c r="AP93" s="100">
        <f t="shared" si="73"/>
        <v>25.2</v>
      </c>
      <c r="AQ93" s="10">
        <f t="shared" si="91"/>
        <v>0.94721361695714601</v>
      </c>
      <c r="AR93" s="77">
        <f t="shared" si="74"/>
        <v>6.3106603861468473</v>
      </c>
      <c r="AS93" s="77">
        <f t="shared" si="92"/>
        <v>3.4429389595663795</v>
      </c>
      <c r="AT93" s="10"/>
      <c r="AU93">
        <f t="shared" si="93"/>
        <v>94.721361695714606</v>
      </c>
      <c r="BE93" s="31"/>
      <c r="BF93" s="32"/>
    </row>
    <row r="94" spans="1:58" x14ac:dyDescent="0.15">
      <c r="G94">
        <v>85</v>
      </c>
      <c r="H94">
        <f t="shared" si="55"/>
        <v>5.0999999999999996</v>
      </c>
      <c r="I94" s="463">
        <f t="shared" si="75"/>
        <v>0.42125666666666667</v>
      </c>
      <c r="J94" s="464">
        <f t="shared" si="56"/>
        <v>3.5742989898989901</v>
      </c>
      <c r="K94" s="464">
        <f t="shared" si="76"/>
        <v>6.8871494949494947</v>
      </c>
      <c r="L94" s="464">
        <f t="shared" si="77"/>
        <v>3.3128505050505046</v>
      </c>
      <c r="M94" s="77">
        <f t="shared" si="57"/>
        <v>0</v>
      </c>
      <c r="N94" s="463">
        <f t="shared" si="58"/>
        <v>5.2033291688206127</v>
      </c>
      <c r="O94" s="463">
        <f t="shared" si="78"/>
        <v>0.18685969611818373</v>
      </c>
      <c r="P94">
        <f t="shared" si="59"/>
        <v>0.4</v>
      </c>
      <c r="Q94" s="463">
        <f t="shared" si="79"/>
        <v>0.58685969611818378</v>
      </c>
      <c r="R94" s="9">
        <f t="shared" si="87"/>
        <v>1.0318112419911947</v>
      </c>
      <c r="S94" s="9">
        <f t="shared" si="80"/>
        <v>2.1292688781988237E-3</v>
      </c>
      <c r="T94" s="9">
        <f t="shared" si="88"/>
        <v>2.1292688781988237E-3</v>
      </c>
      <c r="U94" s="463">
        <f t="shared" si="60"/>
        <v>3.3771837757269818</v>
      </c>
      <c r="V94" s="465">
        <f t="shared" si="81"/>
        <v>3.7637721841610725E-3</v>
      </c>
      <c r="W94" s="463">
        <f t="shared" si="89"/>
        <v>3.7637721841610725E-3</v>
      </c>
      <c r="X94" s="463">
        <f t="shared" si="61"/>
        <v>3.3771837757269818</v>
      </c>
      <c r="Y94" s="463">
        <f t="shared" si="82"/>
        <v>4.5621481020134212E-2</v>
      </c>
      <c r="Z94" s="463">
        <f t="shared" si="62"/>
        <v>0.17853652238666387</v>
      </c>
      <c r="AA94" s="463">
        <f t="shared" si="63"/>
        <v>3.0000000000000002E-2</v>
      </c>
      <c r="AB94" s="463">
        <f t="shared" si="64"/>
        <v>0</v>
      </c>
      <c r="AC94" s="463">
        <f t="shared" si="65"/>
        <v>0.2553228239434524</v>
      </c>
      <c r="AD94" s="463">
        <f t="shared" si="66"/>
        <v>3.9584421410532018</v>
      </c>
      <c r="AE94" s="463">
        <f t="shared" si="83"/>
        <v>6.267705673626342E-2</v>
      </c>
      <c r="AF94" s="463">
        <f t="shared" si="67"/>
        <v>7.6499999999999999E-2</v>
      </c>
      <c r="AG94" s="463">
        <f t="shared" si="68"/>
        <v>0.14005487949911907</v>
      </c>
      <c r="AH94" s="463">
        <f t="shared" si="69"/>
        <v>0</v>
      </c>
      <c r="AI94">
        <f t="shared" si="70"/>
        <v>0</v>
      </c>
      <c r="AJ94" s="464">
        <f t="shared" si="71"/>
        <v>0.119796</v>
      </c>
      <c r="AK94">
        <f t="shared" si="84"/>
        <v>3.6000000000000004E-2</v>
      </c>
      <c r="AL94" s="464">
        <f t="shared" si="85"/>
        <v>0.27</v>
      </c>
      <c r="AM94" s="464">
        <f t="shared" si="86"/>
        <v>0.17963774597495527</v>
      </c>
      <c r="AN94" s="464">
        <f t="shared" si="90"/>
        <v>0.30600000000000005</v>
      </c>
      <c r="AO94" s="464">
        <f t="shared" si="72"/>
        <v>1.4139264406231151</v>
      </c>
      <c r="AP94" s="100">
        <f t="shared" si="73"/>
        <v>25.5</v>
      </c>
      <c r="AQ94" s="10">
        <f t="shared" si="91"/>
        <v>0.94746487682715164</v>
      </c>
      <c r="AR94" s="77">
        <f t="shared" si="74"/>
        <v>6.3830705985863103</v>
      </c>
      <c r="AS94" s="77">
        <f t="shared" si="92"/>
        <v>3.501371987477977</v>
      </c>
      <c r="AT94" s="10"/>
      <c r="AU94">
        <f t="shared" si="93"/>
        <v>94.74648768271517</v>
      </c>
      <c r="BE94" s="31"/>
      <c r="BF94" s="32"/>
    </row>
    <row r="95" spans="1:58" x14ac:dyDescent="0.15">
      <c r="G95">
        <v>86</v>
      </c>
      <c r="H95">
        <f t="shared" si="55"/>
        <v>5.16</v>
      </c>
      <c r="I95" s="463">
        <f t="shared" si="75"/>
        <v>0.42131066666666667</v>
      </c>
      <c r="J95" s="464">
        <f t="shared" si="56"/>
        <v>3.5747571717171716</v>
      </c>
      <c r="K95" s="464">
        <f t="shared" si="76"/>
        <v>6.9473785858585861</v>
      </c>
      <c r="L95" s="464">
        <f t="shared" si="77"/>
        <v>3.3726214141414141</v>
      </c>
      <c r="M95" s="77">
        <f t="shared" si="57"/>
        <v>0</v>
      </c>
      <c r="N95" s="463">
        <f t="shared" si="58"/>
        <v>5.2621770592656754</v>
      </c>
      <c r="O95" s="463">
        <f t="shared" si="78"/>
        <v>0.19117524464355526</v>
      </c>
      <c r="P95">
        <f t="shared" si="59"/>
        <v>0.4</v>
      </c>
      <c r="Q95" s="463">
        <f t="shared" si="79"/>
        <v>0.59117524464355531</v>
      </c>
      <c r="R95" s="9">
        <f t="shared" si="87"/>
        <v>1.0319435076892272</v>
      </c>
      <c r="S95" s="9">
        <f t="shared" si="80"/>
        <v>2.1298148061238923E-3</v>
      </c>
      <c r="T95" s="9">
        <f t="shared" si="88"/>
        <v>2.1298148061238923E-3</v>
      </c>
      <c r="U95" s="463">
        <f t="shared" si="60"/>
        <v>3.4155974783809491</v>
      </c>
      <c r="V95" s="465">
        <f t="shared" si="81"/>
        <v>3.8498810243263581E-3</v>
      </c>
      <c r="W95" s="463">
        <f t="shared" si="89"/>
        <v>3.8498810243263581E-3</v>
      </c>
      <c r="X95" s="463">
        <f t="shared" si="61"/>
        <v>3.4155974783809491</v>
      </c>
      <c r="Y95" s="463">
        <f t="shared" si="82"/>
        <v>4.6665224537289191E-2</v>
      </c>
      <c r="Z95" s="463">
        <f t="shared" si="62"/>
        <v>0.18036233635874777</v>
      </c>
      <c r="AA95" s="463">
        <f t="shared" si="63"/>
        <v>3.0000000000000002E-2</v>
      </c>
      <c r="AB95" s="463">
        <f t="shared" si="64"/>
        <v>0</v>
      </c>
      <c r="AC95" s="463">
        <f t="shared" si="65"/>
        <v>0.25823260916499036</v>
      </c>
      <c r="AD95" s="463">
        <f t="shared" si="66"/>
        <v>4.003024015508732</v>
      </c>
      <c r="AE95" s="463">
        <f t="shared" si="83"/>
        <v>6.4096805074958615E-2</v>
      </c>
      <c r="AF95" s="463">
        <f t="shared" si="67"/>
        <v>7.7399999999999997E-2</v>
      </c>
      <c r="AG95" s="463">
        <f t="shared" si="68"/>
        <v>0.14240960514513756</v>
      </c>
      <c r="AH95" s="463">
        <f t="shared" si="69"/>
        <v>0</v>
      </c>
      <c r="AI95">
        <f t="shared" si="70"/>
        <v>0</v>
      </c>
      <c r="AJ95" s="464">
        <f t="shared" si="71"/>
        <v>0.1197936</v>
      </c>
      <c r="AK95">
        <f t="shared" si="84"/>
        <v>3.6000000000000004E-2</v>
      </c>
      <c r="AL95" s="464">
        <f t="shared" si="85"/>
        <v>0.27</v>
      </c>
      <c r="AM95" s="464">
        <f t="shared" si="86"/>
        <v>0.17963774597495527</v>
      </c>
      <c r="AN95" s="464">
        <f t="shared" si="90"/>
        <v>0.30600000000000005</v>
      </c>
      <c r="AO95" s="464">
        <f t="shared" si="72"/>
        <v>1.4235907547841335</v>
      </c>
      <c r="AP95" s="100">
        <f t="shared" si="73"/>
        <v>25.8</v>
      </c>
      <c r="AQ95" s="10">
        <f t="shared" si="91"/>
        <v>0.94770745829941783</v>
      </c>
      <c r="AR95" s="77">
        <f t="shared" si="74"/>
        <v>6.4558152291247586</v>
      </c>
      <c r="AS95" s="77">
        <f t="shared" si="92"/>
        <v>3.5602401286284389</v>
      </c>
      <c r="AT95" s="10"/>
      <c r="AU95">
        <f t="shared" si="93"/>
        <v>94.770745829941788</v>
      </c>
      <c r="BE95" s="31"/>
      <c r="BF95" s="32"/>
    </row>
    <row r="96" spans="1:58" x14ac:dyDescent="0.15">
      <c r="G96">
        <v>87</v>
      </c>
      <c r="H96">
        <f t="shared" si="55"/>
        <v>5.22</v>
      </c>
      <c r="I96" s="463">
        <f t="shared" si="75"/>
        <v>0.42136466666666667</v>
      </c>
      <c r="J96" s="464">
        <f t="shared" si="56"/>
        <v>3.5752153535353535</v>
      </c>
      <c r="K96" s="464">
        <f t="shared" si="76"/>
        <v>7.0076076767676767</v>
      </c>
      <c r="L96" s="464">
        <f t="shared" si="77"/>
        <v>3.4323923232323228</v>
      </c>
      <c r="M96" s="77">
        <f t="shared" si="57"/>
        <v>0</v>
      </c>
      <c r="N96" s="463">
        <f t="shared" si="58"/>
        <v>5.3210506859090252</v>
      </c>
      <c r="O96" s="463">
        <f t="shared" si="78"/>
        <v>0.19554423395395951</v>
      </c>
      <c r="P96">
        <f t="shared" si="59"/>
        <v>0.4</v>
      </c>
      <c r="Q96" s="463">
        <f t="shared" si="79"/>
        <v>0.5955442339539595</v>
      </c>
      <c r="R96" s="9">
        <f t="shared" si="87"/>
        <v>1.0320757733872596</v>
      </c>
      <c r="S96" s="9">
        <f t="shared" si="80"/>
        <v>2.1303608040258203E-3</v>
      </c>
      <c r="T96" s="9">
        <f t="shared" si="88"/>
        <v>2.1303608040258203E-3</v>
      </c>
      <c r="U96" s="463">
        <f t="shared" si="60"/>
        <v>3.454032768841957</v>
      </c>
      <c r="V96" s="465">
        <f t="shared" si="81"/>
        <v>3.9370129815172322E-3</v>
      </c>
      <c r="W96" s="463">
        <f t="shared" si="89"/>
        <v>3.9370129815172322E-3</v>
      </c>
      <c r="X96" s="463">
        <f t="shared" si="61"/>
        <v>3.454032768841957</v>
      </c>
      <c r="Y96" s="463">
        <f t="shared" si="82"/>
        <v>4.7721369472936148E-2</v>
      </c>
      <c r="Z96" s="463">
        <f t="shared" si="62"/>
        <v>0.18218815033083163</v>
      </c>
      <c r="AA96" s="463">
        <f t="shared" si="63"/>
        <v>3.0000000000000002E-2</v>
      </c>
      <c r="AB96" s="463">
        <f t="shared" si="64"/>
        <v>0</v>
      </c>
      <c r="AC96" s="463">
        <f t="shared" si="65"/>
        <v>0.26115579100301289</v>
      </c>
      <c r="AD96" s="463">
        <f t="shared" si="66"/>
        <v>4.0476212809227681</v>
      </c>
      <c r="AE96" s="463">
        <f t="shared" si="83"/>
        <v>6.553295213511548E-2</v>
      </c>
      <c r="AF96" s="463">
        <f t="shared" si="67"/>
        <v>7.8299999999999995E-2</v>
      </c>
      <c r="AG96" s="463">
        <f t="shared" si="68"/>
        <v>0.14478174968231242</v>
      </c>
      <c r="AH96" s="463">
        <f t="shared" si="69"/>
        <v>0</v>
      </c>
      <c r="AI96">
        <f t="shared" si="70"/>
        <v>0</v>
      </c>
      <c r="AJ96" s="464">
        <f t="shared" si="71"/>
        <v>0.1197912</v>
      </c>
      <c r="AK96">
        <f t="shared" si="84"/>
        <v>3.6000000000000004E-2</v>
      </c>
      <c r="AL96" s="464">
        <f t="shared" si="85"/>
        <v>0.27</v>
      </c>
      <c r="AM96" s="464">
        <f t="shared" si="86"/>
        <v>0.17963774597495527</v>
      </c>
      <c r="AN96" s="464">
        <f t="shared" si="90"/>
        <v>0.30600000000000005</v>
      </c>
      <c r="AO96" s="464">
        <f t="shared" si="72"/>
        <v>1.4333403484248279</v>
      </c>
      <c r="AP96" s="100">
        <f t="shared" si="73"/>
        <v>26.099999999999998</v>
      </c>
      <c r="AQ96" s="10">
        <f t="shared" si="91"/>
        <v>0.94794164709815787</v>
      </c>
      <c r="AR96" s="77">
        <f t="shared" si="74"/>
        <v>6.5288947750753223</v>
      </c>
      <c r="AS96" s="77">
        <f t="shared" si="92"/>
        <v>3.6195437420578105</v>
      </c>
      <c r="AT96" s="10"/>
      <c r="AU96">
        <f t="shared" si="93"/>
        <v>94.794164709815789</v>
      </c>
      <c r="BE96" s="31"/>
      <c r="BF96" s="32"/>
    </row>
    <row r="97" spans="7:58" x14ac:dyDescent="0.15">
      <c r="G97">
        <v>88</v>
      </c>
      <c r="H97">
        <f t="shared" si="55"/>
        <v>5.28</v>
      </c>
      <c r="I97" s="463">
        <f t="shared" si="75"/>
        <v>0.42141866666666666</v>
      </c>
      <c r="J97" s="464">
        <f t="shared" si="56"/>
        <v>3.5756735353535354</v>
      </c>
      <c r="K97" s="464">
        <f t="shared" si="76"/>
        <v>7.0678367676767682</v>
      </c>
      <c r="L97" s="464">
        <f t="shared" si="77"/>
        <v>3.4921632323232323</v>
      </c>
      <c r="M97" s="77">
        <f t="shared" si="57"/>
        <v>0</v>
      </c>
      <c r="N97" s="463">
        <f t="shared" si="58"/>
        <v>5.379949203844987</v>
      </c>
      <c r="O97" s="463">
        <f t="shared" si="78"/>
        <v>0.19996677141914049</v>
      </c>
      <c r="P97">
        <f t="shared" si="59"/>
        <v>0.4</v>
      </c>
      <c r="Q97" s="463">
        <f t="shared" si="79"/>
        <v>0.59996677141914057</v>
      </c>
      <c r="R97" s="9">
        <f t="shared" si="87"/>
        <v>1.0322080390852924</v>
      </c>
      <c r="S97" s="9">
        <f t="shared" si="80"/>
        <v>2.130906871904609E-3</v>
      </c>
      <c r="T97" s="9">
        <f t="shared" si="88"/>
        <v>2.130906871904609E-3</v>
      </c>
      <c r="U97" s="463">
        <f t="shared" si="60"/>
        <v>3.4924891013680259</v>
      </c>
      <c r="V97" s="465">
        <f t="shared" si="81"/>
        <v>4.0251684406475662E-3</v>
      </c>
      <c r="W97" s="463">
        <f t="shared" si="89"/>
        <v>4.0251684406475662E-3</v>
      </c>
      <c r="X97" s="463">
        <f t="shared" si="61"/>
        <v>3.4924891013680259</v>
      </c>
      <c r="Y97" s="463">
        <f t="shared" si="82"/>
        <v>4.8789920492697765E-2</v>
      </c>
      <c r="Z97" s="463">
        <f t="shared" si="62"/>
        <v>0.18401396430291561</v>
      </c>
      <c r="AA97" s="463">
        <f t="shared" si="63"/>
        <v>3.0000000000000002E-2</v>
      </c>
      <c r="AB97" s="463">
        <f t="shared" si="64"/>
        <v>0</v>
      </c>
      <c r="AC97" s="463">
        <f t="shared" si="65"/>
        <v>0.26409238946408131</v>
      </c>
      <c r="AD97" s="463">
        <f t="shared" si="66"/>
        <v>4.0922332915875987</v>
      </c>
      <c r="AE97" s="463">
        <f t="shared" si="83"/>
        <v>6.69854932511115E-2</v>
      </c>
      <c r="AF97" s="463">
        <f t="shared" si="67"/>
        <v>7.9200000000000007E-2</v>
      </c>
      <c r="AG97" s="463">
        <f t="shared" si="68"/>
        <v>0.14717132764860782</v>
      </c>
      <c r="AH97" s="463">
        <f t="shared" si="69"/>
        <v>0</v>
      </c>
      <c r="AI97">
        <f t="shared" si="70"/>
        <v>0</v>
      </c>
      <c r="AJ97" s="464">
        <f t="shared" si="71"/>
        <v>0.1197888</v>
      </c>
      <c r="AK97">
        <f t="shared" si="84"/>
        <v>3.6000000000000004E-2</v>
      </c>
      <c r="AL97" s="464">
        <f t="shared" si="85"/>
        <v>0.27</v>
      </c>
      <c r="AM97" s="464">
        <f t="shared" si="86"/>
        <v>0.17963774597495527</v>
      </c>
      <c r="AN97" s="464">
        <f t="shared" si="90"/>
        <v>0.30600000000000005</v>
      </c>
      <c r="AO97" s="464">
        <f t="shared" si="72"/>
        <v>1.4431753638443821</v>
      </c>
      <c r="AP97" s="100">
        <f t="shared" si="73"/>
        <v>26.400000000000002</v>
      </c>
      <c r="AQ97" s="10">
        <f t="shared" si="91"/>
        <v>0.94816771632597585</v>
      </c>
      <c r="AR97" s="77">
        <f t="shared" si="74"/>
        <v>6.6023097366020327</v>
      </c>
      <c r="AS97" s="77">
        <f t="shared" si="92"/>
        <v>3.6792831912151955</v>
      </c>
      <c r="AT97" s="10"/>
      <c r="AU97">
        <f t="shared" si="93"/>
        <v>94.816771632597579</v>
      </c>
      <c r="BE97" s="31"/>
      <c r="BF97" s="32"/>
    </row>
    <row r="98" spans="7:58" x14ac:dyDescent="0.15">
      <c r="G98">
        <v>89</v>
      </c>
      <c r="H98">
        <f t="shared" si="55"/>
        <v>5.34</v>
      </c>
      <c r="I98" s="463">
        <f t="shared" si="75"/>
        <v>0.42147266666666661</v>
      </c>
      <c r="J98" s="464">
        <f t="shared" si="56"/>
        <v>3.5761317171717173</v>
      </c>
      <c r="K98" s="464">
        <f t="shared" si="76"/>
        <v>7.1280658585858587</v>
      </c>
      <c r="L98" s="464">
        <f t="shared" si="77"/>
        <v>3.551934141414141</v>
      </c>
      <c r="M98" s="77">
        <f t="shared" si="57"/>
        <v>0</v>
      </c>
      <c r="N98" s="463">
        <f t="shared" si="58"/>
        <v>5.4388718044168067</v>
      </c>
      <c r="O98" s="463">
        <f t="shared" si="78"/>
        <v>0.20444296583666283</v>
      </c>
      <c r="P98">
        <f t="shared" si="59"/>
        <v>0.4</v>
      </c>
      <c r="Q98" s="463">
        <f t="shared" si="79"/>
        <v>0.60444296583666279</v>
      </c>
      <c r="R98" s="9">
        <f t="shared" si="87"/>
        <v>1.0323403047833248</v>
      </c>
      <c r="S98" s="9">
        <f t="shared" si="80"/>
        <v>2.1314530097602561E-3</v>
      </c>
      <c r="T98" s="9">
        <f t="shared" si="88"/>
        <v>2.1314530097602561E-3</v>
      </c>
      <c r="U98" s="463">
        <f t="shared" si="60"/>
        <v>3.5309659536094613</v>
      </c>
      <c r="V98" s="465">
        <f t="shared" si="81"/>
        <v>4.1143477866312263E-3</v>
      </c>
      <c r="W98" s="463">
        <f t="shared" si="89"/>
        <v>4.1143477866312263E-3</v>
      </c>
      <c r="X98" s="463">
        <f t="shared" si="61"/>
        <v>3.5309659536094613</v>
      </c>
      <c r="Y98" s="463">
        <f t="shared" si="82"/>
        <v>4.9870882262196686E-2</v>
      </c>
      <c r="Z98" s="463">
        <f t="shared" si="62"/>
        <v>0.18583977827499945</v>
      </c>
      <c r="AA98" s="463">
        <f t="shared" si="63"/>
        <v>3.0000000000000002E-2</v>
      </c>
      <c r="AB98" s="463">
        <f t="shared" si="64"/>
        <v>0</v>
      </c>
      <c r="AC98" s="463">
        <f t="shared" si="65"/>
        <v>0.26704242466916489</v>
      </c>
      <c r="AD98" s="463">
        <f t="shared" si="66"/>
        <v>4.1368594294864502</v>
      </c>
      <c r="AE98" s="463">
        <f t="shared" si="83"/>
        <v>6.8454423757323843E-2</v>
      </c>
      <c r="AF98" s="463">
        <f t="shared" si="67"/>
        <v>8.0099999999999991E-2</v>
      </c>
      <c r="AG98" s="463">
        <f t="shared" si="68"/>
        <v>0.14957835375863548</v>
      </c>
      <c r="AH98" s="463">
        <f t="shared" si="69"/>
        <v>0</v>
      </c>
      <c r="AI98">
        <f t="shared" si="70"/>
        <v>0</v>
      </c>
      <c r="AJ98" s="464">
        <f t="shared" si="71"/>
        <v>0.1197864</v>
      </c>
      <c r="AK98">
        <f t="shared" si="84"/>
        <v>3.6000000000000004E-2</v>
      </c>
      <c r="AL98" s="464">
        <f t="shared" si="85"/>
        <v>0.27</v>
      </c>
      <c r="AM98" s="464">
        <f t="shared" si="86"/>
        <v>0.17963774597495527</v>
      </c>
      <c r="AN98" s="464">
        <f t="shared" si="90"/>
        <v>0.30600000000000005</v>
      </c>
      <c r="AO98" s="464">
        <f t="shared" si="72"/>
        <v>1.4530959450608547</v>
      </c>
      <c r="AP98" s="100">
        <f t="shared" si="73"/>
        <v>26.7</v>
      </c>
      <c r="AQ98" s="10">
        <f t="shared" si="91"/>
        <v>0.94838592715001968</v>
      </c>
      <c r="AR98" s="77">
        <f t="shared" si="74"/>
        <v>6.6760606167291225</v>
      </c>
      <c r="AS98" s="77">
        <f t="shared" si="92"/>
        <v>3.7394588439658873</v>
      </c>
      <c r="AT98" s="10"/>
      <c r="AU98">
        <f t="shared" si="93"/>
        <v>94.838592715001965</v>
      </c>
      <c r="BE98" s="31"/>
      <c r="BF98" s="32"/>
    </row>
    <row r="99" spans="7:58" x14ac:dyDescent="0.15">
      <c r="G99">
        <v>90</v>
      </c>
      <c r="H99">
        <f t="shared" si="55"/>
        <v>5.4</v>
      </c>
      <c r="I99" s="463">
        <f t="shared" si="75"/>
        <v>0.42152666666666666</v>
      </c>
      <c r="J99" s="464">
        <f t="shared" si="56"/>
        <v>3.5765898989898988</v>
      </c>
      <c r="K99" s="464">
        <f t="shared" si="76"/>
        <v>7.1882949494949493</v>
      </c>
      <c r="L99" s="464">
        <f t="shared" si="77"/>
        <v>3.611705050505051</v>
      </c>
      <c r="M99" s="77">
        <f t="shared" si="57"/>
        <v>0</v>
      </c>
      <c r="N99" s="463">
        <f t="shared" si="58"/>
        <v>5.4978177133110178</v>
      </c>
      <c r="O99" s="463">
        <f t="shared" si="78"/>
        <v>0.20897292743873411</v>
      </c>
      <c r="P99">
        <f t="shared" si="59"/>
        <v>0.4</v>
      </c>
      <c r="Q99" s="463">
        <f t="shared" si="79"/>
        <v>0.6089729274387341</v>
      </c>
      <c r="R99" s="9">
        <f t="shared" si="87"/>
        <v>1.0324725704813573</v>
      </c>
      <c r="S99" s="9">
        <f t="shared" si="80"/>
        <v>2.1319992175927631E-3</v>
      </c>
      <c r="T99" s="9">
        <f t="shared" si="88"/>
        <v>2.1319992175927631E-3</v>
      </c>
      <c r="U99" s="463">
        <f t="shared" si="60"/>
        <v>3.5694628253791789</v>
      </c>
      <c r="V99" s="465">
        <f t="shared" si="81"/>
        <v>4.2045514043820911E-3</v>
      </c>
      <c r="W99" s="463">
        <f t="shared" si="89"/>
        <v>4.2045514043820911E-3</v>
      </c>
      <c r="X99" s="463">
        <f t="shared" si="61"/>
        <v>3.5694628253791789</v>
      </c>
      <c r="Y99" s="463">
        <f t="shared" si="82"/>
        <v>5.0964259447055647E-2</v>
      </c>
      <c r="Z99" s="463">
        <f t="shared" si="62"/>
        <v>0.18766559224708335</v>
      </c>
      <c r="AA99" s="463">
        <f t="shared" si="63"/>
        <v>3.0000000000000002E-2</v>
      </c>
      <c r="AB99" s="463">
        <f t="shared" si="64"/>
        <v>0</v>
      </c>
      <c r="AC99" s="463">
        <f t="shared" si="65"/>
        <v>0.27000591685401781</v>
      </c>
      <c r="AD99" s="463">
        <f t="shared" si="66"/>
        <v>4.181499102837698</v>
      </c>
      <c r="AE99" s="463">
        <f t="shared" si="83"/>
        <v>6.9939738988129885E-2</v>
      </c>
      <c r="AF99" s="463">
        <f t="shared" si="67"/>
        <v>8.1000000000000003E-2</v>
      </c>
      <c r="AG99" s="463">
        <f t="shared" si="68"/>
        <v>0.15200284290394547</v>
      </c>
      <c r="AH99" s="463">
        <f t="shared" si="69"/>
        <v>0</v>
      </c>
      <c r="AI99">
        <f t="shared" si="70"/>
        <v>0</v>
      </c>
      <c r="AJ99" s="464">
        <f t="shared" si="71"/>
        <v>0.119784</v>
      </c>
      <c r="AK99">
        <f t="shared" si="84"/>
        <v>3.6000000000000004E-2</v>
      </c>
      <c r="AL99" s="464">
        <f t="shared" si="85"/>
        <v>0.27</v>
      </c>
      <c r="AM99" s="464">
        <f t="shared" si="86"/>
        <v>0.17963774597495527</v>
      </c>
      <c r="AN99" s="464">
        <f t="shared" si="90"/>
        <v>0.30600000000000005</v>
      </c>
      <c r="AO99" s="464">
        <f t="shared" si="72"/>
        <v>1.4631022378186722</v>
      </c>
      <c r="AP99" s="100">
        <f t="shared" si="73"/>
        <v>27</v>
      </c>
      <c r="AQ99" s="10">
        <f t="shared" si="91"/>
        <v>0.94859652944384043</v>
      </c>
      <c r="AR99" s="77">
        <f t="shared" si="74"/>
        <v>6.7501479213504449</v>
      </c>
      <c r="AS99" s="77">
        <f t="shared" si="92"/>
        <v>3.8000710725986369</v>
      </c>
      <c r="AT99" s="10"/>
      <c r="AU99">
        <f t="shared" si="93"/>
        <v>94.859652944384038</v>
      </c>
      <c r="BE99" s="31"/>
      <c r="BF99" s="32"/>
    </row>
    <row r="100" spans="7:58" x14ac:dyDescent="0.15">
      <c r="G100">
        <v>91</v>
      </c>
      <c r="H100">
        <f t="shared" si="55"/>
        <v>5.46</v>
      </c>
      <c r="I100" s="463">
        <f t="shared" si="75"/>
        <v>0.42158066666666666</v>
      </c>
      <c r="J100" s="464">
        <f t="shared" si="56"/>
        <v>3.5770480808080807</v>
      </c>
      <c r="K100" s="464">
        <f t="shared" si="76"/>
        <v>7.2485240404040407</v>
      </c>
      <c r="L100" s="464">
        <f t="shared" si="77"/>
        <v>3.6714759595959596</v>
      </c>
      <c r="M100" s="77">
        <f t="shared" si="57"/>
        <v>0</v>
      </c>
      <c r="N100" s="463">
        <f t="shared" si="58"/>
        <v>5.5567861887696433</v>
      </c>
      <c r="O100" s="463">
        <f t="shared" si="78"/>
        <v>0.21355676789912534</v>
      </c>
      <c r="P100">
        <f t="shared" si="59"/>
        <v>0.4</v>
      </c>
      <c r="Q100" s="463">
        <f t="shared" si="79"/>
        <v>0.61355676789912539</v>
      </c>
      <c r="R100" s="9">
        <f t="shared" si="87"/>
        <v>1.0326048361793898</v>
      </c>
      <c r="S100" s="9">
        <f t="shared" si="80"/>
        <v>2.1325454954021291E-3</v>
      </c>
      <c r="T100" s="9">
        <f t="shared" si="88"/>
        <v>2.1325454954021291E-3</v>
      </c>
      <c r="U100" s="463">
        <f t="shared" si="60"/>
        <v>3.6079792374990616</v>
      </c>
      <c r="V100" s="465">
        <f t="shared" si="81"/>
        <v>4.2957796788140219E-3</v>
      </c>
      <c r="W100" s="463">
        <f t="shared" si="89"/>
        <v>4.2957796788140219E-3</v>
      </c>
      <c r="X100" s="463">
        <f t="shared" si="61"/>
        <v>3.6079792374990616</v>
      </c>
      <c r="Y100" s="463">
        <f t="shared" si="82"/>
        <v>5.2070056712897245E-2</v>
      </c>
      <c r="Z100" s="463">
        <f t="shared" si="62"/>
        <v>0.18949140621916724</v>
      </c>
      <c r="AA100" s="463">
        <f t="shared" si="63"/>
        <v>3.0000000000000002E-2</v>
      </c>
      <c r="AB100" s="463">
        <f t="shared" si="64"/>
        <v>0</v>
      </c>
      <c r="AC100" s="463">
        <f t="shared" si="65"/>
        <v>0.27298288636955581</v>
      </c>
      <c r="AD100" s="463">
        <f t="shared" si="66"/>
        <v>4.2261517447290924</v>
      </c>
      <c r="AE100" s="463">
        <f t="shared" si="83"/>
        <v>7.1441434277907015E-2</v>
      </c>
      <c r="AF100" s="463">
        <f t="shared" si="67"/>
        <v>8.1900000000000001E-2</v>
      </c>
      <c r="AG100" s="463">
        <f t="shared" si="68"/>
        <v>0.15444481015332026</v>
      </c>
      <c r="AH100" s="463">
        <f t="shared" si="69"/>
        <v>0</v>
      </c>
      <c r="AI100">
        <f t="shared" si="70"/>
        <v>0</v>
      </c>
      <c r="AJ100" s="464">
        <f t="shared" si="71"/>
        <v>0.11978160000000002</v>
      </c>
      <c r="AK100">
        <f t="shared" si="84"/>
        <v>3.6000000000000004E-2</v>
      </c>
      <c r="AL100" s="464">
        <f t="shared" si="85"/>
        <v>0.27</v>
      </c>
      <c r="AM100" s="464">
        <f t="shared" si="86"/>
        <v>0.17963774597495527</v>
      </c>
      <c r="AN100" s="464">
        <f t="shared" si="90"/>
        <v>0.30600000000000005</v>
      </c>
      <c r="AO100" s="464">
        <f t="shared" si="72"/>
        <v>1.4731943895962176</v>
      </c>
      <c r="AP100" s="100">
        <f t="shared" si="73"/>
        <v>27.3</v>
      </c>
      <c r="AQ100" s="10">
        <f t="shared" si="91"/>
        <v>0.94879976238825636</v>
      </c>
      <c r="AR100" s="77">
        <f t="shared" si="74"/>
        <v>6.8245721592388957</v>
      </c>
      <c r="AS100" s="77">
        <f t="shared" si="92"/>
        <v>3.8611202538330067</v>
      </c>
      <c r="AT100" s="10"/>
      <c r="AU100">
        <f t="shared" si="93"/>
        <v>94.879976238825634</v>
      </c>
      <c r="BE100" s="31"/>
      <c r="BF100" s="32"/>
    </row>
    <row r="101" spans="7:58" x14ac:dyDescent="0.15">
      <c r="G101">
        <v>92</v>
      </c>
      <c r="H101">
        <f t="shared" si="55"/>
        <v>5.5200000000000005</v>
      </c>
      <c r="I101" s="463">
        <f t="shared" si="75"/>
        <v>0.42163466666666666</v>
      </c>
      <c r="J101" s="464">
        <f t="shared" si="56"/>
        <v>3.5775062626262626</v>
      </c>
      <c r="K101" s="464">
        <f t="shared" si="76"/>
        <v>7.3087531313131322</v>
      </c>
      <c r="L101" s="464">
        <f t="shared" si="77"/>
        <v>3.7312468686868692</v>
      </c>
      <c r="M101" s="77">
        <f t="shared" si="57"/>
        <v>0</v>
      </c>
      <c r="N101" s="463">
        <f t="shared" si="58"/>
        <v>5.6157765199119334</v>
      </c>
      <c r="O101" s="463">
        <f t="shared" si="78"/>
        <v>0.2181946003401945</v>
      </c>
      <c r="P101">
        <f t="shared" si="59"/>
        <v>0.4</v>
      </c>
      <c r="Q101" s="463">
        <f t="shared" si="79"/>
        <v>0.61819460034019458</v>
      </c>
      <c r="R101" s="9">
        <f t="shared" si="87"/>
        <v>1.0327371018774225</v>
      </c>
      <c r="S101" s="9">
        <f t="shared" si="80"/>
        <v>2.1330918431883557E-3</v>
      </c>
      <c r="T101" s="9">
        <f t="shared" si="88"/>
        <v>2.1330918431883557E-3</v>
      </c>
      <c r="U101" s="463">
        <f t="shared" si="60"/>
        <v>3.6465147307169974</v>
      </c>
      <c r="V101" s="465">
        <f t="shared" si="81"/>
        <v>4.3880329948408989E-3</v>
      </c>
      <c r="W101" s="463">
        <f t="shared" si="89"/>
        <v>4.3880329948408989E-3</v>
      </c>
      <c r="X101" s="463">
        <f t="shared" si="61"/>
        <v>3.6465147307169974</v>
      </c>
      <c r="Y101" s="463">
        <f t="shared" si="82"/>
        <v>5.3188278725344228E-2</v>
      </c>
      <c r="Z101" s="463">
        <f t="shared" si="62"/>
        <v>0.19131722019125114</v>
      </c>
      <c r="AA101" s="463">
        <f t="shared" si="63"/>
        <v>3.0000000000000002E-2</v>
      </c>
      <c r="AB101" s="463">
        <f t="shared" si="64"/>
        <v>0</v>
      </c>
      <c r="AC101" s="463">
        <f t="shared" si="65"/>
        <v>0.27597335368223724</v>
      </c>
      <c r="AD101" s="463">
        <f t="shared" si="66"/>
        <v>4.2708168118356626</v>
      </c>
      <c r="AE101" s="463">
        <f t="shared" si="83"/>
        <v>7.295950496103254E-2</v>
      </c>
      <c r="AF101" s="463">
        <f t="shared" si="67"/>
        <v>8.2799999999999999E-2</v>
      </c>
      <c r="AG101" s="463">
        <f t="shared" si="68"/>
        <v>0.15690427075307412</v>
      </c>
      <c r="AH101" s="463">
        <f t="shared" si="69"/>
        <v>0</v>
      </c>
      <c r="AI101">
        <f t="shared" si="70"/>
        <v>0</v>
      </c>
      <c r="AJ101" s="464">
        <f t="shared" si="71"/>
        <v>0.11977919999999999</v>
      </c>
      <c r="AK101">
        <f t="shared" si="84"/>
        <v>3.6000000000000004E-2</v>
      </c>
      <c r="AL101" s="464">
        <f t="shared" si="85"/>
        <v>0.27</v>
      </c>
      <c r="AM101" s="464">
        <f t="shared" si="86"/>
        <v>0.17963774597495527</v>
      </c>
      <c r="AN101" s="464">
        <f t="shared" si="90"/>
        <v>0.30600000000000005</v>
      </c>
      <c r="AO101" s="464">
        <f t="shared" si="72"/>
        <v>1.4833725496135353</v>
      </c>
      <c r="AP101" s="100">
        <f t="shared" si="73"/>
        <v>27.6</v>
      </c>
      <c r="AQ101" s="10">
        <f t="shared" si="91"/>
        <v>0.94899585503424544</v>
      </c>
      <c r="AR101" s="77">
        <f t="shared" si="74"/>
        <v>6.8993338420559311</v>
      </c>
      <c r="AS101" s="77">
        <f t="shared" si="92"/>
        <v>3.9226067688268529</v>
      </c>
      <c r="AT101" s="10"/>
      <c r="AU101">
        <f t="shared" si="93"/>
        <v>94.899585503424547</v>
      </c>
      <c r="BE101" s="31"/>
      <c r="BF101" s="32"/>
    </row>
    <row r="102" spans="7:58" x14ac:dyDescent="0.15">
      <c r="G102">
        <v>93</v>
      </c>
      <c r="H102">
        <f t="shared" si="55"/>
        <v>5.58</v>
      </c>
      <c r="I102" s="463">
        <f t="shared" si="75"/>
        <v>0.42168866666666666</v>
      </c>
      <c r="J102" s="464">
        <f t="shared" si="56"/>
        <v>3.5779644444444445</v>
      </c>
      <c r="K102" s="464">
        <f t="shared" si="76"/>
        <v>7.3689822222222219</v>
      </c>
      <c r="L102" s="464">
        <f t="shared" si="77"/>
        <v>3.7910177777777778</v>
      </c>
      <c r="M102" s="77">
        <f t="shared" si="57"/>
        <v>0</v>
      </c>
      <c r="N102" s="463">
        <f t="shared" si="58"/>
        <v>5.6747880251579197</v>
      </c>
      <c r="O102" s="463">
        <f t="shared" si="78"/>
        <v>0.22288653934000913</v>
      </c>
      <c r="P102">
        <f t="shared" si="59"/>
        <v>0.4</v>
      </c>
      <c r="Q102" s="463">
        <f t="shared" si="79"/>
        <v>0.62288653934000915</v>
      </c>
      <c r="R102" s="9">
        <f t="shared" si="87"/>
        <v>1.032869367575455</v>
      </c>
      <c r="S102" s="9">
        <f t="shared" si="80"/>
        <v>2.1336382609514408E-3</v>
      </c>
      <c r="T102" s="9">
        <f t="shared" si="88"/>
        <v>2.1336382609514408E-3</v>
      </c>
      <c r="U102" s="463">
        <f t="shared" si="60"/>
        <v>3.6850688646896144</v>
      </c>
      <c r="V102" s="465">
        <f t="shared" si="81"/>
        <v>4.4813117373765851E-3</v>
      </c>
      <c r="W102" s="463">
        <f t="shared" si="89"/>
        <v>4.4813117373765851E-3</v>
      </c>
      <c r="X102" s="463">
        <f t="shared" si="61"/>
        <v>3.6850688646896144</v>
      </c>
      <c r="Y102" s="463">
        <f t="shared" si="82"/>
        <v>5.4318930150019214E-2</v>
      </c>
      <c r="Z102" s="463">
        <f t="shared" si="62"/>
        <v>0.193143034163335</v>
      </c>
      <c r="AA102" s="463">
        <f t="shared" si="63"/>
        <v>3.0000000000000002E-2</v>
      </c>
      <c r="AB102" s="463">
        <f t="shared" si="64"/>
        <v>0</v>
      </c>
      <c r="AC102" s="463">
        <f t="shared" si="65"/>
        <v>0.27897733937444613</v>
      </c>
      <c r="AD102" s="463">
        <f t="shared" si="66"/>
        <v>4.3154937832154188</v>
      </c>
      <c r="AE102" s="463">
        <f t="shared" si="83"/>
        <v>7.449394637188371E-2</v>
      </c>
      <c r="AF102" s="463">
        <f t="shared" si="67"/>
        <v>8.3699999999999997E-2</v>
      </c>
      <c r="AG102" s="463">
        <f t="shared" si="68"/>
        <v>0.15938124012735688</v>
      </c>
      <c r="AH102" s="463">
        <f t="shared" si="69"/>
        <v>0</v>
      </c>
      <c r="AI102">
        <f t="shared" si="70"/>
        <v>0</v>
      </c>
      <c r="AJ102" s="464">
        <f t="shared" si="71"/>
        <v>0.1197768</v>
      </c>
      <c r="AK102">
        <f t="shared" si="84"/>
        <v>3.6000000000000004E-2</v>
      </c>
      <c r="AL102" s="464">
        <f t="shared" si="85"/>
        <v>0.27</v>
      </c>
      <c r="AM102" s="464">
        <f t="shared" si="86"/>
        <v>0.17963774597495527</v>
      </c>
      <c r="AN102" s="464">
        <f t="shared" si="90"/>
        <v>0.30600000000000005</v>
      </c>
      <c r="AO102" s="464">
        <f t="shared" si="72"/>
        <v>1.4936368688401402</v>
      </c>
      <c r="AP102" s="100">
        <f t="shared" si="73"/>
        <v>27.9</v>
      </c>
      <c r="AQ102" s="10">
        <f t="shared" si="91"/>
        <v>0.94918502683063599</v>
      </c>
      <c r="AR102" s="77">
        <f t="shared" si="74"/>
        <v>6.9744334843611533</v>
      </c>
      <c r="AS102" s="77">
        <f t="shared" si="92"/>
        <v>3.9845310031839221</v>
      </c>
      <c r="AT102" s="10"/>
      <c r="AU102">
        <f t="shared" si="93"/>
        <v>94.918502683063593</v>
      </c>
      <c r="BE102" s="31"/>
      <c r="BF102" s="32"/>
    </row>
    <row r="103" spans="7:58" x14ac:dyDescent="0.15">
      <c r="G103">
        <v>94</v>
      </c>
      <c r="H103">
        <f t="shared" si="55"/>
        <v>5.64</v>
      </c>
      <c r="I103" s="463">
        <f t="shared" si="75"/>
        <v>0.42174266666666665</v>
      </c>
      <c r="J103" s="464">
        <f t="shared" si="56"/>
        <v>3.578422626262626</v>
      </c>
      <c r="K103" s="464">
        <f t="shared" si="76"/>
        <v>7.4292113131313124</v>
      </c>
      <c r="L103" s="464">
        <f t="shared" si="77"/>
        <v>3.8507886868686869</v>
      </c>
      <c r="M103" s="77">
        <f t="shared" si="57"/>
        <v>0</v>
      </c>
      <c r="N103" s="463">
        <f t="shared" si="58"/>
        <v>5.7338200507467691</v>
      </c>
      <c r="O103" s="463">
        <f t="shared" si="78"/>
        <v>0.22763270093957433</v>
      </c>
      <c r="P103">
        <f t="shared" si="59"/>
        <v>0.4</v>
      </c>
      <c r="Q103" s="463">
        <f t="shared" si="79"/>
        <v>0.62763270093957435</v>
      </c>
      <c r="R103" s="9">
        <f t="shared" si="87"/>
        <v>1.0330016332734875</v>
      </c>
      <c r="S103" s="9">
        <f t="shared" si="80"/>
        <v>2.1341847486913857E-3</v>
      </c>
      <c r="T103" s="9">
        <f t="shared" si="88"/>
        <v>2.1341847486913857E-3</v>
      </c>
      <c r="U103" s="463">
        <f t="shared" si="60"/>
        <v>3.7236412170261803</v>
      </c>
      <c r="V103" s="465">
        <f t="shared" si="81"/>
        <v>4.5756162913349503E-3</v>
      </c>
      <c r="W103" s="463">
        <f t="shared" si="89"/>
        <v>4.5756162913349503E-3</v>
      </c>
      <c r="X103" s="463">
        <f t="shared" si="61"/>
        <v>3.7236412170261803</v>
      </c>
      <c r="Y103" s="463">
        <f t="shared" si="82"/>
        <v>5.5462015652544855E-2</v>
      </c>
      <c r="Z103" s="463">
        <f t="shared" si="62"/>
        <v>0.19496884813541887</v>
      </c>
      <c r="AA103" s="463">
        <f t="shared" si="63"/>
        <v>3.0000000000000002E-2</v>
      </c>
      <c r="AB103" s="463">
        <f t="shared" si="64"/>
        <v>0</v>
      </c>
      <c r="AC103" s="463">
        <f t="shared" si="65"/>
        <v>0.28199486414487779</v>
      </c>
      <c r="AD103" s="463">
        <f t="shared" si="66"/>
        <v>4.3601821591774659</v>
      </c>
      <c r="AE103" s="463">
        <f t="shared" si="83"/>
        <v>7.6044753844837873E-2</v>
      </c>
      <c r="AF103" s="463">
        <f t="shared" si="67"/>
        <v>8.4599999999999995E-2</v>
      </c>
      <c r="AG103" s="463">
        <f t="shared" si="68"/>
        <v>0.16187573387846188</v>
      </c>
      <c r="AH103" s="463">
        <f t="shared" si="69"/>
        <v>0</v>
      </c>
      <c r="AI103">
        <f t="shared" si="70"/>
        <v>0</v>
      </c>
      <c r="AJ103" s="464">
        <f t="shared" si="71"/>
        <v>0.1197744</v>
      </c>
      <c r="AK103">
        <f t="shared" si="84"/>
        <v>3.6000000000000004E-2</v>
      </c>
      <c r="AL103" s="464">
        <f t="shared" si="85"/>
        <v>0.27</v>
      </c>
      <c r="AM103" s="464">
        <f t="shared" si="86"/>
        <v>0.17963774597495527</v>
      </c>
      <c r="AN103" s="464">
        <f t="shared" si="90"/>
        <v>0.30600000000000005</v>
      </c>
      <c r="AO103" s="464">
        <f t="shared" si="72"/>
        <v>1.5039875000029403</v>
      </c>
      <c r="AP103" s="100">
        <f t="shared" si="73"/>
        <v>28.2</v>
      </c>
      <c r="AQ103" s="10">
        <f t="shared" si="91"/>
        <v>0.94936748811913585</v>
      </c>
      <c r="AR103" s="77">
        <f t="shared" si="74"/>
        <v>7.0498716036219449</v>
      </c>
      <c r="AS103" s="77">
        <f t="shared" si="92"/>
        <v>4.0468933469615473</v>
      </c>
      <c r="AT103" s="10"/>
      <c r="AU103">
        <f t="shared" si="93"/>
        <v>94.936748811913588</v>
      </c>
      <c r="BE103" s="31"/>
      <c r="BF103" s="32"/>
    </row>
    <row r="104" spans="7:58" x14ac:dyDescent="0.15">
      <c r="G104">
        <v>95</v>
      </c>
      <c r="H104">
        <f t="shared" si="55"/>
        <v>5.6999999999999993</v>
      </c>
      <c r="I104" s="463">
        <f t="shared" si="75"/>
        <v>0.42179666666666665</v>
      </c>
      <c r="J104" s="464">
        <f t="shared" si="56"/>
        <v>3.5788808080808079</v>
      </c>
      <c r="K104" s="464">
        <f t="shared" si="76"/>
        <v>7.489440404040403</v>
      </c>
      <c r="L104" s="464">
        <f t="shared" si="77"/>
        <v>3.9105595959595956</v>
      </c>
      <c r="M104" s="77">
        <f t="shared" si="57"/>
        <v>0</v>
      </c>
      <c r="N104" s="463">
        <f t="shared" si="58"/>
        <v>5.7928719693433663</v>
      </c>
      <c r="O104" s="463">
        <f t="shared" si="78"/>
        <v>0.23243320265016237</v>
      </c>
      <c r="P104">
        <f t="shared" si="59"/>
        <v>0.4</v>
      </c>
      <c r="Q104" s="463">
        <f t="shared" si="79"/>
        <v>0.63243320265016245</v>
      </c>
      <c r="R104" s="9">
        <f t="shared" si="87"/>
        <v>1.03313389897152</v>
      </c>
      <c r="S104" s="9">
        <f t="shared" si="80"/>
        <v>2.13473130640819E-3</v>
      </c>
      <c r="T104" s="9">
        <f t="shared" si="88"/>
        <v>2.13473130640819E-3</v>
      </c>
      <c r="U104" s="463">
        <f t="shared" si="60"/>
        <v>3.7622313823894427</v>
      </c>
      <c r="V104" s="465">
        <f t="shared" si="81"/>
        <v>4.6709470416298722E-3</v>
      </c>
      <c r="W104" s="463">
        <f t="shared" si="89"/>
        <v>4.6709470416298722E-3</v>
      </c>
      <c r="X104" s="463">
        <f t="shared" si="61"/>
        <v>3.7622313823894427</v>
      </c>
      <c r="Y104" s="463">
        <f t="shared" si="82"/>
        <v>5.6617539898543914E-2</v>
      </c>
      <c r="Z104" s="463">
        <f t="shared" si="62"/>
        <v>0.19679466210750274</v>
      </c>
      <c r="AA104" s="463">
        <f t="shared" si="63"/>
        <v>3.0000000000000002E-2</v>
      </c>
      <c r="AB104" s="463">
        <f t="shared" si="64"/>
        <v>0</v>
      </c>
      <c r="AC104" s="463">
        <f t="shared" si="65"/>
        <v>0.28502594880892762</v>
      </c>
      <c r="AD104" s="463">
        <f t="shared" si="66"/>
        <v>4.4048814602175295</v>
      </c>
      <c r="AE104" s="463">
        <f t="shared" si="83"/>
        <v>7.761192271427246E-2</v>
      </c>
      <c r="AF104" s="463">
        <f t="shared" si="67"/>
        <v>8.5499999999999993E-2</v>
      </c>
      <c r="AG104" s="463">
        <f t="shared" si="68"/>
        <v>0.16438776778713915</v>
      </c>
      <c r="AH104" s="463">
        <f t="shared" si="69"/>
        <v>0</v>
      </c>
      <c r="AI104">
        <f t="shared" si="70"/>
        <v>0</v>
      </c>
      <c r="AJ104" s="464">
        <f t="shared" si="71"/>
        <v>0.119772</v>
      </c>
      <c r="AK104">
        <f t="shared" si="84"/>
        <v>3.6000000000000004E-2</v>
      </c>
      <c r="AL104" s="464">
        <f t="shared" si="85"/>
        <v>0.27</v>
      </c>
      <c r="AM104" s="464">
        <f t="shared" si="86"/>
        <v>0.17963774597495527</v>
      </c>
      <c r="AN104" s="464">
        <f t="shared" si="90"/>
        <v>0.30600000000000005</v>
      </c>
      <c r="AO104" s="464">
        <f t="shared" si="72"/>
        <v>1.5144245975942674</v>
      </c>
      <c r="AP104" s="100">
        <f t="shared" si="73"/>
        <v>28.499999999999996</v>
      </c>
      <c r="AQ104" s="10">
        <f t="shared" si="91"/>
        <v>0.94954344059903606</v>
      </c>
      <c r="AR104" s="77">
        <f t="shared" si="74"/>
        <v>7.1256487202231904</v>
      </c>
      <c r="AS104" s="77">
        <f t="shared" si="92"/>
        <v>4.1096941946784789</v>
      </c>
      <c r="AT104" s="10"/>
      <c r="AU104">
        <f t="shared" si="93"/>
        <v>94.954344059903605</v>
      </c>
      <c r="BE104" s="31"/>
      <c r="BF104" s="32"/>
    </row>
    <row r="105" spans="7:58" x14ac:dyDescent="0.15">
      <c r="G105">
        <v>96</v>
      </c>
      <c r="H105">
        <f t="shared" si="55"/>
        <v>5.76</v>
      </c>
      <c r="I105" s="463">
        <f t="shared" si="75"/>
        <v>0.42185066666666665</v>
      </c>
      <c r="J105" s="464">
        <f t="shared" si="56"/>
        <v>3.5793389898989898</v>
      </c>
      <c r="K105" s="464">
        <f t="shared" si="76"/>
        <v>7.5496694949494945</v>
      </c>
      <c r="L105" s="464">
        <f t="shared" si="77"/>
        <v>3.9703305050505051</v>
      </c>
      <c r="M105" s="77">
        <f t="shared" si="57"/>
        <v>0</v>
      </c>
      <c r="N105" s="463">
        <f t="shared" si="58"/>
        <v>5.851943178727125</v>
      </c>
      <c r="O105" s="463">
        <f t="shared" si="78"/>
        <v>0.23728816346074699</v>
      </c>
      <c r="P105">
        <f t="shared" si="59"/>
        <v>0.4</v>
      </c>
      <c r="Q105" s="463">
        <f t="shared" si="79"/>
        <v>0.63728816346074701</v>
      </c>
      <c r="R105" s="9">
        <f t="shared" si="87"/>
        <v>1.0332661646695525</v>
      </c>
      <c r="S105" s="9">
        <f t="shared" si="80"/>
        <v>2.1352779341018537E-3</v>
      </c>
      <c r="T105" s="9">
        <f t="shared" si="88"/>
        <v>2.1352779341018537E-3</v>
      </c>
      <c r="U105" s="463">
        <f t="shared" si="60"/>
        <v>3.8008389716495152</v>
      </c>
      <c r="V105" s="465">
        <f t="shared" si="81"/>
        <v>4.7673043731752155E-3</v>
      </c>
      <c r="W105" s="463">
        <f t="shared" si="89"/>
        <v>4.7673043731752155E-3</v>
      </c>
      <c r="X105" s="463">
        <f t="shared" si="61"/>
        <v>3.8008389716495152</v>
      </c>
      <c r="Y105" s="463">
        <f t="shared" si="82"/>
        <v>5.7785507553638982E-2</v>
      </c>
      <c r="Z105" s="463">
        <f t="shared" si="62"/>
        <v>0.19862047607958666</v>
      </c>
      <c r="AA105" s="463">
        <f t="shared" si="63"/>
        <v>3.0000000000000002E-2</v>
      </c>
      <c r="AB105" s="463">
        <f t="shared" si="64"/>
        <v>0</v>
      </c>
      <c r="AC105" s="463">
        <f t="shared" ref="AC105:AC109" si="94">(AB105+AA105+Z105+Y105*(1+RdsonTopTc*Ta-RdsonTopTc*25))/(1-Y105*RdsonTopTc*ThetaJaTop)</f>
        <v>0.28807061429908176</v>
      </c>
      <c r="AD105" s="463">
        <f t="shared" si="66"/>
        <v>4.4495912260162944</v>
      </c>
      <c r="AE105" s="463">
        <f t="shared" si="83"/>
        <v>7.9195448314564765E-2</v>
      </c>
      <c r="AF105" s="463">
        <f t="shared" si="67"/>
        <v>8.6399999999999991E-2</v>
      </c>
      <c r="AG105" s="463">
        <f t="shared" ref="AG105:AG109" si="95">(AF105+AE105*(1+RdsonBotTc*Ta-RdsonBotTc*25))/(1-AE105*RdsonBotTc*ThetaJaBot)</f>
        <v>0.16691735781291236</v>
      </c>
      <c r="AH105" s="463">
        <f t="shared" si="69"/>
        <v>0</v>
      </c>
      <c r="AI105">
        <f t="shared" si="70"/>
        <v>0</v>
      </c>
      <c r="AJ105" s="464">
        <f t="shared" si="71"/>
        <v>0.1197696</v>
      </c>
      <c r="AK105">
        <f t="shared" si="84"/>
        <v>3.6000000000000004E-2</v>
      </c>
      <c r="AL105" s="464">
        <f t="shared" si="85"/>
        <v>0.27</v>
      </c>
      <c r="AM105" s="464">
        <f t="shared" si="86"/>
        <v>0.17963774597495527</v>
      </c>
      <c r="AN105" s="464">
        <f t="shared" si="90"/>
        <v>0.30600000000000005</v>
      </c>
      <c r="AO105" s="464">
        <f t="shared" ref="AO105:AO109" si="96">SUM(Q105,T105,W105,AC105,AJ105,AI105,AG105,AN105, AH105)</f>
        <v>1.5249483178800183</v>
      </c>
      <c r="AP105" s="100">
        <f t="shared" si="73"/>
        <v>28.799999999999997</v>
      </c>
      <c r="AQ105" s="10">
        <f t="shared" si="91"/>
        <v>0.94971307776373404</v>
      </c>
      <c r="AR105" s="77">
        <f t="shared" si="74"/>
        <v>7.2017653574770444</v>
      </c>
      <c r="AS105" s="77">
        <f t="shared" si="92"/>
        <v>4.1729339453228089</v>
      </c>
      <c r="AT105" s="10"/>
      <c r="AU105">
        <f t="shared" si="93"/>
        <v>94.971307776373408</v>
      </c>
      <c r="BE105" s="31"/>
      <c r="BF105" s="32"/>
    </row>
    <row r="106" spans="7:58" x14ac:dyDescent="0.15">
      <c r="G106">
        <v>97</v>
      </c>
      <c r="H106">
        <f t="shared" si="55"/>
        <v>5.82</v>
      </c>
      <c r="I106" s="463">
        <f t="shared" si="75"/>
        <v>0.42190466666666665</v>
      </c>
      <c r="J106" s="464">
        <f t="shared" si="56"/>
        <v>3.5797971717171717</v>
      </c>
      <c r="K106" s="464">
        <f t="shared" si="76"/>
        <v>7.6098985858585859</v>
      </c>
      <c r="L106" s="464">
        <f t="shared" si="77"/>
        <v>4.0301014141414147</v>
      </c>
      <c r="M106" s="77">
        <f t="shared" si="57"/>
        <v>0</v>
      </c>
      <c r="N106" s="463">
        <f t="shared" si="58"/>
        <v>5.9110331005574821</v>
      </c>
      <c r="O106" s="463">
        <f t="shared" si="78"/>
        <v>0.24219770384554343</v>
      </c>
      <c r="P106">
        <f t="shared" si="59"/>
        <v>0.4</v>
      </c>
      <c r="Q106" s="463">
        <f t="shared" si="79"/>
        <v>0.64219770384554342</v>
      </c>
      <c r="R106" s="9">
        <f t="shared" si="87"/>
        <v>1.0333984303675852</v>
      </c>
      <c r="S106" s="9">
        <f t="shared" si="80"/>
        <v>2.1358246317723776E-3</v>
      </c>
      <c r="T106" s="9">
        <f t="shared" si="88"/>
        <v>2.1358246317723776E-3</v>
      </c>
      <c r="U106" s="463">
        <f t="shared" si="60"/>
        <v>3.8394636110872562</v>
      </c>
      <c r="V106" s="465">
        <f t="shared" si="81"/>
        <v>4.8646886708848536E-3</v>
      </c>
      <c r="W106" s="463">
        <f t="shared" si="89"/>
        <v>4.8646886708848536E-3</v>
      </c>
      <c r="X106" s="463">
        <f t="shared" si="61"/>
        <v>3.8394636110872562</v>
      </c>
      <c r="Y106" s="463">
        <f t="shared" si="82"/>
        <v>5.8965923283452779E-2</v>
      </c>
      <c r="Z106" s="463">
        <f t="shared" si="62"/>
        <v>0.20044629005167056</v>
      </c>
      <c r="AA106" s="463">
        <f t="shared" si="63"/>
        <v>3.0000000000000002E-2</v>
      </c>
      <c r="AB106" s="463">
        <f t="shared" si="64"/>
        <v>0</v>
      </c>
      <c r="AC106" s="463">
        <f t="shared" si="94"/>
        <v>0.29112888166531076</v>
      </c>
      <c r="AD106" s="463">
        <f t="shared" si="66"/>
        <v>4.4943110144963274</v>
      </c>
      <c r="AE106" s="463">
        <f t="shared" si="83"/>
        <v>8.0795325980092036E-2</v>
      </c>
      <c r="AF106" s="463">
        <f t="shared" si="67"/>
        <v>8.7300000000000003E-2</v>
      </c>
      <c r="AG106" s="463">
        <f t="shared" si="95"/>
        <v>0.16946452009440072</v>
      </c>
      <c r="AH106" s="463">
        <f t="shared" si="69"/>
        <v>0</v>
      </c>
      <c r="AI106">
        <f t="shared" si="70"/>
        <v>0</v>
      </c>
      <c r="AJ106" s="464">
        <f t="shared" si="71"/>
        <v>0.1197672</v>
      </c>
      <c r="AK106">
        <f t="shared" si="84"/>
        <v>3.6000000000000004E-2</v>
      </c>
      <c r="AL106" s="464">
        <f t="shared" si="85"/>
        <v>0.27</v>
      </c>
      <c r="AM106" s="464">
        <f t="shared" si="86"/>
        <v>0.17963774597495527</v>
      </c>
      <c r="AN106" s="464">
        <f t="shared" si="90"/>
        <v>0.30600000000000005</v>
      </c>
      <c r="AO106" s="464">
        <f t="shared" si="96"/>
        <v>1.5355588189079123</v>
      </c>
      <c r="AP106" s="100">
        <f t="shared" si="73"/>
        <v>29.1</v>
      </c>
      <c r="AQ106" s="10">
        <f t="shared" si="91"/>
        <v>0.94987658531104768</v>
      </c>
      <c r="AR106" s="77">
        <f t="shared" si="74"/>
        <v>7.2782220416327688</v>
      </c>
      <c r="AS106" s="77">
        <f t="shared" si="92"/>
        <v>4.2366130023600181</v>
      </c>
      <c r="AT106" s="10"/>
      <c r="AU106">
        <f t="shared" si="93"/>
        <v>94.987658531104771</v>
      </c>
      <c r="BE106" s="31"/>
      <c r="BF106" s="32"/>
    </row>
    <row r="107" spans="7:58" x14ac:dyDescent="0.15">
      <c r="G107">
        <v>98</v>
      </c>
      <c r="H107">
        <f t="shared" si="55"/>
        <v>5.88</v>
      </c>
      <c r="I107" s="463">
        <f t="shared" si="75"/>
        <v>0.42195866666666665</v>
      </c>
      <c r="J107" s="464">
        <f t="shared" si="56"/>
        <v>3.5802553535353532</v>
      </c>
      <c r="K107" s="464">
        <f t="shared" si="76"/>
        <v>7.6701276767676765</v>
      </c>
      <c r="L107" s="464">
        <f t="shared" si="77"/>
        <v>4.0898723232323233</v>
      </c>
      <c r="M107" s="77">
        <f t="shared" si="57"/>
        <v>0</v>
      </c>
      <c r="N107" s="463">
        <f t="shared" si="58"/>
        <v>5.9701411792109136</v>
      </c>
      <c r="O107" s="463">
        <f t="shared" si="78"/>
        <v>0.24716194577165418</v>
      </c>
      <c r="P107">
        <f t="shared" si="59"/>
        <v>0.4</v>
      </c>
      <c r="Q107" s="463">
        <f t="shared" si="79"/>
        <v>0.6471619457716542</v>
      </c>
      <c r="R107" s="9">
        <f t="shared" si="87"/>
        <v>1.0335306960656174</v>
      </c>
      <c r="S107" s="9">
        <f t="shared" si="80"/>
        <v>2.1363713994197596E-3</v>
      </c>
      <c r="T107" s="9">
        <f t="shared" si="88"/>
        <v>2.1363713994197596E-3</v>
      </c>
      <c r="U107" s="463">
        <f t="shared" si="60"/>
        <v>3.8781049416437896</v>
      </c>
      <c r="V107" s="465">
        <f t="shared" si="81"/>
        <v>4.9631003196726536E-3</v>
      </c>
      <c r="W107" s="463">
        <f t="shared" si="89"/>
        <v>4.9631003196726536E-3</v>
      </c>
      <c r="X107" s="463">
        <f t="shared" si="61"/>
        <v>3.8781049416437896</v>
      </c>
      <c r="Y107" s="463">
        <f t="shared" si="82"/>
        <v>6.0158791753607922E-2</v>
      </c>
      <c r="Z107" s="463">
        <f t="shared" si="62"/>
        <v>0.20227210402375442</v>
      </c>
      <c r="AA107" s="463">
        <f t="shared" si="63"/>
        <v>3.0000000000000002E-2</v>
      </c>
      <c r="AB107" s="463">
        <f t="shared" si="64"/>
        <v>0</v>
      </c>
      <c r="AC107" s="463">
        <f t="shared" si="94"/>
        <v>0.29420077207546624</v>
      </c>
      <c r="AD107" s="463">
        <f t="shared" si="66"/>
        <v>4.5390404009336489</v>
      </c>
      <c r="AE107" s="463">
        <f t="shared" si="83"/>
        <v>8.241155104523161E-2</v>
      </c>
      <c r="AF107" s="463">
        <f t="shared" si="67"/>
        <v>8.8200000000000001E-2</v>
      </c>
      <c r="AG107" s="463">
        <f t="shared" si="95"/>
        <v>0.17202927094964571</v>
      </c>
      <c r="AH107" s="463">
        <f t="shared" si="69"/>
        <v>0</v>
      </c>
      <c r="AI107">
        <f t="shared" si="70"/>
        <v>0</v>
      </c>
      <c r="AJ107" s="464">
        <f t="shared" si="71"/>
        <v>0.1197648</v>
      </c>
      <c r="AK107">
        <f t="shared" si="84"/>
        <v>3.6000000000000004E-2</v>
      </c>
      <c r="AL107" s="464">
        <f t="shared" si="85"/>
        <v>0.27</v>
      </c>
      <c r="AM107" s="464">
        <f t="shared" si="86"/>
        <v>0.17963774597495527</v>
      </c>
      <c r="AN107" s="464">
        <f t="shared" si="90"/>
        <v>0.30600000000000005</v>
      </c>
      <c r="AO107" s="464">
        <f t="shared" si="96"/>
        <v>1.5462562605158587</v>
      </c>
      <c r="AP107" s="100">
        <f t="shared" si="73"/>
        <v>29.4</v>
      </c>
      <c r="AQ107" s="10">
        <f t="shared" si="91"/>
        <v>0.95003414152914134</v>
      </c>
      <c r="AR107" s="77">
        <f t="shared" si="74"/>
        <v>7.3550193018866565</v>
      </c>
      <c r="AS107" s="77">
        <f t="shared" si="92"/>
        <v>4.300731773741143</v>
      </c>
      <c r="AT107" s="10"/>
      <c r="AU107">
        <f t="shared" si="93"/>
        <v>95.003414152914132</v>
      </c>
      <c r="BE107" s="31"/>
      <c r="BF107" s="32"/>
    </row>
    <row r="108" spans="7:58" x14ac:dyDescent="0.15">
      <c r="G108">
        <v>99</v>
      </c>
      <c r="H108">
        <f t="shared" si="55"/>
        <v>5.9399999999999995</v>
      </c>
      <c r="I108" s="463">
        <f t="shared" si="75"/>
        <v>0.42201266666666665</v>
      </c>
      <c r="J108" s="464">
        <f t="shared" si="56"/>
        <v>3.5807135353535351</v>
      </c>
      <c r="K108" s="464">
        <f t="shared" si="76"/>
        <v>7.730356767676767</v>
      </c>
      <c r="L108" s="464">
        <f t="shared" si="77"/>
        <v>4.149643232323232</v>
      </c>
      <c r="M108" s="77">
        <f t="shared" si="57"/>
        <v>0</v>
      </c>
      <c r="N108" s="463">
        <f t="shared" si="58"/>
        <v>6.029266880684748</v>
      </c>
      <c r="O108" s="463">
        <f t="shared" si="78"/>
        <v>0.25218101270682258</v>
      </c>
      <c r="P108">
        <f t="shared" si="59"/>
        <v>0.4</v>
      </c>
      <c r="Q108" s="463">
        <f t="shared" si="79"/>
        <v>0.6521810127068226</v>
      </c>
      <c r="R108" s="9">
        <f t="shared" si="87"/>
        <v>1.0336629617636501</v>
      </c>
      <c r="S108" s="9">
        <f t="shared" si="80"/>
        <v>2.1369182370440023E-3</v>
      </c>
      <c r="T108" s="9">
        <f t="shared" si="88"/>
        <v>2.1369182370440023E-3</v>
      </c>
      <c r="U108" s="463">
        <f t="shared" si="60"/>
        <v>3.9167626182131308</v>
      </c>
      <c r="V108" s="465">
        <f t="shared" si="81"/>
        <v>5.0625397044524872E-3</v>
      </c>
      <c r="W108" s="463">
        <f t="shared" si="89"/>
        <v>5.0625397044524872E-3</v>
      </c>
      <c r="X108" s="463">
        <f t="shared" si="61"/>
        <v>3.9167626182131308</v>
      </c>
      <c r="Y108" s="463">
        <f t="shared" si="82"/>
        <v>6.136411762972712E-2</v>
      </c>
      <c r="Z108" s="463">
        <f t="shared" si="62"/>
        <v>0.20409791799583832</v>
      </c>
      <c r="AA108" s="463">
        <f t="shared" si="63"/>
        <v>3.0000000000000002E-2</v>
      </c>
      <c r="AB108" s="463">
        <f t="shared" si="64"/>
        <v>0</v>
      </c>
      <c r="AC108" s="463">
        <f t="shared" si="94"/>
        <v>0.29728630681567991</v>
      </c>
      <c r="AD108" s="463">
        <f t="shared" si="66"/>
        <v>4.5837789771203212</v>
      </c>
      <c r="AE108" s="463">
        <f t="shared" si="83"/>
        <v>8.4044118844360874E-2</v>
      </c>
      <c r="AF108" s="463">
        <f t="shared" si="67"/>
        <v>8.9099999999999985E-2</v>
      </c>
      <c r="AG108" s="463">
        <f t="shared" si="95"/>
        <v>0.17461162687644197</v>
      </c>
      <c r="AH108" s="463">
        <f t="shared" si="69"/>
        <v>0</v>
      </c>
      <c r="AI108">
        <f t="shared" si="70"/>
        <v>0</v>
      </c>
      <c r="AJ108" s="464">
        <f t="shared" si="71"/>
        <v>0.1197624</v>
      </c>
      <c r="AK108">
        <f t="shared" si="84"/>
        <v>3.6000000000000004E-2</v>
      </c>
      <c r="AL108" s="464">
        <f t="shared" si="85"/>
        <v>0.27</v>
      </c>
      <c r="AM108" s="464">
        <f t="shared" si="86"/>
        <v>0.17963774597495527</v>
      </c>
      <c r="AN108" s="464">
        <f t="shared" si="90"/>
        <v>0.30600000000000005</v>
      </c>
      <c r="AO108" s="464">
        <f t="shared" si="96"/>
        <v>1.5570408043404409</v>
      </c>
      <c r="AP108" s="100">
        <f t="shared" si="73"/>
        <v>29.699999999999996</v>
      </c>
      <c r="AQ108" s="10">
        <f t="shared" si="91"/>
        <v>0.95018591765973481</v>
      </c>
      <c r="AR108" s="77">
        <f t="shared" si="74"/>
        <v>7.432157670391998</v>
      </c>
      <c r="AS108" s="77">
        <f t="shared" si="92"/>
        <v>4.3652906719110494</v>
      </c>
      <c r="AT108" s="10"/>
      <c r="AU108">
        <f t="shared" si="93"/>
        <v>95.018591765973483</v>
      </c>
      <c r="BE108" s="31"/>
      <c r="BF108" s="32"/>
    </row>
    <row r="109" spans="7:58" x14ac:dyDescent="0.15">
      <c r="G109">
        <v>100</v>
      </c>
      <c r="H109">
        <f t="shared" si="55"/>
        <v>6</v>
      </c>
      <c r="I109" s="463">
        <f t="shared" si="75"/>
        <v>0.42206666666666665</v>
      </c>
      <c r="J109" s="464">
        <f t="shared" si="56"/>
        <v>3.581171717171717</v>
      </c>
      <c r="K109" s="464">
        <f t="shared" si="76"/>
        <v>7.7905858585858585</v>
      </c>
      <c r="L109" s="464">
        <f t="shared" si="77"/>
        <v>4.2094141414141415</v>
      </c>
      <c r="M109" s="77">
        <f t="shared" si="57"/>
        <v>0</v>
      </c>
      <c r="N109" s="463">
        <f t="shared" si="58"/>
        <v>6.0884096915633519</v>
      </c>
      <c r="O109" s="463">
        <f t="shared" si="78"/>
        <v>0.25725502962729302</v>
      </c>
      <c r="P109">
        <f t="shared" si="59"/>
        <v>0.4</v>
      </c>
      <c r="Q109" s="463">
        <f t="shared" si="79"/>
        <v>0.65725502962729299</v>
      </c>
      <c r="R109" s="9">
        <f t="shared" si="87"/>
        <v>1.0337952274616826</v>
      </c>
      <c r="S109" s="9">
        <f t="shared" si="80"/>
        <v>2.1374651446451039E-3</v>
      </c>
      <c r="T109" s="9">
        <f t="shared" si="88"/>
        <v>2.1374651446451039E-3</v>
      </c>
      <c r="U109" s="463">
        <f t="shared" si="60"/>
        <v>3.955436308975063</v>
      </c>
      <c r="V109" s="465">
        <f t="shared" si="81"/>
        <v>5.1630072101382296E-3</v>
      </c>
      <c r="W109" s="463">
        <f t="shared" si="89"/>
        <v>5.1630072101382296E-3</v>
      </c>
      <c r="X109" s="463">
        <f t="shared" si="61"/>
        <v>3.955436308975063</v>
      </c>
      <c r="Y109" s="463">
        <f t="shared" si="82"/>
        <v>6.2581905577433081E-2</v>
      </c>
      <c r="Z109" s="463">
        <f t="shared" si="62"/>
        <v>0.20592373196792221</v>
      </c>
      <c r="AA109" s="463">
        <f t="shared" si="63"/>
        <v>3.0000000000000002E-2</v>
      </c>
      <c r="AB109" s="463">
        <f t="shared" si="64"/>
        <v>0</v>
      </c>
      <c r="AC109" s="463">
        <f t="shared" si="94"/>
        <v>0.3003855072907653</v>
      </c>
      <c r="AD109" s="463">
        <f t="shared" si="66"/>
        <v>4.6285263505746927</v>
      </c>
      <c r="AE109" s="463">
        <f t="shared" si="83"/>
        <v>8.5693024711857135E-2</v>
      </c>
      <c r="AF109" s="463">
        <f t="shared" si="67"/>
        <v>0.09</v>
      </c>
      <c r="AG109" s="463">
        <f t="shared" si="95"/>
        <v>0.17721160455267312</v>
      </c>
      <c r="AH109" s="463">
        <f t="shared" si="69"/>
        <v>0</v>
      </c>
      <c r="AI109">
        <f t="shared" si="70"/>
        <v>0</v>
      </c>
      <c r="AJ109" s="464">
        <f t="shared" si="71"/>
        <v>0.11976000000000001</v>
      </c>
      <c r="AK109">
        <f t="shared" si="84"/>
        <v>3.6000000000000004E-2</v>
      </c>
      <c r="AL109" s="464">
        <f t="shared" si="85"/>
        <v>0.27</v>
      </c>
      <c r="AM109" s="464">
        <f t="shared" si="86"/>
        <v>0.17963774597495527</v>
      </c>
      <c r="AN109" s="464">
        <f t="shared" si="90"/>
        <v>0.30600000000000005</v>
      </c>
      <c r="AO109" s="464">
        <f t="shared" si="96"/>
        <v>1.5679126138255146</v>
      </c>
      <c r="AP109" s="100">
        <f t="shared" si="73"/>
        <v>30</v>
      </c>
      <c r="AQ109" s="10">
        <f t="shared" si="91"/>
        <v>0.95033207824014221</v>
      </c>
      <c r="AR109" s="77">
        <f t="shared" si="74"/>
        <v>7.5096376822691324</v>
      </c>
      <c r="AS109" s="77">
        <f t="shared" si="92"/>
        <v>4.4302901138168282</v>
      </c>
      <c r="AT109" s="10"/>
      <c r="AU109">
        <f t="shared" si="93"/>
        <v>95.033207824014227</v>
      </c>
      <c r="BE109" s="31"/>
      <c r="BF109" s="32"/>
    </row>
    <row r="110" spans="7:58" x14ac:dyDescent="0.15">
      <c r="G110">
        <v>101</v>
      </c>
      <c r="H110">
        <f t="shared" si="55"/>
        <v>6.0600000000000005</v>
      </c>
      <c r="I110" s="463">
        <f t="shared" ref="I110:I173" si="97">(Vout+Rdcr*H110+RdsonBot*H110)/(Vin-RdsonTop*H110+RdsonBot*H110)</f>
        <v>0.42212066666666664</v>
      </c>
      <c r="J110" s="464">
        <f t="shared" si="56"/>
        <v>3.5816298989898989</v>
      </c>
      <c r="K110" s="464">
        <f t="shared" si="76"/>
        <v>7.85081494949495</v>
      </c>
      <c r="L110" s="464">
        <f t="shared" ref="L110:L173" si="98">H110-J110/2</f>
        <v>4.269185050505051</v>
      </c>
      <c r="M110" s="77">
        <f t="shared" si="57"/>
        <v>0</v>
      </c>
      <c r="N110" s="463">
        <f t="shared" ref="N110:N173" si="99">SQRT(H110^2+(J110^2)/12)</f>
        <v>6.1475691180426377</v>
      </c>
      <c r="O110" s="463">
        <f t="shared" ref="O110:O173" si="100">(N110^2*Rdcr*(1+Ltc*Ta-Ltc*25))/(1-N110^2*Rdcr*Ltc*ThetaCa)</f>
        <v>0.26238412302578118</v>
      </c>
      <c r="P110">
        <f t="shared" si="59"/>
        <v>0.4</v>
      </c>
      <c r="Q110" s="463">
        <f t="shared" si="79"/>
        <v>0.6623841230257812</v>
      </c>
      <c r="R110" s="9">
        <f t="shared" ref="R110:R173" si="101">J110/(2*SQRT(3))</f>
        <v>1.0339274931597151</v>
      </c>
      <c r="S110" s="9">
        <f t="shared" ref="S110:S173" si="102">RCoutEsr*R110^2</f>
        <v>2.1380121222230653E-3</v>
      </c>
      <c r="T110" s="9">
        <f t="shared" ref="T110:T173" si="103">S110</f>
        <v>2.1380121222230653E-3</v>
      </c>
      <c r="U110" s="463">
        <f t="shared" ref="U110:U173" si="104">SQRT(I110)*SQRT(H110^2+(J110^2)/12)</f>
        <v>3.9941256947656401</v>
      </c>
      <c r="V110" s="465">
        <f t="shared" ref="V110:V173" si="105">RCinEsr*U110^2</f>
        <v>5.2645032216437453E-3</v>
      </c>
      <c r="W110" s="463">
        <f t="shared" ref="W110:W173" si="106">V110</f>
        <v>5.2645032216437453E-3</v>
      </c>
      <c r="X110" s="463">
        <f t="shared" ref="X110:X173" si="107">SQRT(I110)*SQRT(H110^2+(J110^2)/12)</f>
        <v>3.9941256947656401</v>
      </c>
      <c r="Y110" s="463">
        <f t="shared" ref="Y110:Y173" si="108">RdsonTop*X110^2</f>
        <v>6.3812160262348427E-2</v>
      </c>
      <c r="Z110" s="463">
        <f t="shared" si="62"/>
        <v>0.20774954594000614</v>
      </c>
      <c r="AA110" s="463">
        <f t="shared" si="63"/>
        <v>3.0000000000000002E-2</v>
      </c>
      <c r="AB110" s="463">
        <f t="shared" si="64"/>
        <v>0</v>
      </c>
      <c r="AC110" s="463">
        <f t="shared" ref="AC110:AC173" si="109">(AB110+AA110+Z110+Y110*(1+RdsonTopTc*Ta-RdsonTopTc*25))/(1-Y110*RdsonTopTc*ThetaJaTop)</f>
        <v>0.30349839502462223</v>
      </c>
      <c r="AD110" s="463">
        <f t="shared" ref="AD110:AD173" si="110">SQRT(1-I110)*SQRT(H110^2+(J110^2)/12)</f>
        <v>4.6732821437962029</v>
      </c>
      <c r="AE110" s="463">
        <f t="shared" ref="AE110:AE173" si="111">RdsonBot*AD110^2</f>
        <v>8.7358263982097742E-2</v>
      </c>
      <c r="AF110" s="463">
        <f t="shared" si="67"/>
        <v>9.0900000000000009E-2</v>
      </c>
      <c r="AG110" s="463">
        <f t="shared" ref="AG110:AG173" si="112">(AF110+AE110*(1+RdsonBotTc*Ta-RdsonBotTc*25))/(1-AE110*RdsonBotTc*ThetaJaBot)</f>
        <v>0.17982922083665209</v>
      </c>
      <c r="AH110" s="463">
        <f t="shared" ref="AH110:AH173" si="113">IF(RDSON_sense=1, 0, AD110^2*Rshunt)</f>
        <v>0</v>
      </c>
      <c r="AI110">
        <f t="shared" si="70"/>
        <v>0</v>
      </c>
      <c r="AJ110" s="464">
        <f t="shared" si="71"/>
        <v>0.11975759999999999</v>
      </c>
      <c r="AK110">
        <f t="shared" si="84"/>
        <v>3.6000000000000004E-2</v>
      </c>
      <c r="AL110" s="464">
        <f t="shared" si="85"/>
        <v>0.27</v>
      </c>
      <c r="AM110" s="464">
        <f t="shared" si="86"/>
        <v>0.17963774597495527</v>
      </c>
      <c r="AN110" s="464">
        <f t="shared" ref="AN110:AN173" si="114">SUM(AK110:AL110)</f>
        <v>0.30600000000000005</v>
      </c>
      <c r="AO110" s="464">
        <f t="shared" ref="AO110:AO173" si="115">SUM(Q110,T110,W110,AC110,AJ110,AI110,AG110,AN110, AH110)</f>
        <v>1.5788718542309224</v>
      </c>
      <c r="AP110" s="100">
        <f t="shared" si="73"/>
        <v>30.300000000000004</v>
      </c>
      <c r="AQ110" s="10">
        <f t="shared" ref="AQ110:AQ173" si="116">AP110/(AP110+AO110)</f>
        <v>0.95047278142556424</v>
      </c>
      <c r="AR110" s="77">
        <f t="shared" ref="AR110:AR173" si="117">ThetaJaTop*AC110</f>
        <v>7.587459875615556</v>
      </c>
      <c r="AS110" s="77">
        <f t="shared" ref="AS110:AS173" si="118">AG110*ThetaJaBot</f>
        <v>4.4957305209163021</v>
      </c>
      <c r="AT110" s="10"/>
      <c r="AU110">
        <f t="shared" ref="AU110:AU173" si="119">AQ110*100</f>
        <v>95.047278142556422</v>
      </c>
    </row>
    <row r="111" spans="7:58" x14ac:dyDescent="0.15">
      <c r="G111">
        <v>102</v>
      </c>
      <c r="H111">
        <f t="shared" si="55"/>
        <v>6.12</v>
      </c>
      <c r="I111" s="463">
        <f t="shared" si="97"/>
        <v>0.42217466666666664</v>
      </c>
      <c r="J111" s="464">
        <f t="shared" si="56"/>
        <v>3.5820880808080804</v>
      </c>
      <c r="K111" s="464">
        <f t="shared" si="76"/>
        <v>7.9110440404040405</v>
      </c>
      <c r="L111" s="464">
        <f t="shared" si="98"/>
        <v>4.3289559595959597</v>
      </c>
      <c r="M111" s="77">
        <f t="shared" si="57"/>
        <v>0</v>
      </c>
      <c r="N111" s="463">
        <f t="shared" si="99"/>
        <v>6.2067446850091192</v>
      </c>
      <c r="O111" s="463">
        <f t="shared" si="100"/>
        <v>0.26756842091955441</v>
      </c>
      <c r="P111">
        <f t="shared" si="59"/>
        <v>0.4</v>
      </c>
      <c r="Q111" s="463">
        <f t="shared" si="79"/>
        <v>0.66756842091955448</v>
      </c>
      <c r="R111" s="9">
        <f t="shared" si="101"/>
        <v>1.0340597588577476</v>
      </c>
      <c r="S111" s="9">
        <f t="shared" si="102"/>
        <v>2.1385591697778861E-3</v>
      </c>
      <c r="T111" s="9">
        <f t="shared" si="103"/>
        <v>2.1385591697778861E-3</v>
      </c>
      <c r="U111" s="463">
        <f t="shared" si="104"/>
        <v>4.0328304684828948</v>
      </c>
      <c r="V111" s="465">
        <f t="shared" si="105"/>
        <v>5.3670281238829085E-3</v>
      </c>
      <c r="W111" s="463">
        <f t="shared" si="106"/>
        <v>5.3670281238829085E-3</v>
      </c>
      <c r="X111" s="463">
        <f t="shared" si="107"/>
        <v>4.0328304684828948</v>
      </c>
      <c r="Y111" s="463">
        <f t="shared" si="108"/>
        <v>6.5054886350095861E-2</v>
      </c>
      <c r="Z111" s="463">
        <f t="shared" si="62"/>
        <v>0.20957535991209</v>
      </c>
      <c r="AA111" s="463">
        <f t="shared" si="63"/>
        <v>3.0000000000000002E-2</v>
      </c>
      <c r="AB111" s="463">
        <f t="shared" si="64"/>
        <v>0</v>
      </c>
      <c r="AC111" s="463">
        <f t="shared" si="109"/>
        <v>0.30662499166064411</v>
      </c>
      <c r="AD111" s="463">
        <f t="shared" si="110"/>
        <v>4.7180459935618462</v>
      </c>
      <c r="AE111" s="463">
        <f t="shared" si="111"/>
        <v>8.9039831989459958E-2</v>
      </c>
      <c r="AF111" s="463">
        <f t="shared" si="67"/>
        <v>9.1799999999999993E-2</v>
      </c>
      <c r="AG111" s="463">
        <f t="shared" si="112"/>
        <v>0.18246449276746568</v>
      </c>
      <c r="AH111" s="463">
        <f t="shared" si="113"/>
        <v>0</v>
      </c>
      <c r="AI111">
        <f t="shared" si="70"/>
        <v>0</v>
      </c>
      <c r="AJ111" s="464">
        <f t="shared" si="71"/>
        <v>0.11975519999999999</v>
      </c>
      <c r="AK111">
        <f t="shared" si="84"/>
        <v>3.6000000000000004E-2</v>
      </c>
      <c r="AL111" s="464">
        <f t="shared" si="85"/>
        <v>0.27</v>
      </c>
      <c r="AM111" s="464">
        <f t="shared" si="86"/>
        <v>0.17963774597495527</v>
      </c>
      <c r="AN111" s="464">
        <f t="shared" si="114"/>
        <v>0.30600000000000005</v>
      </c>
      <c r="AO111" s="464">
        <f t="shared" si="115"/>
        <v>1.5899186926413251</v>
      </c>
      <c r="AP111" s="100">
        <f t="shared" si="73"/>
        <v>30.6</v>
      </c>
      <c r="AQ111" s="10">
        <f t="shared" si="116"/>
        <v>0.95060817929295405</v>
      </c>
      <c r="AR111" s="77">
        <f t="shared" si="117"/>
        <v>7.6656247915161027</v>
      </c>
      <c r="AS111" s="77">
        <f t="shared" si="118"/>
        <v>4.5616123191866418</v>
      </c>
      <c r="AT111" s="10"/>
      <c r="AU111">
        <f t="shared" si="119"/>
        <v>95.060817929295411</v>
      </c>
    </row>
    <row r="112" spans="7:58" x14ac:dyDescent="0.15">
      <c r="G112">
        <v>103</v>
      </c>
      <c r="H112">
        <f t="shared" si="55"/>
        <v>6.18</v>
      </c>
      <c r="I112" s="463">
        <f t="shared" si="97"/>
        <v>0.42222866666666664</v>
      </c>
      <c r="J112" s="464">
        <f t="shared" si="56"/>
        <v>3.5825462626262623</v>
      </c>
      <c r="K112" s="464">
        <f t="shared" si="76"/>
        <v>7.9712731313131311</v>
      </c>
      <c r="L112" s="464">
        <f t="shared" si="98"/>
        <v>4.3887268686868683</v>
      </c>
      <c r="M112" s="77">
        <f t="shared" si="57"/>
        <v>0</v>
      </c>
      <c r="N112" s="463">
        <f t="shared" si="99"/>
        <v>6.2659359351700035</v>
      </c>
      <c r="O112" s="463">
        <f t="shared" si="100"/>
        <v>0.27280805285862203</v>
      </c>
      <c r="P112">
        <f t="shared" si="59"/>
        <v>0.4</v>
      </c>
      <c r="Q112" s="463">
        <f t="shared" si="79"/>
        <v>0.672808052858622</v>
      </c>
      <c r="R112" s="9">
        <f t="shared" si="101"/>
        <v>1.0341920245557803</v>
      </c>
      <c r="S112" s="9">
        <f t="shared" si="102"/>
        <v>2.1391062873095672E-3</v>
      </c>
      <c r="T112" s="9">
        <f t="shared" si="103"/>
        <v>2.1391062873095672E-3</v>
      </c>
      <c r="U112" s="463">
        <f t="shared" si="104"/>
        <v>4.0715503345254742</v>
      </c>
      <c r="V112" s="465">
        <f t="shared" si="105"/>
        <v>5.4705823017695849E-3</v>
      </c>
      <c r="W112" s="463">
        <f t="shared" si="106"/>
        <v>5.4705823017695849E-3</v>
      </c>
      <c r="X112" s="463">
        <f t="shared" si="107"/>
        <v>4.0715503345254742</v>
      </c>
      <c r="Y112" s="463">
        <f t="shared" si="108"/>
        <v>6.6310088506298007E-2</v>
      </c>
      <c r="Z112" s="463">
        <f t="shared" si="62"/>
        <v>0.21140117388417384</v>
      </c>
      <c r="AA112" s="463">
        <f t="shared" si="63"/>
        <v>3.0000000000000002E-2</v>
      </c>
      <c r="AB112" s="463">
        <f t="shared" si="64"/>
        <v>0</v>
      </c>
      <c r="AC112" s="463">
        <f t="shared" si="109"/>
        <v>0.30976531896212789</v>
      </c>
      <c r="AD112" s="463">
        <f t="shared" si="110"/>
        <v>4.7628175502616399</v>
      </c>
      <c r="AE112" s="463">
        <f t="shared" si="111"/>
        <v>9.073772406832116E-2</v>
      </c>
      <c r="AF112" s="463">
        <f t="shared" si="67"/>
        <v>9.2699999999999991E-2</v>
      </c>
      <c r="AG112" s="463">
        <f t="shared" si="112"/>
        <v>0.18511743756532487</v>
      </c>
      <c r="AH112" s="463">
        <f t="shared" si="113"/>
        <v>0</v>
      </c>
      <c r="AI112">
        <f t="shared" si="70"/>
        <v>0</v>
      </c>
      <c r="AJ112" s="464">
        <f t="shared" si="71"/>
        <v>0.11975279999999999</v>
      </c>
      <c r="AK112">
        <f t="shared" si="84"/>
        <v>3.6000000000000004E-2</v>
      </c>
      <c r="AL112" s="464">
        <f t="shared" si="85"/>
        <v>0.27</v>
      </c>
      <c r="AM112" s="464">
        <f t="shared" si="86"/>
        <v>0.17963774597495527</v>
      </c>
      <c r="AN112" s="464">
        <f t="shared" si="114"/>
        <v>0.30600000000000005</v>
      </c>
      <c r="AO112" s="464">
        <f t="shared" si="115"/>
        <v>1.6010532979751539</v>
      </c>
      <c r="AP112" s="100">
        <f t="shared" si="73"/>
        <v>30.9</v>
      </c>
      <c r="AQ112" s="10">
        <f t="shared" si="116"/>
        <v>0.95073841812767024</v>
      </c>
      <c r="AR112" s="77">
        <f t="shared" si="117"/>
        <v>7.7441329740531977</v>
      </c>
      <c r="AS112" s="77">
        <f t="shared" si="118"/>
        <v>4.6279359391331214</v>
      </c>
      <c r="AT112" s="10"/>
      <c r="AU112">
        <f t="shared" si="119"/>
        <v>95.073841812767029</v>
      </c>
    </row>
    <row r="113" spans="7:47" x14ac:dyDescent="0.15">
      <c r="G113">
        <v>104</v>
      </c>
      <c r="H113">
        <f t="shared" si="55"/>
        <v>6.24</v>
      </c>
      <c r="I113" s="463">
        <f t="shared" si="97"/>
        <v>0.42228266666666664</v>
      </c>
      <c r="J113" s="464">
        <f t="shared" si="56"/>
        <v>3.5830044444444442</v>
      </c>
      <c r="K113" s="464">
        <f t="shared" si="76"/>
        <v>8.0315022222222225</v>
      </c>
      <c r="L113" s="464">
        <f t="shared" si="98"/>
        <v>4.4484977777777779</v>
      </c>
      <c r="M113" s="77">
        <f t="shared" si="57"/>
        <v>0</v>
      </c>
      <c r="N113" s="463">
        <f t="shared" si="99"/>
        <v>6.3251424282310875</v>
      </c>
      <c r="O113" s="463">
        <f t="shared" si="100"/>
        <v>0.27810314993403878</v>
      </c>
      <c r="P113">
        <f t="shared" si="59"/>
        <v>0.4</v>
      </c>
      <c r="Q113" s="463">
        <f t="shared" si="79"/>
        <v>0.67810314993403886</v>
      </c>
      <c r="R113" s="9">
        <f t="shared" si="101"/>
        <v>1.0343242902538128</v>
      </c>
      <c r="S113" s="9">
        <f t="shared" si="102"/>
        <v>2.1396534748181072E-3</v>
      </c>
      <c r="T113" s="9">
        <f t="shared" si="103"/>
        <v>2.1396534748181072E-3</v>
      </c>
      <c r="U113" s="463">
        <f t="shared" si="104"/>
        <v>4.1102850082621272</v>
      </c>
      <c r="V113" s="465">
        <f t="shared" si="105"/>
        <v>5.5751661402176494E-3</v>
      </c>
      <c r="W113" s="463">
        <f t="shared" si="106"/>
        <v>5.5751661402176494E-3</v>
      </c>
      <c r="X113" s="463">
        <f t="shared" si="107"/>
        <v>4.1102850082621272</v>
      </c>
      <c r="Y113" s="463">
        <f t="shared" si="108"/>
        <v>6.7577771396577571E-2</v>
      </c>
      <c r="Z113" s="463">
        <f t="shared" si="62"/>
        <v>0.21322698785625777</v>
      </c>
      <c r="AA113" s="463">
        <f t="shared" si="63"/>
        <v>3.0000000000000002E-2</v>
      </c>
      <c r="AB113" s="463">
        <f t="shared" si="64"/>
        <v>0</v>
      </c>
      <c r="AC113" s="463">
        <f t="shared" si="109"/>
        <v>0.31291939881268716</v>
      </c>
      <c r="AD113" s="463">
        <f t="shared" si="110"/>
        <v>4.8075964772705984</v>
      </c>
      <c r="AE113" s="463">
        <f t="shared" si="111"/>
        <v>9.2451935553058667E-2</v>
      </c>
      <c r="AF113" s="463">
        <f t="shared" si="67"/>
        <v>9.3600000000000003E-2</v>
      </c>
      <c r="AG113" s="463">
        <f t="shared" si="112"/>
        <v>0.18778807263191857</v>
      </c>
      <c r="AH113" s="463">
        <f t="shared" si="113"/>
        <v>0</v>
      </c>
      <c r="AI113">
        <f t="shared" si="70"/>
        <v>0</v>
      </c>
      <c r="AJ113" s="464">
        <f t="shared" si="71"/>
        <v>0.11975040000000001</v>
      </c>
      <c r="AK113">
        <f t="shared" si="84"/>
        <v>3.6000000000000004E-2</v>
      </c>
      <c r="AL113" s="464">
        <f t="shared" si="85"/>
        <v>0.27</v>
      </c>
      <c r="AM113" s="464">
        <f t="shared" si="86"/>
        <v>0.17963774597495527</v>
      </c>
      <c r="AN113" s="464">
        <f t="shared" si="114"/>
        <v>0.30600000000000005</v>
      </c>
      <c r="AO113" s="464">
        <f t="shared" si="115"/>
        <v>1.6122758409936804</v>
      </c>
      <c r="AP113" s="100">
        <f t="shared" si="73"/>
        <v>31.200000000000003</v>
      </c>
      <c r="AQ113" s="10">
        <f t="shared" si="116"/>
        <v>0.95086363869404633</v>
      </c>
      <c r="AR113" s="77">
        <f t="shared" si="117"/>
        <v>7.8229849703171785</v>
      </c>
      <c r="AS113" s="77">
        <f t="shared" si="118"/>
        <v>4.6947018157979645</v>
      </c>
      <c r="AT113" s="10"/>
      <c r="AU113">
        <f t="shared" si="119"/>
        <v>95.086363869404636</v>
      </c>
    </row>
    <row r="114" spans="7:47" x14ac:dyDescent="0.15">
      <c r="G114">
        <v>105</v>
      </c>
      <c r="H114">
        <f t="shared" si="55"/>
        <v>6.3000000000000007</v>
      </c>
      <c r="I114" s="463">
        <f t="shared" si="97"/>
        <v>0.42233666666666664</v>
      </c>
      <c r="J114" s="464">
        <f t="shared" si="56"/>
        <v>3.5834626262626261</v>
      </c>
      <c r="K114" s="464">
        <f t="shared" si="76"/>
        <v>8.091731313131314</v>
      </c>
      <c r="L114" s="464">
        <f t="shared" si="98"/>
        <v>4.5082686868686874</v>
      </c>
      <c r="M114" s="77">
        <f t="shared" si="57"/>
        <v>0</v>
      </c>
      <c r="N114" s="463">
        <f t="shared" si="99"/>
        <v>6.3843637401194311</v>
      </c>
      <c r="O114" s="463">
        <f t="shared" si="100"/>
        <v>0.28345384478632013</v>
      </c>
      <c r="P114">
        <f t="shared" si="59"/>
        <v>0.4</v>
      </c>
      <c r="Q114" s="463">
        <f t="shared" si="79"/>
        <v>0.6834538447863201</v>
      </c>
      <c r="R114" s="9">
        <f t="shared" si="101"/>
        <v>1.0344565559518453</v>
      </c>
      <c r="S114" s="9">
        <f t="shared" si="102"/>
        <v>2.1402007323035066E-3</v>
      </c>
      <c r="T114" s="9">
        <f t="shared" si="103"/>
        <v>2.1402007323035066E-3</v>
      </c>
      <c r="U114" s="463">
        <f t="shared" si="104"/>
        <v>4.1490342155300812</v>
      </c>
      <c r="V114" s="465">
        <f t="shared" si="105"/>
        <v>5.6807800241409738E-3</v>
      </c>
      <c r="W114" s="463">
        <f t="shared" si="106"/>
        <v>5.6807800241409738E-3</v>
      </c>
      <c r="X114" s="463">
        <f t="shared" si="107"/>
        <v>4.1490342155300812</v>
      </c>
      <c r="Y114" s="463">
        <f t="shared" si="108"/>
        <v>6.8857939686557262E-2</v>
      </c>
      <c r="Z114" s="463">
        <f t="shared" si="62"/>
        <v>0.21505280182834169</v>
      </c>
      <c r="AA114" s="463">
        <f t="shared" si="63"/>
        <v>3.0000000000000002E-2</v>
      </c>
      <c r="AB114" s="463">
        <f t="shared" si="64"/>
        <v>0</v>
      </c>
      <c r="AC114" s="463">
        <f t="shared" si="109"/>
        <v>0.31608725321666725</v>
      </c>
      <c r="AD114" s="463">
        <f t="shared" si="110"/>
        <v>4.8523824503549244</v>
      </c>
      <c r="AE114" s="463">
        <f t="shared" si="111"/>
        <v>9.4182461778049842E-2</v>
      </c>
      <c r="AF114" s="463">
        <f t="shared" si="67"/>
        <v>9.4500000000000001E-2</v>
      </c>
      <c r="AG114" s="463">
        <f t="shared" si="112"/>
        <v>0.19047641555077291</v>
      </c>
      <c r="AH114" s="463">
        <f t="shared" si="113"/>
        <v>0</v>
      </c>
      <c r="AI114">
        <f t="shared" si="70"/>
        <v>0</v>
      </c>
      <c r="AJ114" s="464">
        <f t="shared" si="71"/>
        <v>0.11974800000000001</v>
      </c>
      <c r="AK114">
        <f t="shared" si="84"/>
        <v>3.6000000000000004E-2</v>
      </c>
      <c r="AL114" s="464">
        <f t="shared" si="85"/>
        <v>0.27</v>
      </c>
      <c r="AM114" s="464">
        <f t="shared" si="86"/>
        <v>0.17963774597495527</v>
      </c>
      <c r="AN114" s="464">
        <f t="shared" si="114"/>
        <v>0.30600000000000005</v>
      </c>
      <c r="AO114" s="464">
        <f t="shared" si="115"/>
        <v>1.6235864943102047</v>
      </c>
      <c r="AP114" s="100">
        <f t="shared" si="73"/>
        <v>31.500000000000004</v>
      </c>
      <c r="AQ114" s="10">
        <f t="shared" si="116"/>
        <v>0.95098397649091837</v>
      </c>
      <c r="AR114" s="77">
        <f t="shared" si="117"/>
        <v>7.9021813304166812</v>
      </c>
      <c r="AS114" s="77">
        <f t="shared" si="118"/>
        <v>4.7619103887693228</v>
      </c>
      <c r="AT114" s="10"/>
      <c r="AU114">
        <f t="shared" si="119"/>
        <v>95.098397649091837</v>
      </c>
    </row>
    <row r="115" spans="7:47" x14ac:dyDescent="0.15">
      <c r="G115">
        <v>106</v>
      </c>
      <c r="H115">
        <f t="shared" si="55"/>
        <v>6.36</v>
      </c>
      <c r="I115" s="463">
        <f t="shared" si="97"/>
        <v>0.42239066666666664</v>
      </c>
      <c r="J115" s="464">
        <f t="shared" si="56"/>
        <v>3.5839208080808076</v>
      </c>
      <c r="K115" s="464">
        <f t="shared" si="76"/>
        <v>8.1519604040404037</v>
      </c>
      <c r="L115" s="464">
        <f t="shared" si="98"/>
        <v>4.568039595959597</v>
      </c>
      <c r="M115" s="77">
        <f t="shared" si="57"/>
        <v>0</v>
      </c>
      <c r="N115" s="463">
        <f t="shared" si="99"/>
        <v>6.4435994622480131</v>
      </c>
      <c r="O115" s="463">
        <f t="shared" si="100"/>
        <v>0.28886027161397188</v>
      </c>
      <c r="P115">
        <f t="shared" si="59"/>
        <v>0.4</v>
      </c>
      <c r="Q115" s="463">
        <f t="shared" si="79"/>
        <v>0.6888602716139719</v>
      </c>
      <c r="R115" s="9">
        <f t="shared" si="101"/>
        <v>1.0345888216498778</v>
      </c>
      <c r="S115" s="9">
        <f t="shared" si="102"/>
        <v>2.1407480597657653E-3</v>
      </c>
      <c r="T115" s="9">
        <f t="shared" si="103"/>
        <v>2.1407480597657653E-3</v>
      </c>
      <c r="U115" s="463">
        <f t="shared" si="104"/>
        <v>4.1877976921605127</v>
      </c>
      <c r="V115" s="465">
        <f t="shared" si="105"/>
        <v>5.7874243384534226E-3</v>
      </c>
      <c r="W115" s="463">
        <f t="shared" si="106"/>
        <v>5.7874243384534226E-3</v>
      </c>
      <c r="X115" s="463">
        <f t="shared" si="107"/>
        <v>4.1877976921605127</v>
      </c>
      <c r="Y115" s="463">
        <f t="shared" si="108"/>
        <v>7.0150598041859663E-2</v>
      </c>
      <c r="Z115" s="463">
        <f t="shared" si="62"/>
        <v>0.21687861580042556</v>
      </c>
      <c r="AA115" s="463">
        <f t="shared" si="63"/>
        <v>3.0000000000000002E-2</v>
      </c>
      <c r="AB115" s="463">
        <f t="shared" si="64"/>
        <v>0</v>
      </c>
      <c r="AC115" s="463">
        <f t="shared" si="109"/>
        <v>0.31926890429956356</v>
      </c>
      <c r="AD115" s="463">
        <f t="shared" si="110"/>
        <v>4.8971751571102669</v>
      </c>
      <c r="AE115" s="463">
        <f t="shared" si="111"/>
        <v>9.5929298077671879E-2</v>
      </c>
      <c r="AF115" s="463">
        <f t="shared" si="67"/>
        <v>9.5399999999999999E-2</v>
      </c>
      <c r="AG115" s="463">
        <f t="shared" si="112"/>
        <v>0.19318248408761446</v>
      </c>
      <c r="AH115" s="463">
        <f t="shared" si="113"/>
        <v>0</v>
      </c>
      <c r="AI115">
        <f t="shared" si="70"/>
        <v>0</v>
      </c>
      <c r="AJ115" s="464">
        <f t="shared" si="71"/>
        <v>0.11974560000000001</v>
      </c>
      <c r="AK115">
        <f t="shared" si="84"/>
        <v>3.6000000000000004E-2</v>
      </c>
      <c r="AL115" s="464">
        <f t="shared" si="85"/>
        <v>0.27</v>
      </c>
      <c r="AM115" s="464">
        <f t="shared" si="86"/>
        <v>0.17963774597495527</v>
      </c>
      <c r="AN115" s="464">
        <f t="shared" si="114"/>
        <v>0.30600000000000005</v>
      </c>
      <c r="AO115" s="464">
        <f t="shared" si="115"/>
        <v>1.6349854323993689</v>
      </c>
      <c r="AP115" s="100">
        <f t="shared" si="73"/>
        <v>31.8</v>
      </c>
      <c r="AQ115" s="10">
        <f t="shared" si="116"/>
        <v>0.95109956199307844</v>
      </c>
      <c r="AR115" s="77">
        <f t="shared" si="117"/>
        <v>7.9817226074890888</v>
      </c>
      <c r="AS115" s="77">
        <f t="shared" si="118"/>
        <v>4.8295621021903612</v>
      </c>
      <c r="AT115" s="10"/>
      <c r="AU115">
        <f t="shared" si="119"/>
        <v>95.109956199307845</v>
      </c>
    </row>
    <row r="116" spans="7:47" x14ac:dyDescent="0.15">
      <c r="G116">
        <v>107</v>
      </c>
      <c r="H116">
        <f t="shared" si="55"/>
        <v>6.42</v>
      </c>
      <c r="I116" s="463">
        <f t="shared" si="97"/>
        <v>0.42244466666666675</v>
      </c>
      <c r="J116" s="464">
        <f t="shared" si="56"/>
        <v>3.5843789898989908</v>
      </c>
      <c r="K116" s="464">
        <f t="shared" si="76"/>
        <v>8.2121894949494951</v>
      </c>
      <c r="L116" s="464">
        <f t="shared" si="98"/>
        <v>4.6278105050505047</v>
      </c>
      <c r="M116" s="77">
        <f t="shared" si="57"/>
        <v>0</v>
      </c>
      <c r="N116" s="463">
        <f t="shared" si="99"/>
        <v>6.5028492008197798</v>
      </c>
      <c r="O116" s="463">
        <f t="shared" si="100"/>
        <v>0.29432256618213593</v>
      </c>
      <c r="P116">
        <f t="shared" si="59"/>
        <v>0.4</v>
      </c>
      <c r="Q116" s="463">
        <f t="shared" si="79"/>
        <v>0.69432256618213595</v>
      </c>
      <c r="R116" s="9">
        <f t="shared" si="101"/>
        <v>1.0347210873479107</v>
      </c>
      <c r="S116" s="9">
        <f t="shared" si="102"/>
        <v>2.1412954572048852E-3</v>
      </c>
      <c r="T116" s="9">
        <f t="shared" si="103"/>
        <v>2.1412954572048852E-3</v>
      </c>
      <c r="U116" s="463">
        <f t="shared" si="104"/>
        <v>4.2265751835294365</v>
      </c>
      <c r="V116" s="465">
        <f t="shared" si="105"/>
        <v>5.8950994680688745E-3</v>
      </c>
      <c r="W116" s="463">
        <f t="shared" si="106"/>
        <v>5.8950994680688745E-3</v>
      </c>
      <c r="X116" s="463">
        <f t="shared" si="107"/>
        <v>4.2265751835294365</v>
      </c>
      <c r="Y116" s="463">
        <f t="shared" si="108"/>
        <v>7.1455751128107564E-2</v>
      </c>
      <c r="Z116" s="463">
        <f t="shared" si="62"/>
        <v>0.21870442977250945</v>
      </c>
      <c r="AA116" s="463">
        <f t="shared" si="63"/>
        <v>3.0000000000000002E-2</v>
      </c>
      <c r="AB116" s="463">
        <f t="shared" si="64"/>
        <v>0</v>
      </c>
      <c r="AC116" s="463">
        <f t="shared" si="109"/>
        <v>0.32246437430844355</v>
      </c>
      <c r="AD116" s="463">
        <f t="shared" si="110"/>
        <v>4.9419742964300779</v>
      </c>
      <c r="AE116" s="463">
        <f t="shared" si="111"/>
        <v>9.7692439786302265E-2</v>
      </c>
      <c r="AF116" s="463">
        <f t="shared" si="67"/>
        <v>9.6299999999999997E-2</v>
      </c>
      <c r="AG116" s="463">
        <f t="shared" si="112"/>
        <v>0.1959062961907394</v>
      </c>
      <c r="AH116" s="463">
        <f t="shared" si="113"/>
        <v>0</v>
      </c>
      <c r="AI116">
        <f t="shared" si="70"/>
        <v>0</v>
      </c>
      <c r="AJ116" s="464">
        <f t="shared" si="71"/>
        <v>0.11974320000000001</v>
      </c>
      <c r="AK116">
        <f t="shared" si="84"/>
        <v>3.6000000000000004E-2</v>
      </c>
      <c r="AL116" s="464">
        <f t="shared" si="85"/>
        <v>0.27</v>
      </c>
      <c r="AM116" s="464">
        <f t="shared" si="86"/>
        <v>0.17963774597495527</v>
      </c>
      <c r="AN116" s="464">
        <f t="shared" si="114"/>
        <v>0.30600000000000005</v>
      </c>
      <c r="AO116" s="464">
        <f t="shared" si="115"/>
        <v>1.6464728316065929</v>
      </c>
      <c r="AP116" s="100">
        <f t="shared" si="73"/>
        <v>32.1</v>
      </c>
      <c r="AQ116" s="10">
        <f t="shared" si="116"/>
        <v>0.95121052087954727</v>
      </c>
      <c r="AR116" s="77">
        <f t="shared" si="117"/>
        <v>8.0616093577110881</v>
      </c>
      <c r="AS116" s="77">
        <f t="shared" si="118"/>
        <v>4.8976574047684851</v>
      </c>
      <c r="AT116" s="10"/>
      <c r="AU116">
        <f t="shared" si="119"/>
        <v>95.121052087954723</v>
      </c>
    </row>
    <row r="117" spans="7:47" x14ac:dyDescent="0.15">
      <c r="G117">
        <v>108</v>
      </c>
      <c r="H117">
        <f t="shared" si="55"/>
        <v>6.48</v>
      </c>
      <c r="I117" s="463">
        <f t="shared" si="97"/>
        <v>0.42249866666666663</v>
      </c>
      <c r="J117" s="464">
        <f t="shared" si="56"/>
        <v>3.5848371717171714</v>
      </c>
      <c r="K117" s="464">
        <f t="shared" si="76"/>
        <v>8.2724185858585866</v>
      </c>
      <c r="L117" s="464">
        <f t="shared" si="98"/>
        <v>4.6875814141414143</v>
      </c>
      <c r="M117" s="77">
        <f t="shared" si="57"/>
        <v>0</v>
      </c>
      <c r="N117" s="463">
        <f t="shared" si="99"/>
        <v>6.5621125761686256</v>
      </c>
      <c r="O117" s="463">
        <f t="shared" si="100"/>
        <v>0.29984086583135006</v>
      </c>
      <c r="P117">
        <f t="shared" si="59"/>
        <v>0.4</v>
      </c>
      <c r="Q117" s="463">
        <f t="shared" si="79"/>
        <v>0.69984086583135008</v>
      </c>
      <c r="R117" s="9">
        <f t="shared" si="101"/>
        <v>1.0348533530459429</v>
      </c>
      <c r="S117" s="9">
        <f t="shared" si="102"/>
        <v>2.1418429246208622E-3</v>
      </c>
      <c r="T117" s="9">
        <f t="shared" si="103"/>
        <v>2.1418429246208622E-3</v>
      </c>
      <c r="U117" s="463">
        <f t="shared" si="104"/>
        <v>4.2653664441324235</v>
      </c>
      <c r="V117" s="465">
        <f t="shared" si="105"/>
        <v>6.0038057979011879E-3</v>
      </c>
      <c r="W117" s="463">
        <f t="shared" si="106"/>
        <v>6.0038057979011879E-3</v>
      </c>
      <c r="X117" s="463">
        <f t="shared" si="107"/>
        <v>4.2653664441324235</v>
      </c>
      <c r="Y117" s="463">
        <f t="shared" si="108"/>
        <v>7.2773403610923493E-2</v>
      </c>
      <c r="Z117" s="463">
        <f t="shared" si="62"/>
        <v>0.22053024374459335</v>
      </c>
      <c r="AA117" s="463">
        <f t="shared" si="63"/>
        <v>3.0000000000000002E-2</v>
      </c>
      <c r="AB117" s="463">
        <f t="shared" si="64"/>
        <v>0</v>
      </c>
      <c r="AC117" s="463">
        <f t="shared" si="109"/>
        <v>0.32567368561236948</v>
      </c>
      <c r="AD117" s="463">
        <f t="shared" si="110"/>
        <v>4.9867795780021762</v>
      </c>
      <c r="AE117" s="463">
        <f t="shared" si="111"/>
        <v>9.9471882238318252E-2</v>
      </c>
      <c r="AF117" s="463">
        <f t="shared" si="67"/>
        <v>9.7200000000000009E-2</v>
      </c>
      <c r="AG117" s="463">
        <f t="shared" si="112"/>
        <v>0.19864786999138587</v>
      </c>
      <c r="AH117" s="463">
        <f t="shared" si="113"/>
        <v>0</v>
      </c>
      <c r="AI117">
        <f t="shared" si="70"/>
        <v>0</v>
      </c>
      <c r="AJ117" s="464">
        <f t="shared" si="71"/>
        <v>0.11974080000000001</v>
      </c>
      <c r="AK117">
        <f t="shared" si="84"/>
        <v>3.6000000000000004E-2</v>
      </c>
      <c r="AL117" s="464">
        <f t="shared" si="85"/>
        <v>0.27</v>
      </c>
      <c r="AM117" s="464">
        <f t="shared" si="86"/>
        <v>0.17963774597495527</v>
      </c>
      <c r="AN117" s="464">
        <f t="shared" si="114"/>
        <v>0.30600000000000005</v>
      </c>
      <c r="AO117" s="464">
        <f t="shared" si="115"/>
        <v>1.6580488701576275</v>
      </c>
      <c r="AP117" s="100">
        <f t="shared" si="73"/>
        <v>32.400000000000006</v>
      </c>
      <c r="AQ117" s="10">
        <f t="shared" si="116"/>
        <v>0.95131697424950123</v>
      </c>
      <c r="AR117" s="77">
        <f t="shared" si="117"/>
        <v>8.1418421403092367</v>
      </c>
      <c r="AS117" s="77">
        <f t="shared" si="118"/>
        <v>4.9661967497846469</v>
      </c>
      <c r="AT117" s="10"/>
      <c r="AU117">
        <f t="shared" si="119"/>
        <v>95.131697424950119</v>
      </c>
    </row>
    <row r="118" spans="7:47" x14ac:dyDescent="0.15">
      <c r="G118">
        <v>109</v>
      </c>
      <c r="H118">
        <f t="shared" si="55"/>
        <v>6.5400000000000009</v>
      </c>
      <c r="I118" s="463">
        <f t="shared" si="97"/>
        <v>0.42255266666666663</v>
      </c>
      <c r="J118" s="464">
        <f t="shared" si="56"/>
        <v>3.5852953535353533</v>
      </c>
      <c r="K118" s="464">
        <f t="shared" si="76"/>
        <v>8.332647676767678</v>
      </c>
      <c r="L118" s="464">
        <f t="shared" si="98"/>
        <v>4.7473523232323238</v>
      </c>
      <c r="M118" s="77">
        <f t="shared" si="57"/>
        <v>0</v>
      </c>
      <c r="N118" s="463">
        <f t="shared" si="99"/>
        <v>6.6213892221350994</v>
      </c>
      <c r="O118" s="463">
        <f t="shared" si="100"/>
        <v>0.30541530948642664</v>
      </c>
      <c r="P118">
        <f t="shared" si="59"/>
        <v>0.4</v>
      </c>
      <c r="Q118" s="463">
        <f t="shared" si="79"/>
        <v>0.70541530948642661</v>
      </c>
      <c r="R118" s="9">
        <f t="shared" si="101"/>
        <v>1.0349856187439754</v>
      </c>
      <c r="S118" s="9">
        <f t="shared" si="102"/>
        <v>2.1423904620136995E-3</v>
      </c>
      <c r="T118" s="9">
        <f t="shared" si="103"/>
        <v>2.1423904620136995E-3</v>
      </c>
      <c r="U118" s="463">
        <f t="shared" si="104"/>
        <v>4.3041712371817367</v>
      </c>
      <c r="V118" s="465">
        <f t="shared" si="105"/>
        <v>6.1135437128642459E-3</v>
      </c>
      <c r="W118" s="463">
        <f t="shared" si="106"/>
        <v>6.1135437128642459E-3</v>
      </c>
      <c r="X118" s="463">
        <f t="shared" si="107"/>
        <v>4.3041712371817367</v>
      </c>
      <c r="Y118" s="463">
        <f t="shared" si="108"/>
        <v>7.4103560155930254E-2</v>
      </c>
      <c r="Z118" s="463">
        <f t="shared" si="62"/>
        <v>0.22235605771667724</v>
      </c>
      <c r="AA118" s="463">
        <f t="shared" si="63"/>
        <v>3.0000000000000002E-2</v>
      </c>
      <c r="AB118" s="463">
        <f t="shared" si="64"/>
        <v>0</v>
      </c>
      <c r="AC118" s="463">
        <f t="shared" si="109"/>
        <v>0.32889686070282631</v>
      </c>
      <c r="AD118" s="463">
        <f t="shared" si="110"/>
        <v>5.0315907218318436</v>
      </c>
      <c r="AE118" s="463">
        <f t="shared" si="111"/>
        <v>0.10126762076809717</v>
      </c>
      <c r="AF118" s="463">
        <f t="shared" si="67"/>
        <v>9.8100000000000007E-2</v>
      </c>
      <c r="AG118" s="463">
        <f t="shared" si="112"/>
        <v>0.20140722380411219</v>
      </c>
      <c r="AH118" s="463">
        <f t="shared" si="113"/>
        <v>0</v>
      </c>
      <c r="AI118">
        <f t="shared" si="70"/>
        <v>0</v>
      </c>
      <c r="AJ118" s="464">
        <f t="shared" si="71"/>
        <v>0.11973839999999999</v>
      </c>
      <c r="AK118">
        <f t="shared" si="84"/>
        <v>3.6000000000000004E-2</v>
      </c>
      <c r="AL118" s="464">
        <f t="shared" si="85"/>
        <v>0.27</v>
      </c>
      <c r="AM118" s="464">
        <f t="shared" si="86"/>
        <v>0.17963774597495527</v>
      </c>
      <c r="AN118" s="464">
        <f t="shared" si="114"/>
        <v>0.30600000000000005</v>
      </c>
      <c r="AO118" s="464">
        <f t="shared" si="115"/>
        <v>1.669713728168243</v>
      </c>
      <c r="AP118" s="100">
        <f t="shared" si="73"/>
        <v>32.700000000000003</v>
      </c>
      <c r="AQ118" s="10">
        <f t="shared" si="116"/>
        <v>0.95141903882662249</v>
      </c>
      <c r="AR118" s="77">
        <f t="shared" si="117"/>
        <v>8.2224215175706572</v>
      </c>
      <c r="AS118" s="77">
        <f t="shared" si="118"/>
        <v>5.0351805951028048</v>
      </c>
      <c r="AT118" s="10"/>
      <c r="AU118">
        <f t="shared" si="119"/>
        <v>95.141903882662248</v>
      </c>
    </row>
    <row r="119" spans="7:47" x14ac:dyDescent="0.15">
      <c r="G119">
        <v>110</v>
      </c>
      <c r="H119">
        <f t="shared" si="55"/>
        <v>6.6000000000000005</v>
      </c>
      <c r="I119" s="463">
        <f t="shared" si="97"/>
        <v>0.42260666666666663</v>
      </c>
      <c r="J119" s="464">
        <f t="shared" si="56"/>
        <v>3.5857535353535352</v>
      </c>
      <c r="K119" s="464">
        <f t="shared" si="76"/>
        <v>8.3928767676767677</v>
      </c>
      <c r="L119" s="464">
        <f t="shared" si="98"/>
        <v>4.8071232323232334</v>
      </c>
      <c r="M119" s="77">
        <f t="shared" si="57"/>
        <v>0</v>
      </c>
      <c r="N119" s="463">
        <f t="shared" si="99"/>
        <v>6.6806787854746998</v>
      </c>
      <c r="O119" s="463">
        <f t="shared" si="100"/>
        <v>0.31104603766544897</v>
      </c>
      <c r="P119">
        <f t="shared" si="59"/>
        <v>0.4</v>
      </c>
      <c r="Q119" s="463">
        <f t="shared" si="79"/>
        <v>0.71104603766544905</v>
      </c>
      <c r="R119" s="9">
        <f t="shared" si="101"/>
        <v>1.0351178844420079</v>
      </c>
      <c r="S119" s="9">
        <f t="shared" si="102"/>
        <v>2.1429380693833958E-3</v>
      </c>
      <c r="T119" s="9">
        <f t="shared" si="103"/>
        <v>2.1429380693833958E-3</v>
      </c>
      <c r="U119" s="463">
        <f t="shared" si="104"/>
        <v>4.3429893342244821</v>
      </c>
      <c r="V119" s="465">
        <f t="shared" si="105"/>
        <v>6.2243135978719112E-3</v>
      </c>
      <c r="W119" s="463">
        <f t="shared" si="106"/>
        <v>6.2243135978719112E-3</v>
      </c>
      <c r="X119" s="463">
        <f t="shared" si="107"/>
        <v>4.3429893342244821</v>
      </c>
      <c r="Y119" s="463">
        <f t="shared" si="108"/>
        <v>7.5446225428750444E-2</v>
      </c>
      <c r="Z119" s="463">
        <f t="shared" si="62"/>
        <v>0.22418187168876114</v>
      </c>
      <c r="AA119" s="463">
        <f t="shared" si="63"/>
        <v>3.0000000000000002E-2</v>
      </c>
      <c r="AB119" s="463">
        <f t="shared" si="64"/>
        <v>0</v>
      </c>
      <c r="AC119" s="463">
        <f t="shared" si="109"/>
        <v>0.33213392219415111</v>
      </c>
      <c r="AD119" s="463">
        <f t="shared" si="110"/>
        <v>5.0764074577898199</v>
      </c>
      <c r="AE119" s="463">
        <f t="shared" si="111"/>
        <v>0.10307965071001642</v>
      </c>
      <c r="AF119" s="463">
        <f t="shared" si="67"/>
        <v>9.9000000000000005E-2</v>
      </c>
      <c r="AG119" s="463">
        <f t="shared" si="112"/>
        <v>0.20418437612717966</v>
      </c>
      <c r="AH119" s="463">
        <f t="shared" si="113"/>
        <v>0</v>
      </c>
      <c r="AI119">
        <f t="shared" si="70"/>
        <v>0</v>
      </c>
      <c r="AJ119" s="464">
        <f t="shared" si="71"/>
        <v>0.119736</v>
      </c>
      <c r="AK119">
        <f t="shared" si="84"/>
        <v>3.6000000000000004E-2</v>
      </c>
      <c r="AL119" s="464">
        <f t="shared" si="85"/>
        <v>0.27</v>
      </c>
      <c r="AM119" s="464">
        <f t="shared" si="86"/>
        <v>0.17963774597495527</v>
      </c>
      <c r="AN119" s="464">
        <f t="shared" si="114"/>
        <v>0.30600000000000005</v>
      </c>
      <c r="AO119" s="464">
        <f t="shared" si="115"/>
        <v>1.6814675876540353</v>
      </c>
      <c r="AP119" s="100">
        <f t="shared" si="73"/>
        <v>33</v>
      </c>
      <c r="AQ119" s="10">
        <f t="shared" si="116"/>
        <v>0.95151682715259134</v>
      </c>
      <c r="AR119" s="77">
        <f t="shared" si="117"/>
        <v>8.3033480548537781</v>
      </c>
      <c r="AS119" s="77">
        <f t="shared" si="118"/>
        <v>5.1046094031794915</v>
      </c>
      <c r="AT119" s="10"/>
      <c r="AU119">
        <f t="shared" si="119"/>
        <v>95.151682715259128</v>
      </c>
    </row>
    <row r="120" spans="7:47" x14ac:dyDescent="0.15">
      <c r="G120">
        <v>111</v>
      </c>
      <c r="H120">
        <f t="shared" si="55"/>
        <v>6.66</v>
      </c>
      <c r="I120" s="463">
        <f t="shared" si="97"/>
        <v>0.42266066666666674</v>
      </c>
      <c r="J120" s="464">
        <f t="shared" si="56"/>
        <v>3.586211717171718</v>
      </c>
      <c r="K120" s="464">
        <f t="shared" si="76"/>
        <v>8.4531058585858592</v>
      </c>
      <c r="L120" s="464">
        <f t="shared" si="98"/>
        <v>4.8668941414141411</v>
      </c>
      <c r="M120" s="77">
        <f t="shared" si="57"/>
        <v>0</v>
      </c>
      <c r="N120" s="463">
        <f t="shared" si="99"/>
        <v>6.7399809252968197</v>
      </c>
      <c r="O120" s="463">
        <f t="shared" si="100"/>
        <v>0.31673319248888687</v>
      </c>
      <c r="P120">
        <f t="shared" si="59"/>
        <v>0.4</v>
      </c>
      <c r="Q120" s="463">
        <f t="shared" si="79"/>
        <v>0.71673319248888689</v>
      </c>
      <c r="R120" s="9">
        <f t="shared" si="101"/>
        <v>1.0352501501400408</v>
      </c>
      <c r="S120" s="9">
        <f t="shared" si="102"/>
        <v>2.1434857467299544E-3</v>
      </c>
      <c r="T120" s="9">
        <f t="shared" si="103"/>
        <v>2.1434857467299544E-3</v>
      </c>
      <c r="U120" s="463">
        <f t="shared" si="104"/>
        <v>4.3818205147805509</v>
      </c>
      <c r="V120" s="465">
        <f t="shared" si="105"/>
        <v>6.3361158378380592E-3</v>
      </c>
      <c r="W120" s="463">
        <f t="shared" si="106"/>
        <v>6.3361158378380592E-3</v>
      </c>
      <c r="X120" s="463">
        <f t="shared" si="107"/>
        <v>4.3818205147805509</v>
      </c>
      <c r="Y120" s="463">
        <f t="shared" si="108"/>
        <v>7.680140409500677E-2</v>
      </c>
      <c r="Z120" s="463">
        <f t="shared" si="62"/>
        <v>0.226007685660845</v>
      </c>
      <c r="AA120" s="463">
        <f t="shared" si="63"/>
        <v>3.0000000000000002E-2</v>
      </c>
      <c r="AB120" s="463">
        <f t="shared" si="64"/>
        <v>0</v>
      </c>
      <c r="AC120" s="463">
        <f t="shared" si="109"/>
        <v>0.33538489282396516</v>
      </c>
      <c r="AD120" s="463">
        <f t="shared" si="110"/>
        <v>5.1212295251837014</v>
      </c>
      <c r="AE120" s="463">
        <f t="shared" si="111"/>
        <v>0.10490796739845312</v>
      </c>
      <c r="AF120" s="463">
        <f t="shared" si="67"/>
        <v>9.9900000000000003E-2</v>
      </c>
      <c r="AG120" s="463">
        <f t="shared" si="112"/>
        <v>0.20697934564293941</v>
      </c>
      <c r="AH120" s="463">
        <f t="shared" si="113"/>
        <v>0</v>
      </c>
      <c r="AI120">
        <f t="shared" si="70"/>
        <v>0</v>
      </c>
      <c r="AJ120" s="464">
        <f t="shared" si="71"/>
        <v>0.1197336</v>
      </c>
      <c r="AK120">
        <f t="shared" si="84"/>
        <v>3.6000000000000004E-2</v>
      </c>
      <c r="AL120" s="464">
        <f t="shared" si="85"/>
        <v>0.27</v>
      </c>
      <c r="AM120" s="464">
        <f t="shared" si="86"/>
        <v>0.17963774597495527</v>
      </c>
      <c r="AN120" s="464">
        <f t="shared" si="114"/>
        <v>0.30600000000000005</v>
      </c>
      <c r="AO120" s="464">
        <f t="shared" si="115"/>
        <v>1.6933106325403595</v>
      </c>
      <c r="AP120" s="100">
        <f t="shared" si="73"/>
        <v>33.299999999999997</v>
      </c>
      <c r="AQ120" s="10">
        <f t="shared" si="116"/>
        <v>0.95161044777038772</v>
      </c>
      <c r="AR120" s="77">
        <f t="shared" si="117"/>
        <v>8.3846223205991297</v>
      </c>
      <c r="AS120" s="77">
        <f t="shared" si="118"/>
        <v>5.1744836410734854</v>
      </c>
      <c r="AT120" s="10"/>
      <c r="AU120">
        <f t="shared" si="119"/>
        <v>95.161044777038768</v>
      </c>
    </row>
    <row r="121" spans="7:47" x14ac:dyDescent="0.15">
      <c r="G121">
        <v>112</v>
      </c>
      <c r="H121">
        <f t="shared" si="55"/>
        <v>6.7200000000000006</v>
      </c>
      <c r="I121" s="463">
        <f t="shared" si="97"/>
        <v>0.42271466666666674</v>
      </c>
      <c r="J121" s="464">
        <f t="shared" si="56"/>
        <v>3.5866698989898995</v>
      </c>
      <c r="K121" s="464">
        <f t="shared" si="76"/>
        <v>8.5133349494949506</v>
      </c>
      <c r="L121" s="464">
        <f t="shared" si="98"/>
        <v>4.9266650505050507</v>
      </c>
      <c r="M121" s="77">
        <f t="shared" si="57"/>
        <v>0</v>
      </c>
      <c r="N121" s="463">
        <f t="shared" si="99"/>
        <v>6.7992953125325197</v>
      </c>
      <c r="O121" s="463">
        <f t="shared" si="100"/>
        <v>0.32247691768883341</v>
      </c>
      <c r="P121">
        <f t="shared" si="59"/>
        <v>0.4</v>
      </c>
      <c r="Q121" s="463">
        <f t="shared" si="79"/>
        <v>0.72247691768883349</v>
      </c>
      <c r="R121" s="9">
        <f t="shared" si="101"/>
        <v>1.0353824158380733</v>
      </c>
      <c r="S121" s="9">
        <f t="shared" si="102"/>
        <v>2.1440334940533703E-3</v>
      </c>
      <c r="T121" s="9">
        <f t="shared" si="103"/>
        <v>2.1440334940533703E-3</v>
      </c>
      <c r="U121" s="463">
        <f t="shared" si="104"/>
        <v>4.4206645659991528</v>
      </c>
      <c r="V121" s="465">
        <f t="shared" si="105"/>
        <v>6.4489508176765577E-3</v>
      </c>
      <c r="W121" s="463">
        <f t="shared" si="106"/>
        <v>6.4489508176765577E-3</v>
      </c>
      <c r="X121" s="463">
        <f t="shared" si="107"/>
        <v>4.4206645659991528</v>
      </c>
      <c r="Y121" s="463">
        <f t="shared" si="108"/>
        <v>7.8169100820321913E-2</v>
      </c>
      <c r="Z121" s="463">
        <f t="shared" si="62"/>
        <v>0.22783349963292893</v>
      </c>
      <c r="AA121" s="463">
        <f t="shared" si="63"/>
        <v>3.0000000000000002E-2</v>
      </c>
      <c r="AB121" s="463">
        <f t="shared" si="64"/>
        <v>0</v>
      </c>
      <c r="AC121" s="463">
        <f t="shared" si="109"/>
        <v>0.33864979545361035</v>
      </c>
      <c r="AD121" s="463">
        <f t="shared" si="110"/>
        <v>5.1660566723513801</v>
      </c>
      <c r="AE121" s="463">
        <f t="shared" si="111"/>
        <v>0.10675256616778486</v>
      </c>
      <c r="AF121" s="463">
        <f t="shared" si="67"/>
        <v>0.1008</v>
      </c>
      <c r="AG121" s="463">
        <f t="shared" si="112"/>
        <v>0.20979215121822542</v>
      </c>
      <c r="AH121" s="463">
        <f t="shared" si="113"/>
        <v>0</v>
      </c>
      <c r="AI121">
        <f t="shared" si="70"/>
        <v>0</v>
      </c>
      <c r="AJ121" s="464">
        <f t="shared" si="71"/>
        <v>0.1197312</v>
      </c>
      <c r="AK121">
        <f t="shared" si="84"/>
        <v>3.6000000000000004E-2</v>
      </c>
      <c r="AL121" s="464">
        <f t="shared" si="85"/>
        <v>0.27</v>
      </c>
      <c r="AM121" s="464">
        <f t="shared" si="86"/>
        <v>0.17963774597495527</v>
      </c>
      <c r="AN121" s="464">
        <f t="shared" si="114"/>
        <v>0.30600000000000005</v>
      </c>
      <c r="AO121" s="464">
        <f t="shared" si="115"/>
        <v>1.7052430486723993</v>
      </c>
      <c r="AP121" s="100">
        <f t="shared" si="73"/>
        <v>33.6</v>
      </c>
      <c r="AQ121" s="10">
        <f t="shared" si="116"/>
        <v>0.95170000539802191</v>
      </c>
      <c r="AR121" s="77">
        <f t="shared" si="117"/>
        <v>8.4662448863402595</v>
      </c>
      <c r="AS121" s="77">
        <f t="shared" si="118"/>
        <v>5.2448037804556353</v>
      </c>
      <c r="AT121" s="10"/>
      <c r="AU121">
        <f t="shared" si="119"/>
        <v>95.170000539802189</v>
      </c>
    </row>
    <row r="122" spans="7:47" x14ac:dyDescent="0.15">
      <c r="G122">
        <v>113</v>
      </c>
      <c r="H122">
        <f t="shared" si="55"/>
        <v>6.7799999999999994</v>
      </c>
      <c r="I122" s="463">
        <f t="shared" si="97"/>
        <v>0.42276866666666663</v>
      </c>
      <c r="J122" s="464">
        <f t="shared" si="56"/>
        <v>3.5871280808080805</v>
      </c>
      <c r="K122" s="464">
        <f t="shared" si="76"/>
        <v>8.5735640404040403</v>
      </c>
      <c r="L122" s="464">
        <f t="shared" si="98"/>
        <v>4.9864359595959593</v>
      </c>
      <c r="M122" s="77">
        <f t="shared" si="57"/>
        <v>0</v>
      </c>
      <c r="N122" s="463">
        <f t="shared" si="99"/>
        <v>6.8586216294294013</v>
      </c>
      <c r="O122" s="463">
        <f t="shared" si="100"/>
        <v>0.32827735861836216</v>
      </c>
      <c r="P122">
        <f t="shared" si="59"/>
        <v>0.4</v>
      </c>
      <c r="Q122" s="463">
        <f t="shared" si="79"/>
        <v>0.72827735861836218</v>
      </c>
      <c r="R122" s="9">
        <f t="shared" si="101"/>
        <v>1.0355146815361056</v>
      </c>
      <c r="S122" s="9">
        <f t="shared" si="102"/>
        <v>2.1445813113536443E-3</v>
      </c>
      <c r="T122" s="9">
        <f t="shared" si="103"/>
        <v>2.1445813113536443E-3</v>
      </c>
      <c r="U122" s="463">
        <f t="shared" si="104"/>
        <v>4.4595212823328483</v>
      </c>
      <c r="V122" s="465">
        <f t="shared" si="105"/>
        <v>6.5628189223012716E-3</v>
      </c>
      <c r="W122" s="463">
        <f t="shared" si="106"/>
        <v>6.5628189223012716E-3</v>
      </c>
      <c r="X122" s="463">
        <f t="shared" si="107"/>
        <v>4.4595212823328483</v>
      </c>
      <c r="Y122" s="463">
        <f t="shared" si="108"/>
        <v>7.9549320270318455E-2</v>
      </c>
      <c r="Z122" s="463">
        <f t="shared" si="62"/>
        <v>0.22965931360501277</v>
      </c>
      <c r="AA122" s="463">
        <f t="shared" si="63"/>
        <v>3.0000000000000002E-2</v>
      </c>
      <c r="AB122" s="463">
        <f t="shared" si="64"/>
        <v>0</v>
      </c>
      <c r="AC122" s="463">
        <f t="shared" si="109"/>
        <v>0.34192865306858639</v>
      </c>
      <c r="AD122" s="463">
        <f t="shared" si="110"/>
        <v>5.2108886562751664</v>
      </c>
      <c r="AE122" s="463">
        <f t="shared" si="111"/>
        <v>0.10861344235238883</v>
      </c>
      <c r="AF122" s="463">
        <f t="shared" si="67"/>
        <v>0.10169999999999998</v>
      </c>
      <c r="AG122" s="463">
        <f t="shared" si="112"/>
        <v>0.21262281190475074</v>
      </c>
      <c r="AH122" s="463">
        <f t="shared" si="113"/>
        <v>0</v>
      </c>
      <c r="AI122">
        <f t="shared" si="70"/>
        <v>0</v>
      </c>
      <c r="AJ122" s="464">
        <f t="shared" si="71"/>
        <v>0.1197288</v>
      </c>
      <c r="AK122">
        <f t="shared" si="84"/>
        <v>3.6000000000000004E-2</v>
      </c>
      <c r="AL122" s="464">
        <f t="shared" si="85"/>
        <v>0.27</v>
      </c>
      <c r="AM122" s="464">
        <f t="shared" si="86"/>
        <v>0.17963774597495527</v>
      </c>
      <c r="AN122" s="464">
        <f t="shared" si="114"/>
        <v>0.30600000000000005</v>
      </c>
      <c r="AO122" s="464">
        <f t="shared" si="115"/>
        <v>1.7172650238253544</v>
      </c>
      <c r="AP122" s="100">
        <f t="shared" si="73"/>
        <v>33.9</v>
      </c>
      <c r="AQ122" s="10">
        <f t="shared" si="116"/>
        <v>0.95178560109327237</v>
      </c>
      <c r="AR122" s="77">
        <f t="shared" si="117"/>
        <v>8.5482163267146589</v>
      </c>
      <c r="AS122" s="77">
        <f t="shared" si="118"/>
        <v>5.3155702976187689</v>
      </c>
      <c r="AT122" s="10"/>
      <c r="AU122">
        <f t="shared" si="119"/>
        <v>95.178560109327236</v>
      </c>
    </row>
    <row r="123" spans="7:47" x14ac:dyDescent="0.15">
      <c r="G123">
        <v>114</v>
      </c>
      <c r="H123">
        <f t="shared" si="55"/>
        <v>6.84</v>
      </c>
      <c r="I123" s="463">
        <f t="shared" si="97"/>
        <v>0.42282266666666662</v>
      </c>
      <c r="J123" s="464">
        <f t="shared" si="56"/>
        <v>3.5875862626262625</v>
      </c>
      <c r="K123" s="464">
        <f t="shared" si="76"/>
        <v>8.6337931313131318</v>
      </c>
      <c r="L123" s="464">
        <f t="shared" si="98"/>
        <v>5.0462068686868689</v>
      </c>
      <c r="M123" s="77">
        <f t="shared" si="57"/>
        <v>0</v>
      </c>
      <c r="N123" s="463">
        <f t="shared" si="99"/>
        <v>6.917959569072039</v>
      </c>
      <c r="O123" s="463">
        <f t="shared" si="100"/>
        <v>0.33413466226100891</v>
      </c>
      <c r="P123">
        <f t="shared" si="59"/>
        <v>0.4</v>
      </c>
      <c r="Q123" s="463">
        <f t="shared" si="79"/>
        <v>0.73413466226100899</v>
      </c>
      <c r="R123" s="9">
        <f t="shared" si="101"/>
        <v>1.0356469472341381</v>
      </c>
      <c r="S123" s="9">
        <f t="shared" si="102"/>
        <v>2.1451291986307793E-3</v>
      </c>
      <c r="T123" s="9">
        <f t="shared" si="103"/>
        <v>2.1451291986307793E-3</v>
      </c>
      <c r="U123" s="463">
        <f t="shared" si="104"/>
        <v>4.4983904652280682</v>
      </c>
      <c r="V123" s="465">
        <f t="shared" si="105"/>
        <v>6.6777205366260819E-3</v>
      </c>
      <c r="W123" s="463">
        <f t="shared" si="106"/>
        <v>6.6777205366260819E-3</v>
      </c>
      <c r="X123" s="463">
        <f t="shared" si="107"/>
        <v>4.4983904652280682</v>
      </c>
      <c r="Y123" s="463">
        <f t="shared" si="108"/>
        <v>8.0942067110619173E-2</v>
      </c>
      <c r="Z123" s="463">
        <f t="shared" si="62"/>
        <v>0.23148512757709663</v>
      </c>
      <c r="AA123" s="463">
        <f t="shared" si="63"/>
        <v>3.0000000000000002E-2</v>
      </c>
      <c r="AB123" s="463">
        <f t="shared" si="64"/>
        <v>0</v>
      </c>
      <c r="AC123" s="463">
        <f t="shared" si="109"/>
        <v>0.3452214887789935</v>
      </c>
      <c r="AD123" s="463">
        <f t="shared" si="110"/>
        <v>5.255725242215445</v>
      </c>
      <c r="AE123" s="463">
        <f t="shared" si="111"/>
        <v>0.1104905912866424</v>
      </c>
      <c r="AF123" s="463">
        <f t="shared" si="67"/>
        <v>0.1026</v>
      </c>
      <c r="AG123" s="463">
        <f t="shared" si="112"/>
        <v>0.21547134693950998</v>
      </c>
      <c r="AH123" s="463">
        <f t="shared" si="113"/>
        <v>0</v>
      </c>
      <c r="AI123">
        <f t="shared" si="70"/>
        <v>0</v>
      </c>
      <c r="AJ123" s="464">
        <f t="shared" si="71"/>
        <v>0.11972640000000001</v>
      </c>
      <c r="AK123">
        <f t="shared" si="84"/>
        <v>3.6000000000000004E-2</v>
      </c>
      <c r="AL123" s="464">
        <f t="shared" si="85"/>
        <v>0.27</v>
      </c>
      <c r="AM123" s="464">
        <f t="shared" si="86"/>
        <v>0.17963774597495527</v>
      </c>
      <c r="AN123" s="464">
        <f t="shared" si="114"/>
        <v>0.30600000000000005</v>
      </c>
      <c r="AO123" s="464">
        <f t="shared" si="115"/>
        <v>1.7293767477147692</v>
      </c>
      <c r="AP123" s="100">
        <f t="shared" si="73"/>
        <v>34.200000000000003</v>
      </c>
      <c r="AQ123" s="10">
        <f t="shared" si="116"/>
        <v>0.95186733240996835</v>
      </c>
      <c r="AR123" s="77">
        <f t="shared" si="117"/>
        <v>8.6305372194748369</v>
      </c>
      <c r="AS123" s="77">
        <f t="shared" si="118"/>
        <v>5.3867836734877494</v>
      </c>
      <c r="AT123" s="10"/>
      <c r="AU123">
        <f t="shared" si="119"/>
        <v>95.18673324099683</v>
      </c>
    </row>
    <row r="124" spans="7:47" x14ac:dyDescent="0.15">
      <c r="G124">
        <v>115</v>
      </c>
      <c r="H124">
        <f t="shared" si="55"/>
        <v>6.8999999999999995</v>
      </c>
      <c r="I124" s="463">
        <f t="shared" si="97"/>
        <v>0.42287666666666662</v>
      </c>
      <c r="J124" s="464">
        <f t="shared" si="56"/>
        <v>3.5880444444444439</v>
      </c>
      <c r="K124" s="464">
        <f t="shared" si="76"/>
        <v>8.6940222222222214</v>
      </c>
      <c r="L124" s="464">
        <f t="shared" si="98"/>
        <v>5.1059777777777775</v>
      </c>
      <c r="M124" s="77">
        <f t="shared" si="57"/>
        <v>0</v>
      </c>
      <c r="N124" s="463">
        <f t="shared" si="99"/>
        <v>6.9773088349264274</v>
      </c>
      <c r="O124" s="463">
        <f t="shared" si="100"/>
        <v>0.34004897724037586</v>
      </c>
      <c r="P124">
        <f t="shared" si="59"/>
        <v>0.4</v>
      </c>
      <c r="Q124" s="463">
        <f t="shared" si="79"/>
        <v>0.74004897724037588</v>
      </c>
      <c r="R124" s="9">
        <f t="shared" si="101"/>
        <v>1.0357792129321706</v>
      </c>
      <c r="S124" s="9">
        <f t="shared" si="102"/>
        <v>2.1456771558847738E-3</v>
      </c>
      <c r="T124" s="9">
        <f t="shared" si="103"/>
        <v>2.1456771558847738E-3</v>
      </c>
      <c r="U124" s="463">
        <f t="shared" si="104"/>
        <v>4.5372719228311276</v>
      </c>
      <c r="V124" s="465">
        <f t="shared" si="105"/>
        <v>6.7936560455648535E-3</v>
      </c>
      <c r="W124" s="463">
        <f t="shared" si="106"/>
        <v>6.7936560455648535E-3</v>
      </c>
      <c r="X124" s="463">
        <f t="shared" si="107"/>
        <v>4.5372719228311276</v>
      </c>
      <c r="Y124" s="463">
        <f t="shared" si="108"/>
        <v>8.2347346006846706E-2</v>
      </c>
      <c r="Z124" s="463">
        <f t="shared" si="62"/>
        <v>0.23331094154918053</v>
      </c>
      <c r="AA124" s="463">
        <f t="shared" si="63"/>
        <v>3.0000000000000002E-2</v>
      </c>
      <c r="AB124" s="463">
        <f t="shared" si="64"/>
        <v>0</v>
      </c>
      <c r="AC124" s="463">
        <f t="shared" si="109"/>
        <v>0.34852832581997567</v>
      </c>
      <c r="AD124" s="463">
        <f t="shared" si="110"/>
        <v>5.3005662033626848</v>
      </c>
      <c r="AE124" s="463">
        <f t="shared" si="111"/>
        <v>0.11238400830492283</v>
      </c>
      <c r="AF124" s="463">
        <f t="shared" si="67"/>
        <v>0.10349999999999999</v>
      </c>
      <c r="AG124" s="463">
        <f t="shared" si="112"/>
        <v>0.21833777574518537</v>
      </c>
      <c r="AH124" s="463">
        <f t="shared" si="113"/>
        <v>0</v>
      </c>
      <c r="AI124">
        <f t="shared" si="70"/>
        <v>0</v>
      </c>
      <c r="AJ124" s="464">
        <f t="shared" si="71"/>
        <v>0.11972400000000001</v>
      </c>
      <c r="AK124">
        <f t="shared" si="84"/>
        <v>3.6000000000000004E-2</v>
      </c>
      <c r="AL124" s="464">
        <f t="shared" si="85"/>
        <v>0.27</v>
      </c>
      <c r="AM124" s="464">
        <f t="shared" si="86"/>
        <v>0.17963774597495527</v>
      </c>
      <c r="AN124" s="464">
        <f t="shared" si="114"/>
        <v>0.30600000000000005</v>
      </c>
      <c r="AO124" s="464">
        <f t="shared" si="115"/>
        <v>1.7415784120069866</v>
      </c>
      <c r="AP124" s="100">
        <f t="shared" si="73"/>
        <v>34.5</v>
      </c>
      <c r="AQ124" s="10">
        <f t="shared" si="116"/>
        <v>0.95194529354632096</v>
      </c>
      <c r="AR124" s="77">
        <f t="shared" si="117"/>
        <v>8.7132081454993919</v>
      </c>
      <c r="AS124" s="77">
        <f t="shared" si="118"/>
        <v>5.4584443936296339</v>
      </c>
      <c r="AT124" s="10"/>
      <c r="AU124">
        <f t="shared" si="119"/>
        <v>95.194529354632095</v>
      </c>
    </row>
    <row r="125" spans="7:47" x14ac:dyDescent="0.15">
      <c r="G125">
        <v>116</v>
      </c>
      <c r="H125">
        <f t="shared" si="55"/>
        <v>6.9599999999999991</v>
      </c>
      <c r="I125" s="463">
        <f t="shared" si="97"/>
        <v>0.42293066666666673</v>
      </c>
      <c r="J125" s="464">
        <f t="shared" si="56"/>
        <v>3.5885026262626267</v>
      </c>
      <c r="K125" s="464">
        <f t="shared" si="76"/>
        <v>8.7542513131313129</v>
      </c>
      <c r="L125" s="464">
        <f t="shared" si="98"/>
        <v>5.1657486868686853</v>
      </c>
      <c r="M125" s="77">
        <f t="shared" si="57"/>
        <v>0</v>
      </c>
      <c r="N125" s="463">
        <f t="shared" si="99"/>
        <v>7.0366691404071151</v>
      </c>
      <c r="O125" s="463">
        <f t="shared" si="100"/>
        <v>0.3460204538298623</v>
      </c>
      <c r="P125">
        <f t="shared" si="59"/>
        <v>0.4</v>
      </c>
      <c r="Q125" s="463">
        <f t="shared" si="79"/>
        <v>0.74602045382986226</v>
      </c>
      <c r="R125" s="9">
        <f t="shared" si="101"/>
        <v>1.0359114786302033</v>
      </c>
      <c r="S125" s="9">
        <f t="shared" si="102"/>
        <v>2.1462251831156284E-3</v>
      </c>
      <c r="T125" s="9">
        <f t="shared" si="103"/>
        <v>2.1462251831156284E-3</v>
      </c>
      <c r="U125" s="463">
        <f t="shared" si="104"/>
        <v>4.5761654697088847</v>
      </c>
      <c r="V125" s="465">
        <f t="shared" si="105"/>
        <v>6.9106258340314586E-3</v>
      </c>
      <c r="W125" s="463">
        <f t="shared" si="106"/>
        <v>6.9106258340314586E-3</v>
      </c>
      <c r="X125" s="463">
        <f t="shared" si="107"/>
        <v>4.5761654697088847</v>
      </c>
      <c r="Y125" s="463">
        <f t="shared" si="108"/>
        <v>8.3765161624623746E-2</v>
      </c>
      <c r="Z125" s="463">
        <f t="shared" si="62"/>
        <v>0.2351367555212644</v>
      </c>
      <c r="AA125" s="463">
        <f t="shared" si="63"/>
        <v>3.0000000000000002E-2</v>
      </c>
      <c r="AB125" s="463">
        <f t="shared" si="64"/>
        <v>0</v>
      </c>
      <c r="AC125" s="463">
        <f t="shared" si="109"/>
        <v>0.35184918755216815</v>
      </c>
      <c r="AD125" s="463">
        <f t="shared" si="110"/>
        <v>5.3454113205067637</v>
      </c>
      <c r="AE125" s="463">
        <f t="shared" si="111"/>
        <v>0.11429368874160746</v>
      </c>
      <c r="AF125" s="463">
        <f t="shared" si="67"/>
        <v>0.10439999999999998</v>
      </c>
      <c r="AG125" s="463">
        <f t="shared" si="112"/>
        <v>0.2212221179305589</v>
      </c>
      <c r="AH125" s="463">
        <f t="shared" si="113"/>
        <v>0</v>
      </c>
      <c r="AI125">
        <f t="shared" si="70"/>
        <v>0</v>
      </c>
      <c r="AJ125" s="464">
        <f t="shared" si="71"/>
        <v>0.11972160000000001</v>
      </c>
      <c r="AK125">
        <f t="shared" si="84"/>
        <v>3.6000000000000004E-2</v>
      </c>
      <c r="AL125" s="464">
        <f t="shared" si="85"/>
        <v>0.27</v>
      </c>
      <c r="AM125" s="464">
        <f t="shared" si="86"/>
        <v>0.17963774597495527</v>
      </c>
      <c r="AN125" s="464">
        <f t="shared" si="114"/>
        <v>0.30600000000000005</v>
      </c>
      <c r="AO125" s="464">
        <f t="shared" si="115"/>
        <v>1.7538702103297366</v>
      </c>
      <c r="AP125" s="100">
        <f t="shared" si="73"/>
        <v>34.799999999999997</v>
      </c>
      <c r="AQ125" s="10">
        <f t="shared" si="116"/>
        <v>0.95201957548576865</v>
      </c>
      <c r="AR125" s="77">
        <f t="shared" si="117"/>
        <v>8.7962296888042033</v>
      </c>
      <c r="AS125" s="77">
        <f t="shared" si="118"/>
        <v>5.5305529482639724</v>
      </c>
      <c r="AT125" s="10"/>
      <c r="AU125">
        <f t="shared" si="119"/>
        <v>95.201957548576871</v>
      </c>
    </row>
    <row r="126" spans="7:47" x14ac:dyDescent="0.15">
      <c r="G126">
        <v>117</v>
      </c>
      <c r="H126">
        <f t="shared" si="55"/>
        <v>7.02</v>
      </c>
      <c r="I126" s="463">
        <f t="shared" si="97"/>
        <v>0.42298466666666662</v>
      </c>
      <c r="J126" s="464">
        <f t="shared" si="56"/>
        <v>3.5889608080808078</v>
      </c>
      <c r="K126" s="464">
        <f t="shared" si="76"/>
        <v>8.8144804040404026</v>
      </c>
      <c r="L126" s="464">
        <f t="shared" si="98"/>
        <v>5.2255195959595957</v>
      </c>
      <c r="M126" s="77">
        <f t="shared" si="57"/>
        <v>0</v>
      </c>
      <c r="N126" s="463">
        <f t="shared" si="99"/>
        <v>7.0960402084656806</v>
      </c>
      <c r="O126" s="463">
        <f t="shared" si="100"/>
        <v>0.35204924396252074</v>
      </c>
      <c r="P126">
        <f t="shared" si="59"/>
        <v>0.4</v>
      </c>
      <c r="Q126" s="463">
        <f t="shared" si="79"/>
        <v>0.75204924396252082</v>
      </c>
      <c r="R126" s="9">
        <f t="shared" si="101"/>
        <v>1.0360437443282355</v>
      </c>
      <c r="S126" s="9">
        <f t="shared" si="102"/>
        <v>2.1467732803233408E-3</v>
      </c>
      <c r="T126" s="9">
        <f t="shared" si="103"/>
        <v>2.1467732803233408E-3</v>
      </c>
      <c r="U126" s="463">
        <f t="shared" si="104"/>
        <v>4.6150709265831686</v>
      </c>
      <c r="V126" s="465">
        <f t="shared" si="105"/>
        <v>7.0286302869397646E-3</v>
      </c>
      <c r="W126" s="463">
        <f t="shared" si="106"/>
        <v>7.0286302869397646E-3</v>
      </c>
      <c r="X126" s="463">
        <f t="shared" si="107"/>
        <v>4.6150709265831686</v>
      </c>
      <c r="Y126" s="463">
        <f t="shared" si="108"/>
        <v>8.5195518629572906E-2</v>
      </c>
      <c r="Z126" s="463">
        <f t="shared" si="62"/>
        <v>0.23696256949334829</v>
      </c>
      <c r="AA126" s="463">
        <f t="shared" si="63"/>
        <v>3.0000000000000002E-2</v>
      </c>
      <c r="AB126" s="463">
        <f t="shared" si="64"/>
        <v>0</v>
      </c>
      <c r="AC126" s="463">
        <f t="shared" si="109"/>
        <v>0.35518409746214763</v>
      </c>
      <c r="AD126" s="463">
        <f t="shared" si="110"/>
        <v>5.3902603817226149</v>
      </c>
      <c r="AE126" s="463">
        <f t="shared" si="111"/>
        <v>0.11621962793107372</v>
      </c>
      <c r="AF126" s="463">
        <f t="shared" si="67"/>
        <v>0.10529999999999999</v>
      </c>
      <c r="AG126" s="463">
        <f t="shared" si="112"/>
        <v>0.22412439329092865</v>
      </c>
      <c r="AH126" s="463">
        <f t="shared" si="113"/>
        <v>0</v>
      </c>
      <c r="AI126">
        <f t="shared" si="70"/>
        <v>0</v>
      </c>
      <c r="AJ126" s="464">
        <f t="shared" si="71"/>
        <v>0.11971920000000001</v>
      </c>
      <c r="AK126">
        <f t="shared" si="84"/>
        <v>3.6000000000000004E-2</v>
      </c>
      <c r="AL126" s="464">
        <f t="shared" si="85"/>
        <v>0.27</v>
      </c>
      <c r="AM126" s="464">
        <f t="shared" si="86"/>
        <v>0.17963774597495527</v>
      </c>
      <c r="AN126" s="464">
        <f t="shared" si="114"/>
        <v>0.30600000000000005</v>
      </c>
      <c r="AO126" s="464">
        <f t="shared" si="115"/>
        <v>1.7662523382828603</v>
      </c>
      <c r="AP126" s="100">
        <f t="shared" si="73"/>
        <v>35.099999999999994</v>
      </c>
      <c r="AQ126" s="10">
        <f t="shared" si="116"/>
        <v>0.95209026613077408</v>
      </c>
      <c r="AR126" s="77">
        <f t="shared" si="117"/>
        <v>8.8796024365536912</v>
      </c>
      <c r="AS126" s="77">
        <f t="shared" si="118"/>
        <v>5.6031098322732165</v>
      </c>
      <c r="AT126" s="10"/>
      <c r="AU126">
        <f t="shared" si="119"/>
        <v>95.209026613077413</v>
      </c>
    </row>
    <row r="127" spans="7:47" x14ac:dyDescent="0.15">
      <c r="G127">
        <v>118</v>
      </c>
      <c r="H127">
        <f t="shared" si="55"/>
        <v>7.08</v>
      </c>
      <c r="I127" s="463">
        <f t="shared" si="97"/>
        <v>0.42303866666666662</v>
      </c>
      <c r="J127" s="464">
        <f t="shared" si="56"/>
        <v>3.5894189898989897</v>
      </c>
      <c r="K127" s="464">
        <f t="shared" si="76"/>
        <v>8.8747094949494958</v>
      </c>
      <c r="L127" s="464">
        <f t="shared" si="98"/>
        <v>5.2852905050505052</v>
      </c>
      <c r="M127" s="77">
        <f t="shared" si="57"/>
        <v>0</v>
      </c>
      <c r="N127" s="463">
        <f t="shared" si="99"/>
        <v>7.1554217711993724</v>
      </c>
      <c r="O127" s="463">
        <f t="shared" si="100"/>
        <v>0.3581355012410421</v>
      </c>
      <c r="P127">
        <f t="shared" si="59"/>
        <v>0.4</v>
      </c>
      <c r="Q127" s="463">
        <f t="shared" si="79"/>
        <v>0.75813550124104212</v>
      </c>
      <c r="R127" s="9">
        <f t="shared" si="101"/>
        <v>1.0361760100262682</v>
      </c>
      <c r="S127" s="9">
        <f t="shared" si="102"/>
        <v>2.1473214475079142E-3</v>
      </c>
      <c r="T127" s="9">
        <f t="shared" si="103"/>
        <v>2.1473214475079142E-3</v>
      </c>
      <c r="U127" s="463">
        <f t="shared" si="104"/>
        <v>4.6539881200782238</v>
      </c>
      <c r="V127" s="465">
        <f t="shared" si="105"/>
        <v>7.1476697892036492E-3</v>
      </c>
      <c r="W127" s="463">
        <f t="shared" si="106"/>
        <v>7.1476697892036492E-3</v>
      </c>
      <c r="X127" s="463">
        <f t="shared" si="107"/>
        <v>4.6539881200782238</v>
      </c>
      <c r="Y127" s="463">
        <f t="shared" si="108"/>
        <v>8.663842168731696E-2</v>
      </c>
      <c r="Z127" s="463">
        <f t="shared" si="62"/>
        <v>0.23878838346543221</v>
      </c>
      <c r="AA127" s="463">
        <f t="shared" si="63"/>
        <v>3.0000000000000002E-2</v>
      </c>
      <c r="AB127" s="463">
        <f t="shared" si="64"/>
        <v>0</v>
      </c>
      <c r="AC127" s="463">
        <f t="shared" si="109"/>
        <v>0.35853307916288579</v>
      </c>
      <c r="AD127" s="463">
        <f t="shared" si="110"/>
        <v>5.4351131820712544</v>
      </c>
      <c r="AE127" s="463">
        <f t="shared" si="111"/>
        <v>0.11816182120769887</v>
      </c>
      <c r="AF127" s="463">
        <f t="shared" si="67"/>
        <v>0.1062</v>
      </c>
      <c r="AG127" s="463">
        <f t="shared" si="112"/>
        <v>0.22704462180852977</v>
      </c>
      <c r="AH127" s="463">
        <f t="shared" si="113"/>
        <v>0</v>
      </c>
      <c r="AI127">
        <f t="shared" si="70"/>
        <v>0</v>
      </c>
      <c r="AJ127" s="464">
        <f t="shared" si="71"/>
        <v>0.1197168</v>
      </c>
      <c r="AK127">
        <f t="shared" si="84"/>
        <v>3.6000000000000004E-2</v>
      </c>
      <c r="AL127" s="464">
        <f t="shared" si="85"/>
        <v>0.27</v>
      </c>
      <c r="AM127" s="464">
        <f t="shared" si="86"/>
        <v>0.17963774597495527</v>
      </c>
      <c r="AN127" s="464">
        <f t="shared" si="114"/>
        <v>0.30600000000000005</v>
      </c>
      <c r="AO127" s="464">
        <f t="shared" si="115"/>
        <v>1.7787249934491693</v>
      </c>
      <c r="AP127" s="100">
        <f t="shared" si="73"/>
        <v>35.4</v>
      </c>
      <c r="AQ127" s="10">
        <f t="shared" si="116"/>
        <v>0.95215745042998179</v>
      </c>
      <c r="AR127" s="77">
        <f t="shared" si="117"/>
        <v>8.9633269790721446</v>
      </c>
      <c r="AS127" s="77">
        <f t="shared" si="118"/>
        <v>5.6761155452132446</v>
      </c>
      <c r="AT127" s="10"/>
      <c r="AU127">
        <f t="shared" si="119"/>
        <v>95.215745042998179</v>
      </c>
    </row>
    <row r="128" spans="7:47" x14ac:dyDescent="0.15">
      <c r="G128">
        <v>119</v>
      </c>
      <c r="H128">
        <f t="shared" si="55"/>
        <v>7.14</v>
      </c>
      <c r="I128" s="463">
        <f t="shared" si="97"/>
        <v>0.42309266666666662</v>
      </c>
      <c r="J128" s="464">
        <f t="shared" si="56"/>
        <v>3.5898771717171711</v>
      </c>
      <c r="K128" s="464">
        <f t="shared" si="76"/>
        <v>8.9349385858585855</v>
      </c>
      <c r="L128" s="464">
        <f t="shared" si="98"/>
        <v>5.3450614141414139</v>
      </c>
      <c r="M128" s="77">
        <f t="shared" si="57"/>
        <v>0</v>
      </c>
      <c r="N128" s="463">
        <f t="shared" si="99"/>
        <v>7.2148135694787481</v>
      </c>
      <c r="O128" s="463">
        <f t="shared" si="100"/>
        <v>0.36427938094786738</v>
      </c>
      <c r="P128">
        <f t="shared" si="59"/>
        <v>0.4</v>
      </c>
      <c r="Q128" s="463">
        <f t="shared" si="79"/>
        <v>0.7642793809478674</v>
      </c>
      <c r="R128" s="9">
        <f t="shared" si="101"/>
        <v>1.0363082757243007</v>
      </c>
      <c r="S128" s="9">
        <f t="shared" si="102"/>
        <v>2.1478696846693466E-3</v>
      </c>
      <c r="T128" s="9">
        <f t="shared" si="103"/>
        <v>2.1478696846693466E-3</v>
      </c>
      <c r="U128" s="463">
        <f t="shared" si="104"/>
        <v>4.6929168824804073</v>
      </c>
      <c r="V128" s="465">
        <f t="shared" si="105"/>
        <v>7.2677447257369762E-3</v>
      </c>
      <c r="W128" s="463">
        <f t="shared" si="106"/>
        <v>7.2677447257369762E-3</v>
      </c>
      <c r="X128" s="463">
        <f t="shared" si="107"/>
        <v>4.6929168824804073</v>
      </c>
      <c r="Y128" s="463">
        <f t="shared" si="108"/>
        <v>8.8093875463478494E-2</v>
      </c>
      <c r="Z128" s="463">
        <f t="shared" si="62"/>
        <v>0.24061419743751608</v>
      </c>
      <c r="AA128" s="463">
        <f t="shared" si="63"/>
        <v>3.0000000000000002E-2</v>
      </c>
      <c r="AB128" s="463">
        <f t="shared" si="64"/>
        <v>0</v>
      </c>
      <c r="AC128" s="463">
        <f t="shared" si="109"/>
        <v>0.36189615639420486</v>
      </c>
      <c r="AD128" s="463">
        <f t="shared" si="110"/>
        <v>5.4799695233153498</v>
      </c>
      <c r="AE128" s="463">
        <f t="shared" si="111"/>
        <v>0.12012026390586025</v>
      </c>
      <c r="AF128" s="463">
        <f t="shared" si="67"/>
        <v>0.10709999999999999</v>
      </c>
      <c r="AG128" s="463">
        <f t="shared" si="112"/>
        <v>0.22998282365296113</v>
      </c>
      <c r="AH128" s="463">
        <f t="shared" si="113"/>
        <v>0</v>
      </c>
      <c r="AI128">
        <f t="shared" si="70"/>
        <v>0</v>
      </c>
      <c r="AJ128" s="464">
        <f t="shared" si="71"/>
        <v>0.1197144</v>
      </c>
      <c r="AK128">
        <f t="shared" si="84"/>
        <v>3.6000000000000004E-2</v>
      </c>
      <c r="AL128" s="464">
        <f t="shared" si="85"/>
        <v>0.27</v>
      </c>
      <c r="AM128" s="464">
        <f t="shared" si="86"/>
        <v>0.17963774597495527</v>
      </c>
      <c r="AN128" s="464">
        <f t="shared" si="114"/>
        <v>0.30600000000000005</v>
      </c>
      <c r="AO128" s="464">
        <f t="shared" si="115"/>
        <v>1.7912883754054398</v>
      </c>
      <c r="AP128" s="100">
        <f t="shared" si="73"/>
        <v>35.699999999999996</v>
      </c>
      <c r="AQ128" s="10">
        <f t="shared" si="116"/>
        <v>0.95222121049911601</v>
      </c>
      <c r="AR128" s="77">
        <f t="shared" si="117"/>
        <v>9.047403909855122</v>
      </c>
      <c r="AS128" s="77">
        <f t="shared" si="118"/>
        <v>5.7495705913240283</v>
      </c>
      <c r="AT128" s="10"/>
      <c r="AU128">
        <f t="shared" si="119"/>
        <v>95.222121049911607</v>
      </c>
    </row>
    <row r="129" spans="7:47" x14ac:dyDescent="0.15">
      <c r="G129">
        <v>120</v>
      </c>
      <c r="H129">
        <f t="shared" si="55"/>
        <v>7.1999999999999993</v>
      </c>
      <c r="I129" s="463">
        <f t="shared" si="97"/>
        <v>0.42314666666666673</v>
      </c>
      <c r="J129" s="464">
        <f t="shared" si="56"/>
        <v>3.5903353535353544</v>
      </c>
      <c r="K129" s="464">
        <f t="shared" si="76"/>
        <v>8.9951676767676769</v>
      </c>
      <c r="L129" s="464">
        <f t="shared" si="98"/>
        <v>5.4048323232323217</v>
      </c>
      <c r="M129" s="77">
        <f t="shared" si="57"/>
        <v>0</v>
      </c>
      <c r="N129" s="463">
        <f t="shared" si="99"/>
        <v>7.2742153525932816</v>
      </c>
      <c r="O129" s="463">
        <f t="shared" si="100"/>
        <v>0.37048104005543286</v>
      </c>
      <c r="P129">
        <f t="shared" si="59"/>
        <v>0.4</v>
      </c>
      <c r="Q129" s="463">
        <f t="shared" si="79"/>
        <v>0.77048104005543294</v>
      </c>
      <c r="R129" s="9">
        <f t="shared" si="101"/>
        <v>1.0364405414223337</v>
      </c>
      <c r="S129" s="9">
        <f t="shared" si="102"/>
        <v>2.1484179918076405E-3</v>
      </c>
      <c r="T129" s="9">
        <f t="shared" si="103"/>
        <v>2.1484179918076405E-3</v>
      </c>
      <c r="U129" s="463">
        <f t="shared" si="104"/>
        <v>4.7318570515094862</v>
      </c>
      <c r="V129" s="465">
        <f t="shared" si="105"/>
        <v>7.3888554814536163E-3</v>
      </c>
      <c r="W129" s="463">
        <f t="shared" si="106"/>
        <v>7.3888554814536163E-3</v>
      </c>
      <c r="X129" s="463">
        <f t="shared" si="107"/>
        <v>4.7318570515094862</v>
      </c>
      <c r="Y129" s="463">
        <f t="shared" si="108"/>
        <v>8.9561884623680199E-2</v>
      </c>
      <c r="Z129" s="463">
        <f t="shared" si="62"/>
        <v>0.24244001140959998</v>
      </c>
      <c r="AA129" s="463">
        <f t="shared" si="63"/>
        <v>3.0000000000000002E-2</v>
      </c>
      <c r="AB129" s="463">
        <f t="shared" si="64"/>
        <v>0</v>
      </c>
      <c r="AC129" s="463">
        <f t="shared" si="109"/>
        <v>0.36527335302323738</v>
      </c>
      <c r="AD129" s="463">
        <f t="shared" si="110"/>
        <v>5.524829213648486</v>
      </c>
      <c r="AE129" s="463">
        <f t="shared" si="111"/>
        <v>0.12209495135993499</v>
      </c>
      <c r="AF129" s="463">
        <f t="shared" si="67"/>
        <v>0.10799999999999998</v>
      </c>
      <c r="AG129" s="463">
        <f t="shared" si="112"/>
        <v>0.232939019181616</v>
      </c>
      <c r="AH129" s="463">
        <f t="shared" si="113"/>
        <v>0</v>
      </c>
      <c r="AI129">
        <f t="shared" si="70"/>
        <v>0</v>
      </c>
      <c r="AJ129" s="464">
        <f t="shared" si="71"/>
        <v>0.119712</v>
      </c>
      <c r="AK129">
        <f t="shared" si="84"/>
        <v>3.6000000000000004E-2</v>
      </c>
      <c r="AL129" s="464">
        <f t="shared" si="85"/>
        <v>0.27</v>
      </c>
      <c r="AM129" s="464">
        <f t="shared" si="86"/>
        <v>0.17963774597495527</v>
      </c>
      <c r="AN129" s="464">
        <f t="shared" si="114"/>
        <v>0.30600000000000005</v>
      </c>
      <c r="AO129" s="464">
        <f t="shared" si="115"/>
        <v>1.8039426857335479</v>
      </c>
      <c r="AP129" s="100">
        <f t="shared" si="73"/>
        <v>36</v>
      </c>
      <c r="AQ129" s="10">
        <f t="shared" si="116"/>
        <v>0.95228162573597597</v>
      </c>
      <c r="AR129" s="77">
        <f t="shared" si="117"/>
        <v>9.1318338255809337</v>
      </c>
      <c r="AS129" s="77">
        <f t="shared" si="118"/>
        <v>5.8234754795403996</v>
      </c>
      <c r="AT129" s="10"/>
      <c r="AU129">
        <f t="shared" si="119"/>
        <v>95.228162573597601</v>
      </c>
    </row>
    <row r="130" spans="7:47" x14ac:dyDescent="0.15">
      <c r="G130">
        <v>121</v>
      </c>
      <c r="H130">
        <f t="shared" si="55"/>
        <v>7.26</v>
      </c>
      <c r="I130" s="463">
        <f t="shared" si="97"/>
        <v>0.42320066666666672</v>
      </c>
      <c r="J130" s="464">
        <f t="shared" si="56"/>
        <v>3.5907935353535358</v>
      </c>
      <c r="K130" s="464">
        <f t="shared" si="76"/>
        <v>9.0553967676767684</v>
      </c>
      <c r="L130" s="464">
        <f t="shared" si="98"/>
        <v>5.4646032323232321</v>
      </c>
      <c r="M130" s="77">
        <f t="shared" si="57"/>
        <v>0</v>
      </c>
      <c r="N130" s="463">
        <f t="shared" si="99"/>
        <v>7.3336268779139147</v>
      </c>
      <c r="O130" s="463">
        <f t="shared" si="100"/>
        <v>0.37674063723654511</v>
      </c>
      <c r="P130">
        <f t="shared" si="59"/>
        <v>0.4</v>
      </c>
      <c r="Q130" s="463">
        <f t="shared" si="79"/>
        <v>0.77674063723654507</v>
      </c>
      <c r="R130" s="9">
        <f t="shared" si="101"/>
        <v>1.0365728071203659</v>
      </c>
      <c r="S130" s="9">
        <f t="shared" si="102"/>
        <v>2.1489663689227907E-3</v>
      </c>
      <c r="T130" s="9">
        <f t="shared" si="103"/>
        <v>2.1489663689227907E-3</v>
      </c>
      <c r="U130" s="463">
        <f t="shared" si="104"/>
        <v>4.7708084701008682</v>
      </c>
      <c r="V130" s="465">
        <f t="shared" si="105"/>
        <v>7.5110024412674411E-3</v>
      </c>
      <c r="W130" s="463">
        <f t="shared" si="106"/>
        <v>7.5110024412674411E-3</v>
      </c>
      <c r="X130" s="463">
        <f t="shared" si="107"/>
        <v>4.7708084701008682</v>
      </c>
      <c r="Y130" s="463">
        <f t="shared" si="108"/>
        <v>9.1042453833544743E-2</v>
      </c>
      <c r="Z130" s="463">
        <f t="shared" si="62"/>
        <v>0.2442658253816839</v>
      </c>
      <c r="AA130" s="463">
        <f t="shared" si="63"/>
        <v>3.0000000000000002E-2</v>
      </c>
      <c r="AB130" s="463">
        <f t="shared" si="64"/>
        <v>0</v>
      </c>
      <c r="AC130" s="463">
        <f t="shared" si="109"/>
        <v>0.36866469304488841</v>
      </c>
      <c r="AD130" s="463">
        <f t="shared" si="110"/>
        <v>5.5696920674374093</v>
      </c>
      <c r="AE130" s="463">
        <f t="shared" si="111"/>
        <v>0.12408587890430081</v>
      </c>
      <c r="AF130" s="463">
        <f t="shared" si="67"/>
        <v>0.1089</v>
      </c>
      <c r="AG130" s="463">
        <f t="shared" si="112"/>
        <v>0.23591322894011943</v>
      </c>
      <c r="AH130" s="463">
        <f t="shared" si="113"/>
        <v>0</v>
      </c>
      <c r="AI130">
        <f t="shared" si="70"/>
        <v>0</v>
      </c>
      <c r="AJ130" s="464">
        <f t="shared" si="71"/>
        <v>0.1197096</v>
      </c>
      <c r="AK130">
        <f t="shared" si="84"/>
        <v>3.6000000000000004E-2</v>
      </c>
      <c r="AL130" s="464">
        <f t="shared" si="85"/>
        <v>0.27</v>
      </c>
      <c r="AM130" s="464">
        <f t="shared" si="86"/>
        <v>0.17963774597495527</v>
      </c>
      <c r="AN130" s="464">
        <f t="shared" si="114"/>
        <v>0.30600000000000005</v>
      </c>
      <c r="AO130" s="464">
        <f t="shared" si="115"/>
        <v>1.8166881280317431</v>
      </c>
      <c r="AP130" s="100">
        <f t="shared" si="73"/>
        <v>36.299999999999997</v>
      </c>
      <c r="AQ130" s="10">
        <f t="shared" si="116"/>
        <v>0.95233877292986235</v>
      </c>
      <c r="AR130" s="77">
        <f t="shared" si="117"/>
        <v>9.2166173261222095</v>
      </c>
      <c r="AS130" s="77">
        <f t="shared" si="118"/>
        <v>5.8978307235029854</v>
      </c>
      <c r="AT130" s="10"/>
      <c r="AU130">
        <f t="shared" si="119"/>
        <v>95.233877292986236</v>
      </c>
    </row>
    <row r="131" spans="7:47" x14ac:dyDescent="0.15">
      <c r="G131">
        <v>122</v>
      </c>
      <c r="H131">
        <f t="shared" si="55"/>
        <v>7.32</v>
      </c>
      <c r="I131" s="463">
        <f t="shared" si="97"/>
        <v>0.42325466666666661</v>
      </c>
      <c r="J131" s="464">
        <f t="shared" si="56"/>
        <v>3.5912517171717169</v>
      </c>
      <c r="K131" s="464">
        <f t="shared" si="76"/>
        <v>9.1156258585858581</v>
      </c>
      <c r="L131" s="464">
        <f t="shared" si="98"/>
        <v>5.5243741414141416</v>
      </c>
      <c r="M131" s="77">
        <f t="shared" si="57"/>
        <v>0</v>
      </c>
      <c r="N131" s="463">
        <f t="shared" si="99"/>
        <v>7.3930479105716209</v>
      </c>
      <c r="O131" s="463">
        <f t="shared" si="100"/>
        <v>0.38305833287488739</v>
      </c>
      <c r="P131">
        <f t="shared" si="59"/>
        <v>0.4</v>
      </c>
      <c r="Q131" s="463">
        <f t="shared" si="79"/>
        <v>0.78305833287488746</v>
      </c>
      <c r="R131" s="9">
        <f t="shared" si="101"/>
        <v>1.0367050728183984</v>
      </c>
      <c r="S131" s="9">
        <f t="shared" si="102"/>
        <v>2.1495148160148017E-3</v>
      </c>
      <c r="T131" s="9">
        <f t="shared" si="103"/>
        <v>2.1495148160148017E-3</v>
      </c>
      <c r="U131" s="463">
        <f t="shared" si="104"/>
        <v>4.8097709861981688</v>
      </c>
      <c r="V131" s="465">
        <f t="shared" si="105"/>
        <v>7.6341859900923223E-3</v>
      </c>
      <c r="W131" s="463">
        <f t="shared" si="106"/>
        <v>7.6341859900923223E-3</v>
      </c>
      <c r="X131" s="463">
        <f t="shared" si="107"/>
        <v>4.8097709861981688</v>
      </c>
      <c r="Y131" s="463">
        <f t="shared" si="108"/>
        <v>9.2535587758694818E-2</v>
      </c>
      <c r="Z131" s="463">
        <f t="shared" si="62"/>
        <v>0.24609163935376777</v>
      </c>
      <c r="AA131" s="463">
        <f t="shared" si="63"/>
        <v>3.0000000000000002E-2</v>
      </c>
      <c r="AB131" s="463">
        <f t="shared" si="64"/>
        <v>0</v>
      </c>
      <c r="AC131" s="463">
        <f t="shared" si="109"/>
        <v>0.3720702005823005</v>
      </c>
      <c r="AD131" s="463">
        <f t="shared" si="110"/>
        <v>5.6145579049764649</v>
      </c>
      <c r="AE131" s="463">
        <f t="shared" si="111"/>
        <v>0.12609304187333484</v>
      </c>
      <c r="AF131" s="463">
        <f t="shared" si="67"/>
        <v>0.10979999999999999</v>
      </c>
      <c r="AG131" s="463">
        <f t="shared" si="112"/>
        <v>0.23890547366276765</v>
      </c>
      <c r="AH131" s="463">
        <f t="shared" si="113"/>
        <v>0</v>
      </c>
      <c r="AI131">
        <f t="shared" si="70"/>
        <v>0</v>
      </c>
      <c r="AJ131" s="464">
        <f t="shared" si="71"/>
        <v>0.1197072</v>
      </c>
      <c r="AK131">
        <f t="shared" si="84"/>
        <v>3.6000000000000004E-2</v>
      </c>
      <c r="AL131" s="464">
        <f t="shared" si="85"/>
        <v>0.27</v>
      </c>
      <c r="AM131" s="464">
        <f t="shared" si="86"/>
        <v>0.17963774597495527</v>
      </c>
      <c r="AN131" s="464">
        <f t="shared" si="114"/>
        <v>0.30600000000000005</v>
      </c>
      <c r="AO131" s="464">
        <f t="shared" si="115"/>
        <v>1.8295249079260627</v>
      </c>
      <c r="AP131" s="100">
        <f t="shared" si="73"/>
        <v>36.6</v>
      </c>
      <c r="AQ131" s="10">
        <f t="shared" si="116"/>
        <v>0.95239272636574479</v>
      </c>
      <c r="AR131" s="77">
        <f t="shared" si="117"/>
        <v>9.3017550145575125</v>
      </c>
      <c r="AS131" s="77">
        <f t="shared" si="118"/>
        <v>5.9726368415691917</v>
      </c>
      <c r="AT131" s="10"/>
      <c r="AU131">
        <f t="shared" si="119"/>
        <v>95.239272636574483</v>
      </c>
    </row>
    <row r="132" spans="7:47" x14ac:dyDescent="0.15">
      <c r="G132">
        <v>123</v>
      </c>
      <c r="H132">
        <f t="shared" si="55"/>
        <v>7.38</v>
      </c>
      <c r="I132" s="463">
        <f t="shared" si="97"/>
        <v>0.42330866666666661</v>
      </c>
      <c r="J132" s="464">
        <f t="shared" si="56"/>
        <v>3.5917098989898983</v>
      </c>
      <c r="K132" s="464">
        <f t="shared" si="76"/>
        <v>9.1758549494949495</v>
      </c>
      <c r="L132" s="464">
        <f t="shared" si="98"/>
        <v>5.5841450505050503</v>
      </c>
      <c r="M132" s="77">
        <f t="shared" si="57"/>
        <v>0</v>
      </c>
      <c r="N132" s="463">
        <f t="shared" si="99"/>
        <v>7.4524782231511306</v>
      </c>
      <c r="O132" s="463">
        <f t="shared" si="100"/>
        <v>0.38943428907566346</v>
      </c>
      <c r="P132">
        <f t="shared" si="59"/>
        <v>0.4</v>
      </c>
      <c r="Q132" s="463">
        <f t="shared" si="79"/>
        <v>0.78943428907566349</v>
      </c>
      <c r="R132" s="9">
        <f t="shared" si="101"/>
        <v>1.0368373385164307</v>
      </c>
      <c r="S132" s="9">
        <f t="shared" si="102"/>
        <v>2.1500633330836707E-3</v>
      </c>
      <c r="T132" s="9">
        <f t="shared" si="103"/>
        <v>2.1500633330836707E-3</v>
      </c>
      <c r="U132" s="463">
        <f t="shared" si="104"/>
        <v>4.8487444525555548</v>
      </c>
      <c r="V132" s="465">
        <f t="shared" si="105"/>
        <v>7.7584065128421279E-3</v>
      </c>
      <c r="W132" s="463">
        <f t="shared" si="106"/>
        <v>7.7584065128421279E-3</v>
      </c>
      <c r="X132" s="463">
        <f t="shared" si="107"/>
        <v>4.8487444525555548</v>
      </c>
      <c r="Y132" s="463">
        <f t="shared" si="108"/>
        <v>9.4041291064753063E-2</v>
      </c>
      <c r="Z132" s="463">
        <f t="shared" si="62"/>
        <v>0.24791745332585172</v>
      </c>
      <c r="AA132" s="463">
        <f t="shared" si="63"/>
        <v>3.0000000000000002E-2</v>
      </c>
      <c r="AB132" s="463">
        <f t="shared" si="64"/>
        <v>0</v>
      </c>
      <c r="AC132" s="463">
        <f t="shared" si="109"/>
        <v>0.37548989988732262</v>
      </c>
      <c r="AD132" s="463">
        <f t="shared" si="110"/>
        <v>5.6594265522536444</v>
      </c>
      <c r="AE132" s="463">
        <f t="shared" si="111"/>
        <v>0.12811643560141428</v>
      </c>
      <c r="AF132" s="463">
        <f t="shared" si="67"/>
        <v>0.11069999999999999</v>
      </c>
      <c r="AG132" s="463">
        <f t="shared" si="112"/>
        <v>0.24191577427297525</v>
      </c>
      <c r="AH132" s="463">
        <f t="shared" si="113"/>
        <v>0</v>
      </c>
      <c r="AI132">
        <f t="shared" si="70"/>
        <v>0</v>
      </c>
      <c r="AJ132" s="464">
        <f t="shared" si="71"/>
        <v>0.1197048</v>
      </c>
      <c r="AK132">
        <f t="shared" si="84"/>
        <v>3.6000000000000004E-2</v>
      </c>
      <c r="AL132" s="464">
        <f t="shared" si="85"/>
        <v>0.27</v>
      </c>
      <c r="AM132" s="464">
        <f t="shared" si="86"/>
        <v>0.17963774597495527</v>
      </c>
      <c r="AN132" s="464">
        <f t="shared" si="114"/>
        <v>0.30600000000000005</v>
      </c>
      <c r="AO132" s="464">
        <f t="shared" si="115"/>
        <v>1.842453233081887</v>
      </c>
      <c r="AP132" s="100">
        <f t="shared" si="73"/>
        <v>36.9</v>
      </c>
      <c r="AQ132" s="10">
        <f t="shared" si="116"/>
        <v>0.95244355792346591</v>
      </c>
      <c r="AR132" s="77">
        <f t="shared" si="117"/>
        <v>9.3872474971830648</v>
      </c>
      <c r="AS132" s="77">
        <f t="shared" si="118"/>
        <v>6.047894356824381</v>
      </c>
      <c r="AT132" s="10"/>
      <c r="AU132">
        <f t="shared" si="119"/>
        <v>95.244355792346596</v>
      </c>
    </row>
    <row r="133" spans="7:47" x14ac:dyDescent="0.15">
      <c r="G133">
        <v>124</v>
      </c>
      <c r="H133">
        <f t="shared" si="55"/>
        <v>7.4399999999999995</v>
      </c>
      <c r="I133" s="463">
        <f t="shared" si="97"/>
        <v>0.42336266666666661</v>
      </c>
      <c r="J133" s="464">
        <f t="shared" si="56"/>
        <v>3.5921680808080803</v>
      </c>
      <c r="K133" s="464">
        <f t="shared" si="76"/>
        <v>9.2360840404040392</v>
      </c>
      <c r="L133" s="464">
        <f t="shared" si="98"/>
        <v>5.6439159595959598</v>
      </c>
      <c r="M133" s="77">
        <f t="shared" si="57"/>
        <v>0</v>
      </c>
      <c r="N133" s="463">
        <f t="shared" si="99"/>
        <v>7.5119175953989732</v>
      </c>
      <c r="O133" s="463">
        <f t="shared" si="100"/>
        <v>0.39586866967637491</v>
      </c>
      <c r="P133">
        <f t="shared" si="59"/>
        <v>0.4</v>
      </c>
      <c r="Q133" s="463">
        <f t="shared" si="79"/>
        <v>0.79586866967637493</v>
      </c>
      <c r="R133" s="9">
        <f t="shared" si="101"/>
        <v>1.0369696042144634</v>
      </c>
      <c r="S133" s="9">
        <f t="shared" si="102"/>
        <v>2.1506119201294017E-3</v>
      </c>
      <c r="T133" s="9">
        <f t="shared" si="103"/>
        <v>2.1506119201294017E-3</v>
      </c>
      <c r="U133" s="463">
        <f t="shared" si="104"/>
        <v>4.887728726549331</v>
      </c>
      <c r="V133" s="465">
        <f t="shared" si="105"/>
        <v>7.8836643944307297E-3</v>
      </c>
      <c r="W133" s="463">
        <f t="shared" si="106"/>
        <v>7.8836643944307297E-3</v>
      </c>
      <c r="X133" s="463">
        <f t="shared" si="107"/>
        <v>4.887728726549331</v>
      </c>
      <c r="Y133" s="463">
        <f t="shared" si="108"/>
        <v>9.5559568417342186E-2</v>
      </c>
      <c r="Z133" s="463">
        <f t="shared" si="62"/>
        <v>0.24974326729793553</v>
      </c>
      <c r="AA133" s="463">
        <f t="shared" si="63"/>
        <v>3.0000000000000002E-2</v>
      </c>
      <c r="AB133" s="463">
        <f t="shared" si="64"/>
        <v>0</v>
      </c>
      <c r="AC133" s="463">
        <f t="shared" si="109"/>
        <v>0.37892381534098141</v>
      </c>
      <c r="AD133" s="463">
        <f t="shared" si="110"/>
        <v>5.7042978407275644</v>
      </c>
      <c r="AE133" s="463">
        <f t="shared" si="111"/>
        <v>0.13015605542291661</v>
      </c>
      <c r="AF133" s="463">
        <f t="shared" si="67"/>
        <v>0.11159999999999999</v>
      </c>
      <c r="AG133" s="463">
        <f t="shared" si="112"/>
        <v>0.24494415188372637</v>
      </c>
      <c r="AH133" s="463">
        <f t="shared" si="113"/>
        <v>0</v>
      </c>
      <c r="AI133">
        <f t="shared" si="70"/>
        <v>0</v>
      </c>
      <c r="AJ133" s="464">
        <f t="shared" si="71"/>
        <v>0.1197024</v>
      </c>
      <c r="AK133">
        <f t="shared" si="84"/>
        <v>3.6000000000000004E-2</v>
      </c>
      <c r="AL133" s="464">
        <f t="shared" si="85"/>
        <v>0.27</v>
      </c>
      <c r="AM133" s="464">
        <f t="shared" si="86"/>
        <v>0.17963774597495527</v>
      </c>
      <c r="AN133" s="464">
        <f t="shared" si="114"/>
        <v>0.30600000000000005</v>
      </c>
      <c r="AO133" s="464">
        <f t="shared" si="115"/>
        <v>1.8554733132156429</v>
      </c>
      <c r="AP133" s="100">
        <f t="shared" si="73"/>
        <v>37.199999999999996</v>
      </c>
      <c r="AQ133" s="10">
        <f t="shared" si="116"/>
        <v>0.95249133717225276</v>
      </c>
      <c r="AR133" s="77">
        <f t="shared" si="117"/>
        <v>9.4730953835245355</v>
      </c>
      <c r="AS133" s="77">
        <f t="shared" si="118"/>
        <v>6.1236037970931596</v>
      </c>
      <c r="AT133" s="10"/>
      <c r="AU133">
        <f t="shared" si="119"/>
        <v>95.249133717225277</v>
      </c>
    </row>
    <row r="134" spans="7:47" x14ac:dyDescent="0.15">
      <c r="G134">
        <v>125</v>
      </c>
      <c r="H134">
        <f t="shared" si="55"/>
        <v>7.5</v>
      </c>
      <c r="I134" s="463">
        <f t="shared" si="97"/>
        <v>0.42341666666666672</v>
      </c>
      <c r="J134" s="464">
        <f t="shared" si="56"/>
        <v>3.5926262626262631</v>
      </c>
      <c r="K134" s="464">
        <f t="shared" si="76"/>
        <v>9.2963131313131306</v>
      </c>
      <c r="L134" s="464">
        <f t="shared" si="98"/>
        <v>5.7036868686868685</v>
      </c>
      <c r="M134" s="77">
        <f t="shared" si="57"/>
        <v>0</v>
      </c>
      <c r="N134" s="463">
        <f t="shared" si="99"/>
        <v>7.5713658139450635</v>
      </c>
      <c r="O134" s="463">
        <f t="shared" si="100"/>
        <v>0.4023616402577358</v>
      </c>
      <c r="P134">
        <f t="shared" si="59"/>
        <v>0.4</v>
      </c>
      <c r="Q134" s="463">
        <f t="shared" si="79"/>
        <v>0.80236164025773582</v>
      </c>
      <c r="R134" s="9">
        <f t="shared" si="101"/>
        <v>1.0371018699124961</v>
      </c>
      <c r="S134" s="9">
        <f t="shared" si="102"/>
        <v>2.151160577151992E-3</v>
      </c>
      <c r="T134" s="9">
        <f t="shared" si="103"/>
        <v>2.151160577151992E-3</v>
      </c>
      <c r="U134" s="463">
        <f t="shared" si="104"/>
        <v>4.9267236699982693</v>
      </c>
      <c r="V134" s="465">
        <f t="shared" si="105"/>
        <v>8.009960019772E-3</v>
      </c>
      <c r="W134" s="463">
        <f t="shared" si="106"/>
        <v>8.009960019772E-3</v>
      </c>
      <c r="X134" s="463">
        <f t="shared" si="107"/>
        <v>4.9267236699982693</v>
      </c>
      <c r="Y134" s="463">
        <f t="shared" si="108"/>
        <v>9.7090424482084853E-2</v>
      </c>
      <c r="Z134" s="463">
        <f t="shared" si="62"/>
        <v>0.25156908127001942</v>
      </c>
      <c r="AA134" s="463">
        <f t="shared" si="63"/>
        <v>3.0000000000000002E-2</v>
      </c>
      <c r="AB134" s="463">
        <f t="shared" si="64"/>
        <v>0</v>
      </c>
      <c r="AC134" s="463">
        <f t="shared" si="109"/>
        <v>0.38237197145395591</v>
      </c>
      <c r="AD134" s="463">
        <f t="shared" si="110"/>
        <v>5.749171607114782</v>
      </c>
      <c r="AE134" s="463">
        <f t="shared" si="111"/>
        <v>0.13221189667221908</v>
      </c>
      <c r="AF134" s="463">
        <f t="shared" si="67"/>
        <v>0.11249999999999999</v>
      </c>
      <c r="AG134" s="463">
        <f t="shared" si="112"/>
        <v>0.24799062779803024</v>
      </c>
      <c r="AH134" s="463">
        <f t="shared" si="113"/>
        <v>0</v>
      </c>
      <c r="AI134">
        <f t="shared" si="70"/>
        <v>0</v>
      </c>
      <c r="AJ134" s="464">
        <f t="shared" si="71"/>
        <v>0.11970000000000001</v>
      </c>
      <c r="AK134">
        <f t="shared" si="84"/>
        <v>3.6000000000000004E-2</v>
      </c>
      <c r="AL134" s="464">
        <f t="shared" si="85"/>
        <v>0.27</v>
      </c>
      <c r="AM134" s="464">
        <f t="shared" si="86"/>
        <v>0.17963774597495527</v>
      </c>
      <c r="AN134" s="464">
        <f t="shared" si="114"/>
        <v>0.30600000000000005</v>
      </c>
      <c r="AO134" s="464">
        <f t="shared" si="115"/>
        <v>1.868585360106646</v>
      </c>
      <c r="AP134" s="100">
        <f t="shared" si="73"/>
        <v>37.5</v>
      </c>
      <c r="AQ134" s="10">
        <f t="shared" si="116"/>
        <v>0.95253613146079319</v>
      </c>
      <c r="AR134" s="77">
        <f t="shared" si="117"/>
        <v>9.5592992863488977</v>
      </c>
      <c r="AS134" s="77">
        <f t="shared" si="118"/>
        <v>6.1997656949507558</v>
      </c>
      <c r="AT134" s="10"/>
      <c r="AU134">
        <f t="shared" si="119"/>
        <v>95.253613146079317</v>
      </c>
    </row>
    <row r="135" spans="7:47" x14ac:dyDescent="0.15">
      <c r="G135">
        <v>126</v>
      </c>
      <c r="H135">
        <f t="shared" si="55"/>
        <v>7.5600000000000005</v>
      </c>
      <c r="I135" s="463">
        <f t="shared" si="97"/>
        <v>0.42347066666666672</v>
      </c>
      <c r="J135" s="464">
        <f t="shared" si="56"/>
        <v>3.593084444444445</v>
      </c>
      <c r="K135" s="464">
        <f t="shared" si="76"/>
        <v>9.3565422222222239</v>
      </c>
      <c r="L135" s="464">
        <f t="shared" si="98"/>
        <v>5.763457777777778</v>
      </c>
      <c r="M135" s="77">
        <f t="shared" si="57"/>
        <v>0</v>
      </c>
      <c r="N135" s="463">
        <f t="shared" si="99"/>
        <v>7.6308226720371195</v>
      </c>
      <c r="O135" s="463">
        <f t="shared" si="100"/>
        <v>0.40891336815472556</v>
      </c>
      <c r="P135">
        <f t="shared" si="59"/>
        <v>0.4</v>
      </c>
      <c r="Q135" s="463">
        <f t="shared" si="79"/>
        <v>0.80891336815472559</v>
      </c>
      <c r="R135" s="9">
        <f t="shared" si="101"/>
        <v>1.0372341356105286</v>
      </c>
      <c r="S135" s="9">
        <f t="shared" si="102"/>
        <v>2.1517093041514409E-3</v>
      </c>
      <c r="T135" s="9">
        <f t="shared" si="103"/>
        <v>2.1517093041514409E-3</v>
      </c>
      <c r="U135" s="463">
        <f t="shared" si="104"/>
        <v>4.9657291489922146</v>
      </c>
      <c r="V135" s="465">
        <f t="shared" si="105"/>
        <v>8.1372937737798114E-3</v>
      </c>
      <c r="W135" s="463">
        <f t="shared" si="106"/>
        <v>8.1372937737798114E-3</v>
      </c>
      <c r="X135" s="463">
        <f t="shared" si="107"/>
        <v>4.9657291489922146</v>
      </c>
      <c r="Y135" s="463">
        <f t="shared" si="108"/>
        <v>9.8633863924603771E-2</v>
      </c>
      <c r="Z135" s="463">
        <f t="shared" si="62"/>
        <v>0.2533948952421034</v>
      </c>
      <c r="AA135" s="463">
        <f t="shared" si="63"/>
        <v>3.0000000000000002E-2</v>
      </c>
      <c r="AB135" s="463">
        <f t="shared" si="64"/>
        <v>0</v>
      </c>
      <c r="AC135" s="463">
        <f t="shared" si="109"/>
        <v>0.38583439286705534</v>
      </c>
      <c r="AD135" s="463">
        <f t="shared" si="110"/>
        <v>5.7940476931869291</v>
      </c>
      <c r="AE135" s="463">
        <f t="shared" si="111"/>
        <v>0.13428395468369911</v>
      </c>
      <c r="AF135" s="463">
        <f t="shared" si="67"/>
        <v>0.1134</v>
      </c>
      <c r="AG135" s="463">
        <f t="shared" si="112"/>
        <v>0.25105522350938309</v>
      </c>
      <c r="AH135" s="463">
        <f t="shared" si="113"/>
        <v>0</v>
      </c>
      <c r="AI135">
        <f t="shared" si="70"/>
        <v>0</v>
      </c>
      <c r="AJ135" s="464">
        <f t="shared" si="71"/>
        <v>0.11969760000000002</v>
      </c>
      <c r="AK135">
        <f t="shared" si="84"/>
        <v>3.6000000000000004E-2</v>
      </c>
      <c r="AL135" s="464">
        <f t="shared" si="85"/>
        <v>0.27</v>
      </c>
      <c r="AM135" s="464">
        <f t="shared" si="86"/>
        <v>0.17963774597495527</v>
      </c>
      <c r="AN135" s="464">
        <f t="shared" si="114"/>
        <v>0.30600000000000005</v>
      </c>
      <c r="AO135" s="464">
        <f t="shared" si="115"/>
        <v>1.8817895876090953</v>
      </c>
      <c r="AP135" s="100">
        <f t="shared" si="73"/>
        <v>37.800000000000004</v>
      </c>
      <c r="AQ135" s="10">
        <f t="shared" si="116"/>
        <v>0.95257800600311893</v>
      </c>
      <c r="AR135" s="77">
        <f t="shared" si="117"/>
        <v>9.6458598216763836</v>
      </c>
      <c r="AS135" s="77">
        <f t="shared" si="118"/>
        <v>6.2763805877345771</v>
      </c>
      <c r="AT135" s="10"/>
      <c r="AU135">
        <f t="shared" si="119"/>
        <v>95.257800600311896</v>
      </c>
    </row>
    <row r="136" spans="7:47" x14ac:dyDescent="0.15">
      <c r="G136">
        <v>127</v>
      </c>
      <c r="H136">
        <f t="shared" si="55"/>
        <v>7.62</v>
      </c>
      <c r="I136" s="463">
        <f t="shared" si="97"/>
        <v>0.4235246666666666</v>
      </c>
      <c r="J136" s="464">
        <f t="shared" si="56"/>
        <v>3.5935426262626256</v>
      </c>
      <c r="K136" s="464">
        <f t="shared" si="76"/>
        <v>9.4167713131313135</v>
      </c>
      <c r="L136" s="464">
        <f t="shared" si="98"/>
        <v>5.8232286868686876</v>
      </c>
      <c r="M136" s="77">
        <f t="shared" si="57"/>
        <v>0</v>
      </c>
      <c r="N136" s="463">
        <f t="shared" si="99"/>
        <v>7.6902879692872279</v>
      </c>
      <c r="O136" s="463">
        <f t="shared" si="100"/>
        <v>0.41552402246778219</v>
      </c>
      <c r="P136">
        <f t="shared" si="59"/>
        <v>0.4</v>
      </c>
      <c r="Q136" s="463">
        <f t="shared" si="79"/>
        <v>0.81552402246778222</v>
      </c>
      <c r="R136" s="9">
        <f t="shared" si="101"/>
        <v>1.0373664013085608</v>
      </c>
      <c r="S136" s="9">
        <f t="shared" si="102"/>
        <v>2.1522581011277483E-3</v>
      </c>
      <c r="T136" s="9">
        <f t="shared" si="103"/>
        <v>2.1522581011277483E-3</v>
      </c>
      <c r="U136" s="463">
        <f t="shared" si="104"/>
        <v>5.0047450337285291</v>
      </c>
      <c r="V136" s="465">
        <f t="shared" si="105"/>
        <v>8.2656660413680232E-3</v>
      </c>
      <c r="W136" s="463">
        <f t="shared" si="106"/>
        <v>8.2656660413680232E-3</v>
      </c>
      <c r="X136" s="463">
        <f t="shared" si="107"/>
        <v>5.0047450337285291</v>
      </c>
      <c r="Y136" s="463">
        <f t="shared" si="108"/>
        <v>0.10018989141052149</v>
      </c>
      <c r="Z136" s="463">
        <f t="shared" si="62"/>
        <v>0.25522070921418721</v>
      </c>
      <c r="AA136" s="463">
        <f t="shared" si="63"/>
        <v>3.0000000000000002E-2</v>
      </c>
      <c r="AB136" s="463">
        <f t="shared" si="64"/>
        <v>0</v>
      </c>
      <c r="AC136" s="463">
        <f t="shared" si="109"/>
        <v>0.38931110435169941</v>
      </c>
      <c r="AD136" s="463">
        <f t="shared" si="110"/>
        <v>5.8389259455771061</v>
      </c>
      <c r="AE136" s="463">
        <f t="shared" si="111"/>
        <v>0.136372224791734</v>
      </c>
      <c r="AF136" s="463">
        <f t="shared" si="67"/>
        <v>0.11430000000000001</v>
      </c>
      <c r="AG136" s="463">
        <f t="shared" si="112"/>
        <v>0.25413796070223382</v>
      </c>
      <c r="AH136" s="463">
        <f t="shared" si="113"/>
        <v>0</v>
      </c>
      <c r="AI136">
        <f t="shared" si="70"/>
        <v>0</v>
      </c>
      <c r="AJ136" s="464">
        <f t="shared" si="71"/>
        <v>0.1196952</v>
      </c>
      <c r="AK136">
        <f t="shared" si="84"/>
        <v>3.6000000000000004E-2</v>
      </c>
      <c r="AL136" s="464">
        <f t="shared" si="85"/>
        <v>0.27</v>
      </c>
      <c r="AM136" s="464">
        <f t="shared" si="86"/>
        <v>0.17963774597495527</v>
      </c>
      <c r="AN136" s="464">
        <f t="shared" si="114"/>
        <v>0.30600000000000005</v>
      </c>
      <c r="AO136" s="464">
        <f t="shared" si="115"/>
        <v>1.8950862116642113</v>
      </c>
      <c r="AP136" s="100">
        <f t="shared" si="73"/>
        <v>38.1</v>
      </c>
      <c r="AQ136" s="10">
        <f t="shared" si="116"/>
        <v>0.95261702396052017</v>
      </c>
      <c r="AR136" s="77">
        <f t="shared" si="117"/>
        <v>9.7327776087924853</v>
      </c>
      <c r="AS136" s="77">
        <f t="shared" si="118"/>
        <v>6.353449017555846</v>
      </c>
      <c r="AT136" s="10"/>
      <c r="AU136">
        <f t="shared" si="119"/>
        <v>95.261702396052016</v>
      </c>
    </row>
    <row r="137" spans="7:47" x14ac:dyDescent="0.15">
      <c r="G137">
        <v>128</v>
      </c>
      <c r="H137">
        <f t="shared" ref="H137:H200" si="120">Iout*(G137/200)</f>
        <v>7.68</v>
      </c>
      <c r="I137" s="463">
        <f t="shared" si="97"/>
        <v>0.4235786666666666</v>
      </c>
      <c r="J137" s="464">
        <f t="shared" ref="J137:J200" si="121">(Vin-Vout)*I137/(Fsw*Lout2)</f>
        <v>3.5940008080808075</v>
      </c>
      <c r="K137" s="464">
        <f t="shared" si="76"/>
        <v>9.4770004040404032</v>
      </c>
      <c r="L137" s="464">
        <f t="shared" si="98"/>
        <v>5.8829995959595962</v>
      </c>
      <c r="M137" s="77">
        <f t="shared" ref="M137:M200" si="122">IF(MIN(Vin, -L137/(CossTop+CossBot)*0.00000002)&lt;0, 0, MIN(Vin, -L137/(CossTop+CossBot)*0.00000002))</f>
        <v>0</v>
      </c>
      <c r="N137" s="463">
        <f t="shared" si="99"/>
        <v>7.749761511429913</v>
      </c>
      <c r="O137" s="463">
        <f t="shared" si="100"/>
        <v>0.42219377407413633</v>
      </c>
      <c r="P137">
        <f t="shared" ref="P137:P200" si="123">Core_Loss</f>
        <v>0.4</v>
      </c>
      <c r="Q137" s="463">
        <f t="shared" si="79"/>
        <v>0.8221937740741363</v>
      </c>
      <c r="R137" s="9">
        <f t="shared" si="101"/>
        <v>1.0374986670065933</v>
      </c>
      <c r="S137" s="9">
        <f t="shared" si="102"/>
        <v>2.1528069680809159E-3</v>
      </c>
      <c r="T137" s="9">
        <f t="shared" si="103"/>
        <v>2.1528069680809159E-3</v>
      </c>
      <c r="U137" s="463">
        <f t="shared" si="104"/>
        <v>5.0437711983559685</v>
      </c>
      <c r="V137" s="465">
        <f t="shared" si="105"/>
        <v>8.3950772074505176E-3</v>
      </c>
      <c r="W137" s="463">
        <f t="shared" si="106"/>
        <v>8.3950772074505176E-3</v>
      </c>
      <c r="X137" s="463">
        <f t="shared" si="107"/>
        <v>5.0437711983559685</v>
      </c>
      <c r="Y137" s="463">
        <f t="shared" si="108"/>
        <v>0.10175851160546082</v>
      </c>
      <c r="Z137" s="463">
        <f t="shared" ref="Z137:Z200" si="124">IF(L137&lt;0, (Vin*K137*Tf/2)*Fsw, (Vin*L137*Tr/2+Vin*K137*Tf/2)*Fsw)</f>
        <v>0.25704652318627108</v>
      </c>
      <c r="AA137" s="463">
        <f t="shared" ref="AA137:AA200" si="125">(0.5*CossTop*(Vin-M137)^2-0.5*CossBot*(Vin-M137)^2+(QossBot*(Vin-M137)/Vin)*Vin)*Fsw</f>
        <v>3.0000000000000002E-2</v>
      </c>
      <c r="AB137" s="463">
        <f t="shared" ref="AB137:AB200" si="126">IF(L137&gt;0,0,-L137*VsdTop*Deadtime*Fsw)</f>
        <v>0</v>
      </c>
      <c r="AC137" s="463">
        <f t="shared" si="109"/>
        <v>0.39280213081040394</v>
      </c>
      <c r="AD137" s="463">
        <f t="shared" si="110"/>
        <v>5.8838062155950759</v>
      </c>
      <c r="AE137" s="463">
        <f t="shared" si="111"/>
        <v>0.138476702330701</v>
      </c>
      <c r="AF137" s="463">
        <f t="shared" ref="AF137:AF200" si="127">IF(L137&lt;0, Deadtime*Fsw*IF(VfdSky&gt;0,0,VsdBot)*K137, Deadtime*Fsw*IF(VfdSky&gt;0,0,VsdBot)*(K137+L137))</f>
        <v>0.1152</v>
      </c>
      <c r="AG137" s="463">
        <f t="shared" si="112"/>
        <v>0.25723886125245549</v>
      </c>
      <c r="AH137" s="463">
        <f t="shared" si="113"/>
        <v>0</v>
      </c>
      <c r="AI137">
        <f t="shared" ref="AI137:AI200" si="128">2*Deadtime*Fsw*IF(VfdSky&gt;0,VfdSky,0)*H137</f>
        <v>0</v>
      </c>
      <c r="AJ137" s="464">
        <f t="shared" ref="AJ137:AJ200" si="129">IF(QrrSky&gt;0,QrrSky,QrrBot)*Fsw*(Vin-H137*RdsonTop)</f>
        <v>0.1196928</v>
      </c>
      <c r="AK137">
        <f t="shared" si="84"/>
        <v>3.6000000000000004E-2</v>
      </c>
      <c r="AL137" s="464">
        <f t="shared" si="85"/>
        <v>0.27</v>
      </c>
      <c r="AM137" s="464">
        <f t="shared" si="86"/>
        <v>0.17963774597495527</v>
      </c>
      <c r="AN137" s="464">
        <f t="shared" si="114"/>
        <v>0.30600000000000005</v>
      </c>
      <c r="AO137" s="464">
        <f t="shared" si="115"/>
        <v>1.908475450312527</v>
      </c>
      <c r="AP137" s="100">
        <f t="shared" ref="AP137:AP200" si="130">Vout*H137</f>
        <v>38.4</v>
      </c>
      <c r="AQ137" s="10">
        <f t="shared" si="116"/>
        <v>0.95265324651970351</v>
      </c>
      <c r="AR137" s="77">
        <f t="shared" si="117"/>
        <v>9.8200532702600984</v>
      </c>
      <c r="AS137" s="77">
        <f t="shared" si="118"/>
        <v>6.4309715313113873</v>
      </c>
      <c r="AT137" s="10"/>
      <c r="AU137">
        <f t="shared" si="119"/>
        <v>95.265324651970346</v>
      </c>
    </row>
    <row r="138" spans="7:47" x14ac:dyDescent="0.15">
      <c r="G138">
        <v>129</v>
      </c>
      <c r="H138">
        <f t="shared" si="120"/>
        <v>7.74</v>
      </c>
      <c r="I138" s="463">
        <f t="shared" si="97"/>
        <v>0.42363266666666671</v>
      </c>
      <c r="J138" s="464">
        <f t="shared" si="121"/>
        <v>3.5944589898989903</v>
      </c>
      <c r="K138" s="464">
        <f t="shared" ref="K138:K201" si="131">H138+J138/2</f>
        <v>9.5372294949494947</v>
      </c>
      <c r="L138" s="464">
        <f t="shared" si="98"/>
        <v>5.9427705050505049</v>
      </c>
      <c r="M138" s="77">
        <f t="shared" si="122"/>
        <v>0</v>
      </c>
      <c r="N138" s="463">
        <f t="shared" si="99"/>
        <v>7.8092431100911099</v>
      </c>
      <c r="O138" s="463">
        <f t="shared" si="100"/>
        <v>0.4289227956392882</v>
      </c>
      <c r="P138">
        <f t="shared" si="123"/>
        <v>0.4</v>
      </c>
      <c r="Q138" s="463">
        <f t="shared" ref="Q138:Q201" si="132">O138+P138</f>
        <v>0.82892279563928817</v>
      </c>
      <c r="R138" s="9">
        <f t="shared" si="101"/>
        <v>1.0376309327046263</v>
      </c>
      <c r="S138" s="9">
        <f t="shared" si="102"/>
        <v>2.1533559050109451E-3</v>
      </c>
      <c r="T138" s="9">
        <f t="shared" si="103"/>
        <v>2.1533559050109451E-3</v>
      </c>
      <c r="U138" s="463">
        <f t="shared" si="104"/>
        <v>5.0828075208255825</v>
      </c>
      <c r="V138" s="465">
        <f t="shared" si="105"/>
        <v>8.5255276569411644E-3</v>
      </c>
      <c r="W138" s="463">
        <f t="shared" si="106"/>
        <v>8.5255276569411644E-3</v>
      </c>
      <c r="X138" s="463">
        <f t="shared" si="107"/>
        <v>5.0828075208255825</v>
      </c>
      <c r="Y138" s="463">
        <f t="shared" si="108"/>
        <v>0.10333972917504441</v>
      </c>
      <c r="Z138" s="463">
        <f t="shared" si="124"/>
        <v>0.258872337158355</v>
      </c>
      <c r="AA138" s="463">
        <f t="shared" si="125"/>
        <v>3.0000000000000002E-2</v>
      </c>
      <c r="AB138" s="463">
        <f t="shared" si="126"/>
        <v>0</v>
      </c>
      <c r="AC138" s="463">
        <f t="shared" si="109"/>
        <v>0.39630749727726672</v>
      </c>
      <c r="AD138" s="463">
        <f t="shared" si="110"/>
        <v>5.9286883590507919</v>
      </c>
      <c r="AE138" s="463">
        <f t="shared" si="111"/>
        <v>0.14059738263497751</v>
      </c>
      <c r="AF138" s="463">
        <f t="shared" si="127"/>
        <v>0.11609999999999999</v>
      </c>
      <c r="AG138" s="463">
        <f t="shared" si="112"/>
        <v>0.26035794722782224</v>
      </c>
      <c r="AH138" s="463">
        <f t="shared" si="113"/>
        <v>0</v>
      </c>
      <c r="AI138">
        <f t="shared" si="128"/>
        <v>0</v>
      </c>
      <c r="AJ138" s="464">
        <f t="shared" si="129"/>
        <v>0.1196904</v>
      </c>
      <c r="AK138">
        <f t="shared" ref="AK138:AK201" si="133">Iq*Vin</f>
        <v>3.6000000000000004E-2</v>
      </c>
      <c r="AL138" s="464">
        <f t="shared" ref="AL138:AL201" si="134">Vin*(QgTop+QgBot)*Fsw</f>
        <v>0.27</v>
      </c>
      <c r="AM138" s="464">
        <f t="shared" ref="AM138:AM201" si="135">(Vin-Vdd)*Fsw*(QgTop+QgBot)+(RdsonDRT+RdsonDRT2)*Fsw*QgTop*Vdd/(RdsonDRT+2*RGateTop+RdsonDRT2)+(RdsonDRB+RdsonDRB2)*Fsw*QgBot*Vdd/(RdsonDRB+2*RGateBot+RdsonDRB2)</f>
        <v>0.17963774597495527</v>
      </c>
      <c r="AN138" s="464">
        <f t="shared" si="114"/>
        <v>0.30600000000000005</v>
      </c>
      <c r="AO138" s="464">
        <f t="shared" si="115"/>
        <v>1.9219575237063293</v>
      </c>
      <c r="AP138" s="100">
        <f t="shared" si="130"/>
        <v>38.700000000000003</v>
      </c>
      <c r="AQ138" s="10">
        <f t="shared" si="116"/>
        <v>0.95268673296739315</v>
      </c>
      <c r="AR138" s="77">
        <f t="shared" si="117"/>
        <v>9.9076874319316683</v>
      </c>
      <c r="AS138" s="77">
        <f t="shared" si="118"/>
        <v>6.5089486806955561</v>
      </c>
      <c r="AT138" s="10"/>
      <c r="AU138">
        <f t="shared" si="119"/>
        <v>95.268673296739308</v>
      </c>
    </row>
    <row r="139" spans="7:47" x14ac:dyDescent="0.15">
      <c r="G139">
        <v>130</v>
      </c>
      <c r="H139">
        <f t="shared" si="120"/>
        <v>7.8000000000000007</v>
      </c>
      <c r="I139" s="463">
        <f t="shared" si="97"/>
        <v>0.42368666666666671</v>
      </c>
      <c r="J139" s="464">
        <f t="shared" si="121"/>
        <v>3.5949171717171722</v>
      </c>
      <c r="K139" s="464">
        <f t="shared" si="131"/>
        <v>9.5974585858585861</v>
      </c>
      <c r="L139" s="464">
        <f t="shared" si="98"/>
        <v>6.0025414141414144</v>
      </c>
      <c r="M139" s="77">
        <f t="shared" si="122"/>
        <v>0</v>
      </c>
      <c r="N139" s="463">
        <f t="shared" si="99"/>
        <v>7.8687325825674703</v>
      </c>
      <c r="O139" s="463">
        <f t="shared" si="100"/>
        <v>0.43571126162862811</v>
      </c>
      <c r="P139">
        <f t="shared" si="123"/>
        <v>0.4</v>
      </c>
      <c r="Q139" s="463">
        <f t="shared" si="132"/>
        <v>0.83571126162862819</v>
      </c>
      <c r="R139" s="9">
        <f t="shared" si="101"/>
        <v>1.0377631984026587</v>
      </c>
      <c r="S139" s="9">
        <f t="shared" si="102"/>
        <v>2.1539049119178324E-3</v>
      </c>
      <c r="T139" s="9">
        <f t="shared" si="103"/>
        <v>2.1539049119178324E-3</v>
      </c>
      <c r="U139" s="463">
        <f t="shared" si="104"/>
        <v>5.1218538827482893</v>
      </c>
      <c r="V139" s="465">
        <f t="shared" si="105"/>
        <v>8.65701777475383E-3</v>
      </c>
      <c r="W139" s="463">
        <f t="shared" si="106"/>
        <v>8.65701777475383E-3</v>
      </c>
      <c r="X139" s="463">
        <f t="shared" si="107"/>
        <v>5.1218538827482893</v>
      </c>
      <c r="Y139" s="463">
        <f t="shared" si="108"/>
        <v>0.10493354878489491</v>
      </c>
      <c r="Z139" s="463">
        <f t="shared" si="124"/>
        <v>0.26069815113043893</v>
      </c>
      <c r="AA139" s="463">
        <f t="shared" si="125"/>
        <v>3.0000000000000002E-2</v>
      </c>
      <c r="AB139" s="463">
        <f t="shared" si="126"/>
        <v>0</v>
      </c>
      <c r="AC139" s="463">
        <f t="shared" si="109"/>
        <v>0.39982722891845829</v>
      </c>
      <c r="AD139" s="463">
        <f t="shared" si="110"/>
        <v>5.9735722360858086</v>
      </c>
      <c r="AE139" s="463">
        <f t="shared" si="111"/>
        <v>0.14273426103894082</v>
      </c>
      <c r="AF139" s="463">
        <f t="shared" si="127"/>
        <v>0.11700000000000001</v>
      </c>
      <c r="AG139" s="463">
        <f t="shared" si="112"/>
        <v>0.26349524088849047</v>
      </c>
      <c r="AH139" s="463">
        <f t="shared" si="113"/>
        <v>0</v>
      </c>
      <c r="AI139">
        <f t="shared" si="128"/>
        <v>0</v>
      </c>
      <c r="AJ139" s="464">
        <f t="shared" si="129"/>
        <v>0.119688</v>
      </c>
      <c r="AK139">
        <f t="shared" si="133"/>
        <v>3.6000000000000004E-2</v>
      </c>
      <c r="AL139" s="464">
        <f t="shared" si="134"/>
        <v>0.27</v>
      </c>
      <c r="AM139" s="464">
        <f t="shared" si="135"/>
        <v>0.17963774597495527</v>
      </c>
      <c r="AN139" s="464">
        <f t="shared" si="114"/>
        <v>0.30600000000000005</v>
      </c>
      <c r="AO139" s="464">
        <f t="shared" si="115"/>
        <v>1.9355326541222486</v>
      </c>
      <c r="AP139" s="100">
        <f t="shared" si="130"/>
        <v>39</v>
      </c>
      <c r="AQ139" s="10">
        <f t="shared" si="116"/>
        <v>0.9527175407615629</v>
      </c>
      <c r="AR139" s="77">
        <f t="shared" si="117"/>
        <v>9.9956807229614579</v>
      </c>
      <c r="AS139" s="77">
        <f t="shared" si="118"/>
        <v>6.587381022212262</v>
      </c>
      <c r="AT139" s="10"/>
      <c r="AU139">
        <f t="shared" si="119"/>
        <v>95.271754076156284</v>
      </c>
    </row>
    <row r="140" spans="7:47" x14ac:dyDescent="0.15">
      <c r="G140">
        <v>131</v>
      </c>
      <c r="H140">
        <f t="shared" si="120"/>
        <v>7.86</v>
      </c>
      <c r="I140" s="463">
        <f t="shared" si="97"/>
        <v>0.42374066666666671</v>
      </c>
      <c r="J140" s="464">
        <f t="shared" si="121"/>
        <v>3.5953753535353541</v>
      </c>
      <c r="K140" s="464">
        <f t="shared" si="131"/>
        <v>9.6576876767676776</v>
      </c>
      <c r="L140" s="464">
        <f t="shared" si="98"/>
        <v>6.0623123232323231</v>
      </c>
      <c r="M140" s="77">
        <f t="shared" si="122"/>
        <v>0</v>
      </c>
      <c r="N140" s="463">
        <f t="shared" si="99"/>
        <v>7.9282297516154756</v>
      </c>
      <c r="O140" s="463">
        <f t="shared" si="100"/>
        <v>0.44255934831920313</v>
      </c>
      <c r="P140">
        <f t="shared" si="123"/>
        <v>0.4</v>
      </c>
      <c r="Q140" s="463">
        <f t="shared" si="132"/>
        <v>0.84255934831920309</v>
      </c>
      <c r="R140" s="9">
        <f t="shared" si="101"/>
        <v>1.0378954641006914</v>
      </c>
      <c r="S140" s="9">
        <f t="shared" si="102"/>
        <v>2.1544539888015794E-3</v>
      </c>
      <c r="T140" s="9">
        <f t="shared" si="103"/>
        <v>2.1544539888015794E-3</v>
      </c>
      <c r="U140" s="463">
        <f t="shared" si="104"/>
        <v>5.1609101692587833</v>
      </c>
      <c r="V140" s="465">
        <f t="shared" si="105"/>
        <v>8.7895479458023791E-3</v>
      </c>
      <c r="W140" s="463">
        <f t="shared" si="106"/>
        <v>8.7895479458023791E-3</v>
      </c>
      <c r="X140" s="463">
        <f t="shared" si="107"/>
        <v>5.1609101692587833</v>
      </c>
      <c r="Y140" s="463">
        <f t="shared" si="108"/>
        <v>0.1065399751006349</v>
      </c>
      <c r="Z140" s="463">
        <f t="shared" si="124"/>
        <v>0.26252396510252279</v>
      </c>
      <c r="AA140" s="463">
        <f t="shared" si="125"/>
        <v>3.0000000000000002E-2</v>
      </c>
      <c r="AB140" s="463">
        <f t="shared" si="126"/>
        <v>0</v>
      </c>
      <c r="AC140" s="463">
        <f t="shared" si="109"/>
        <v>0.40336135103271609</v>
      </c>
      <c r="AD140" s="463">
        <f t="shared" si="110"/>
        <v>6.0184577110121884</v>
      </c>
      <c r="AE140" s="463">
        <f t="shared" si="111"/>
        <v>0.14488733287696828</v>
      </c>
      <c r="AF140" s="463">
        <f t="shared" si="127"/>
        <v>0.1179</v>
      </c>
      <c r="AG140" s="463">
        <f t="shared" si="112"/>
        <v>0.26665076468748572</v>
      </c>
      <c r="AH140" s="463">
        <f t="shared" si="113"/>
        <v>0</v>
      </c>
      <c r="AI140">
        <f t="shared" si="128"/>
        <v>0</v>
      </c>
      <c r="AJ140" s="464">
        <f t="shared" si="129"/>
        <v>0.1196856</v>
      </c>
      <c r="AK140">
        <f t="shared" si="133"/>
        <v>3.6000000000000004E-2</v>
      </c>
      <c r="AL140" s="464">
        <f t="shared" si="134"/>
        <v>0.27</v>
      </c>
      <c r="AM140" s="464">
        <f t="shared" si="135"/>
        <v>0.17963774597495527</v>
      </c>
      <c r="AN140" s="464">
        <f t="shared" si="114"/>
        <v>0.30600000000000005</v>
      </c>
      <c r="AO140" s="464">
        <f t="shared" si="115"/>
        <v>1.9492010659740089</v>
      </c>
      <c r="AP140" s="100">
        <f t="shared" si="130"/>
        <v>39.300000000000004</v>
      </c>
      <c r="AQ140" s="10">
        <f t="shared" si="116"/>
        <v>0.9527457255994739</v>
      </c>
      <c r="AR140" s="77">
        <f t="shared" si="117"/>
        <v>10.084033775817902</v>
      </c>
      <c r="AS140" s="77">
        <f t="shared" si="118"/>
        <v>6.6662691171871433</v>
      </c>
      <c r="AT140" s="10"/>
      <c r="AU140">
        <f t="shared" si="119"/>
        <v>95.274572559947387</v>
      </c>
    </row>
    <row r="141" spans="7:47" x14ac:dyDescent="0.15">
      <c r="G141">
        <v>132</v>
      </c>
      <c r="H141">
        <f t="shared" si="120"/>
        <v>7.92</v>
      </c>
      <c r="I141" s="463">
        <f t="shared" si="97"/>
        <v>0.4237946666666666</v>
      </c>
      <c r="J141" s="464">
        <f t="shared" si="121"/>
        <v>3.5958335353535347</v>
      </c>
      <c r="K141" s="464">
        <f t="shared" si="131"/>
        <v>9.7179167676767673</v>
      </c>
      <c r="L141" s="464">
        <f t="shared" si="98"/>
        <v>6.1220832323232326</v>
      </c>
      <c r="M141" s="77">
        <f t="shared" si="122"/>
        <v>0</v>
      </c>
      <c r="N141" s="463">
        <f t="shared" si="99"/>
        <v>7.9877344452498598</v>
      </c>
      <c r="O141" s="463">
        <f t="shared" si="100"/>
        <v>0.44946723381163239</v>
      </c>
      <c r="P141">
        <f t="shared" si="123"/>
        <v>0.4</v>
      </c>
      <c r="Q141" s="463">
        <f t="shared" si="132"/>
        <v>0.84946723381163247</v>
      </c>
      <c r="R141" s="9">
        <f t="shared" si="101"/>
        <v>1.0380277297987235</v>
      </c>
      <c r="S141" s="9">
        <f t="shared" si="102"/>
        <v>2.1550031356621837E-3</v>
      </c>
      <c r="T141" s="9">
        <f t="shared" si="103"/>
        <v>2.1550031356621837E-3</v>
      </c>
      <c r="U141" s="463">
        <f t="shared" si="104"/>
        <v>5.1999762688854441</v>
      </c>
      <c r="V141" s="465">
        <f t="shared" si="105"/>
        <v>8.9231185550006885E-3</v>
      </c>
      <c r="W141" s="463">
        <f t="shared" si="106"/>
        <v>8.9231185550006885E-3</v>
      </c>
      <c r="X141" s="463">
        <f t="shared" si="107"/>
        <v>5.1999762688854441</v>
      </c>
      <c r="Y141" s="463">
        <f t="shared" si="108"/>
        <v>0.10815901278788714</v>
      </c>
      <c r="Z141" s="463">
        <f t="shared" si="124"/>
        <v>0.26434977907460666</v>
      </c>
      <c r="AA141" s="463">
        <f t="shared" si="125"/>
        <v>3.0000000000000002E-2</v>
      </c>
      <c r="AB141" s="463">
        <f t="shared" si="126"/>
        <v>0</v>
      </c>
      <c r="AC141" s="463">
        <f t="shared" si="109"/>
        <v>0.40690988905184144</v>
      </c>
      <c r="AD141" s="463">
        <f t="shared" si="110"/>
        <v>6.0633446521585181</v>
      </c>
      <c r="AE141" s="463">
        <f t="shared" si="111"/>
        <v>0.14705659348343722</v>
      </c>
      <c r="AF141" s="463">
        <f t="shared" si="127"/>
        <v>0.11879999999999999</v>
      </c>
      <c r="AG141" s="463">
        <f t="shared" si="112"/>
        <v>0.26982454127119448</v>
      </c>
      <c r="AH141" s="463">
        <f t="shared" si="113"/>
        <v>0</v>
      </c>
      <c r="AI141">
        <f t="shared" si="128"/>
        <v>0</v>
      </c>
      <c r="AJ141" s="464">
        <f t="shared" si="129"/>
        <v>0.1196832</v>
      </c>
      <c r="AK141">
        <f t="shared" si="133"/>
        <v>3.6000000000000004E-2</v>
      </c>
      <c r="AL141" s="464">
        <f t="shared" si="134"/>
        <v>0.27</v>
      </c>
      <c r="AM141" s="464">
        <f t="shared" si="135"/>
        <v>0.17963774597495527</v>
      </c>
      <c r="AN141" s="464">
        <f t="shared" si="114"/>
        <v>0.30600000000000005</v>
      </c>
      <c r="AO141" s="464">
        <f t="shared" si="115"/>
        <v>1.9629629858253317</v>
      </c>
      <c r="AP141" s="100">
        <f t="shared" si="130"/>
        <v>39.6</v>
      </c>
      <c r="AQ141" s="10">
        <f t="shared" si="116"/>
        <v>0.95277134148268527</v>
      </c>
      <c r="AR141" s="77">
        <f t="shared" si="117"/>
        <v>10.172747226296035</v>
      </c>
      <c r="AS141" s="77">
        <f t="shared" si="118"/>
        <v>6.7456135317798624</v>
      </c>
      <c r="AT141" s="10"/>
      <c r="AU141">
        <f t="shared" si="119"/>
        <v>95.27713414826853</v>
      </c>
    </row>
    <row r="142" spans="7:47" x14ac:dyDescent="0.15">
      <c r="G142">
        <v>133</v>
      </c>
      <c r="H142">
        <f t="shared" si="120"/>
        <v>7.98</v>
      </c>
      <c r="I142" s="463">
        <f t="shared" si="97"/>
        <v>0.42384866666666671</v>
      </c>
      <c r="J142" s="464">
        <f t="shared" si="121"/>
        <v>3.5962917171717175</v>
      </c>
      <c r="K142" s="464">
        <f t="shared" si="131"/>
        <v>9.7781458585858587</v>
      </c>
      <c r="L142" s="464">
        <f t="shared" si="98"/>
        <v>6.1818541414141421</v>
      </c>
      <c r="M142" s="77">
        <f t="shared" si="122"/>
        <v>0</v>
      </c>
      <c r="N142" s="463">
        <f t="shared" si="99"/>
        <v>8.0472464965508443</v>
      </c>
      <c r="O142" s="463">
        <f t="shared" si="100"/>
        <v>0.45643509804216781</v>
      </c>
      <c r="P142">
        <f t="shared" si="123"/>
        <v>0.4</v>
      </c>
      <c r="Q142" s="463">
        <f t="shared" si="132"/>
        <v>0.85643509804216778</v>
      </c>
      <c r="R142" s="9">
        <f t="shared" si="101"/>
        <v>1.0381599954967564</v>
      </c>
      <c r="S142" s="9">
        <f t="shared" si="102"/>
        <v>2.1555523524996504E-3</v>
      </c>
      <c r="T142" s="9">
        <f t="shared" si="103"/>
        <v>2.1555523524996504E-3</v>
      </c>
      <c r="U142" s="463">
        <f t="shared" si="104"/>
        <v>5.2390520734259356</v>
      </c>
      <c r="V142" s="465">
        <f t="shared" si="105"/>
        <v>9.0577299872626367E-3</v>
      </c>
      <c r="W142" s="463">
        <f t="shared" si="106"/>
        <v>9.0577299872626367E-3</v>
      </c>
      <c r="X142" s="463">
        <f t="shared" si="107"/>
        <v>5.2390520734259356</v>
      </c>
      <c r="Y142" s="463">
        <f t="shared" si="108"/>
        <v>0.10979066651227438</v>
      </c>
      <c r="Z142" s="463">
        <f t="shared" si="124"/>
        <v>0.26617559304669053</v>
      </c>
      <c r="AA142" s="463">
        <f t="shared" si="125"/>
        <v>3.0000000000000002E-2</v>
      </c>
      <c r="AB142" s="463">
        <f t="shared" si="126"/>
        <v>0</v>
      </c>
      <c r="AC142" s="463">
        <f t="shared" si="109"/>
        <v>0.41047286854119924</v>
      </c>
      <c r="AD142" s="463">
        <f t="shared" si="110"/>
        <v>6.1082329317226627</v>
      </c>
      <c r="AE142" s="463">
        <f t="shared" si="111"/>
        <v>0.14924203819272494</v>
      </c>
      <c r="AF142" s="463">
        <f t="shared" si="127"/>
        <v>0.1197</v>
      </c>
      <c r="AG142" s="463">
        <f t="shared" si="112"/>
        <v>0.27301659347986185</v>
      </c>
      <c r="AH142" s="463">
        <f t="shared" si="113"/>
        <v>0</v>
      </c>
      <c r="AI142">
        <f t="shared" si="128"/>
        <v>0</v>
      </c>
      <c r="AJ142" s="464">
        <f t="shared" si="129"/>
        <v>0.1196808</v>
      </c>
      <c r="AK142">
        <f t="shared" si="133"/>
        <v>3.6000000000000004E-2</v>
      </c>
      <c r="AL142" s="464">
        <f t="shared" si="134"/>
        <v>0.27</v>
      </c>
      <c r="AM142" s="464">
        <f t="shared" si="135"/>
        <v>0.17963774597495527</v>
      </c>
      <c r="AN142" s="464">
        <f t="shared" si="114"/>
        <v>0.30600000000000005</v>
      </c>
      <c r="AO142" s="464">
        <f t="shared" si="115"/>
        <v>1.9768186424029912</v>
      </c>
      <c r="AP142" s="100">
        <f t="shared" si="130"/>
        <v>39.900000000000006</v>
      </c>
      <c r="AQ142" s="10">
        <f t="shared" si="116"/>
        <v>0.95279444077919206</v>
      </c>
      <c r="AR142" s="77">
        <f t="shared" si="117"/>
        <v>10.261821713529981</v>
      </c>
      <c r="AS142" s="77">
        <f t="shared" si="118"/>
        <v>6.8254148369965462</v>
      </c>
      <c r="AT142" s="10"/>
      <c r="AU142">
        <f t="shared" si="119"/>
        <v>95.279444077919209</v>
      </c>
    </row>
    <row r="143" spans="7:47" x14ac:dyDescent="0.15">
      <c r="G143">
        <v>134</v>
      </c>
      <c r="H143">
        <f t="shared" si="120"/>
        <v>8.0400000000000009</v>
      </c>
      <c r="I143" s="463">
        <f t="shared" si="97"/>
        <v>0.42390266666666671</v>
      </c>
      <c r="J143" s="464">
        <f t="shared" si="121"/>
        <v>3.5967498989898994</v>
      </c>
      <c r="K143" s="464">
        <f t="shared" si="131"/>
        <v>9.8383749494949502</v>
      </c>
      <c r="L143" s="464">
        <f t="shared" si="98"/>
        <v>6.2416250505050517</v>
      </c>
      <c r="M143" s="77">
        <f t="shared" si="122"/>
        <v>0</v>
      </c>
      <c r="N143" s="463">
        <f t="shared" si="99"/>
        <v>8.1067657434797642</v>
      </c>
      <c r="O143" s="463">
        <f t="shared" si="100"/>
        <v>0.46346312279490853</v>
      </c>
      <c r="P143">
        <f t="shared" si="123"/>
        <v>0.4</v>
      </c>
      <c r="Q143" s="463">
        <f t="shared" si="132"/>
        <v>0.86346312279490856</v>
      </c>
      <c r="R143" s="9">
        <f t="shared" si="101"/>
        <v>1.0382922611947889</v>
      </c>
      <c r="S143" s="9">
        <f t="shared" si="102"/>
        <v>2.1561016393139756E-3</v>
      </c>
      <c r="T143" s="9">
        <f t="shared" si="103"/>
        <v>2.1561016393139756E-3</v>
      </c>
      <c r="U143" s="463">
        <f t="shared" si="104"/>
        <v>5.2781374778282153</v>
      </c>
      <c r="V143" s="465">
        <f t="shared" si="105"/>
        <v>9.1933826275020815E-3</v>
      </c>
      <c r="W143" s="463">
        <f t="shared" si="106"/>
        <v>9.1933826275020815E-3</v>
      </c>
      <c r="X143" s="463">
        <f t="shared" si="107"/>
        <v>5.2781374778282153</v>
      </c>
      <c r="Y143" s="463">
        <f t="shared" si="108"/>
        <v>0.11143494093941918</v>
      </c>
      <c r="Z143" s="463">
        <f t="shared" si="124"/>
        <v>0.26800140701877445</v>
      </c>
      <c r="AA143" s="463">
        <f t="shared" si="125"/>
        <v>3.0000000000000002E-2</v>
      </c>
      <c r="AB143" s="463">
        <f t="shared" si="126"/>
        <v>0</v>
      </c>
      <c r="AC143" s="463">
        <f t="shared" si="109"/>
        <v>0.41405031520022212</v>
      </c>
      <c r="AD143" s="463">
        <f t="shared" si="110"/>
        <v>6.1531224256309267</v>
      </c>
      <c r="AE143" s="463">
        <f t="shared" si="111"/>
        <v>0.15144366233920889</v>
      </c>
      <c r="AF143" s="463">
        <f t="shared" si="127"/>
        <v>0.12060000000000001</v>
      </c>
      <c r="AG143" s="463">
        <f t="shared" si="112"/>
        <v>0.27622694434809331</v>
      </c>
      <c r="AH143" s="463">
        <f t="shared" si="113"/>
        <v>0</v>
      </c>
      <c r="AI143">
        <f t="shared" si="128"/>
        <v>0</v>
      </c>
      <c r="AJ143" s="464">
        <f t="shared" si="129"/>
        <v>0.1196784</v>
      </c>
      <c r="AK143">
        <f t="shared" si="133"/>
        <v>3.6000000000000004E-2</v>
      </c>
      <c r="AL143" s="464">
        <f t="shared" si="134"/>
        <v>0.27</v>
      </c>
      <c r="AM143" s="464">
        <f t="shared" si="135"/>
        <v>0.17963774597495527</v>
      </c>
      <c r="AN143" s="464">
        <f t="shared" si="114"/>
        <v>0.30600000000000005</v>
      </c>
      <c r="AO143" s="464">
        <f t="shared" si="115"/>
        <v>1.9907682666100401</v>
      </c>
      <c r="AP143" s="100">
        <f t="shared" si="130"/>
        <v>40.200000000000003</v>
      </c>
      <c r="AQ143" s="10">
        <f t="shared" si="116"/>
        <v>0.95281507428283685</v>
      </c>
      <c r="AR143" s="77">
        <f t="shared" si="117"/>
        <v>10.351257880005553</v>
      </c>
      <c r="AS143" s="77">
        <f t="shared" si="118"/>
        <v>6.9056736087023323</v>
      </c>
      <c r="AT143" s="10"/>
      <c r="AU143">
        <f t="shared" si="119"/>
        <v>95.281507428283689</v>
      </c>
    </row>
    <row r="144" spans="7:47" x14ac:dyDescent="0.15">
      <c r="G144">
        <v>135</v>
      </c>
      <c r="H144">
        <f t="shared" si="120"/>
        <v>8.1000000000000014</v>
      </c>
      <c r="I144" s="463">
        <f t="shared" si="97"/>
        <v>0.4239566666666667</v>
      </c>
      <c r="J144" s="464">
        <f t="shared" si="121"/>
        <v>3.5972080808080813</v>
      </c>
      <c r="K144" s="464">
        <f t="shared" si="131"/>
        <v>9.8986040404040416</v>
      </c>
      <c r="L144" s="464">
        <f t="shared" si="98"/>
        <v>6.3013959595959612</v>
      </c>
      <c r="M144" s="77">
        <f t="shared" si="122"/>
        <v>0</v>
      </c>
      <c r="N144" s="463">
        <f t="shared" si="99"/>
        <v>8.1662920287026601</v>
      </c>
      <c r="O144" s="463">
        <f t="shared" si="100"/>
        <v>0.47055149171416516</v>
      </c>
      <c r="P144">
        <f t="shared" si="123"/>
        <v>0.4</v>
      </c>
      <c r="Q144" s="463">
        <f t="shared" si="132"/>
        <v>0.87055149171416524</v>
      </c>
      <c r="R144" s="9">
        <f t="shared" si="101"/>
        <v>1.0384245268928214</v>
      </c>
      <c r="S144" s="9">
        <f t="shared" si="102"/>
        <v>2.1566509961051597E-3</v>
      </c>
      <c r="T144" s="9">
        <f t="shared" si="103"/>
        <v>2.1566509961051597E-3</v>
      </c>
      <c r="U144" s="463">
        <f t="shared" si="104"/>
        <v>5.3172323800766934</v>
      </c>
      <c r="V144" s="465">
        <f t="shared" si="105"/>
        <v>9.3300768606328979E-3</v>
      </c>
      <c r="W144" s="463">
        <f t="shared" si="106"/>
        <v>9.3300768606328979E-3</v>
      </c>
      <c r="X144" s="463">
        <f t="shared" si="107"/>
        <v>5.3172323800766934</v>
      </c>
      <c r="Y144" s="463">
        <f t="shared" si="108"/>
        <v>0.11309184073494423</v>
      </c>
      <c r="Z144" s="463">
        <f t="shared" si="124"/>
        <v>0.26982722099085837</v>
      </c>
      <c r="AA144" s="463">
        <f t="shared" si="125"/>
        <v>3.0000000000000002E-2</v>
      </c>
      <c r="AB144" s="463">
        <f t="shared" si="126"/>
        <v>0</v>
      </c>
      <c r="AC144" s="463">
        <f t="shared" si="109"/>
        <v>0.41764225486291662</v>
      </c>
      <c r="AD144" s="463">
        <f t="shared" si="110"/>
        <v>6.1980130134032914</v>
      </c>
      <c r="AE144" s="463">
        <f t="shared" si="111"/>
        <v>0.15366146125726618</v>
      </c>
      <c r="AF144" s="463">
        <f t="shared" si="127"/>
        <v>0.12150000000000001</v>
      </c>
      <c r="AG144" s="463">
        <f t="shared" si="112"/>
        <v>0.27945561710536232</v>
      </c>
      <c r="AH144" s="463">
        <f t="shared" si="113"/>
        <v>0</v>
      </c>
      <c r="AI144">
        <f t="shared" si="128"/>
        <v>0</v>
      </c>
      <c r="AJ144" s="464">
        <f t="shared" si="129"/>
        <v>0.11967599999999999</v>
      </c>
      <c r="AK144">
        <f t="shared" si="133"/>
        <v>3.6000000000000004E-2</v>
      </c>
      <c r="AL144" s="464">
        <f t="shared" si="134"/>
        <v>0.27</v>
      </c>
      <c r="AM144" s="464">
        <f t="shared" si="135"/>
        <v>0.17963774597495527</v>
      </c>
      <c r="AN144" s="464">
        <f t="shared" si="114"/>
        <v>0.30600000000000005</v>
      </c>
      <c r="AO144" s="464">
        <f t="shared" si="115"/>
        <v>2.0048120915391823</v>
      </c>
      <c r="AP144" s="100">
        <f t="shared" si="130"/>
        <v>40.500000000000007</v>
      </c>
      <c r="AQ144" s="10">
        <f t="shared" si="116"/>
        <v>0.95283329127013716</v>
      </c>
      <c r="AR144" s="77">
        <f t="shared" si="117"/>
        <v>10.441056371572916</v>
      </c>
      <c r="AS144" s="77">
        <f t="shared" si="118"/>
        <v>6.986390427634058</v>
      </c>
      <c r="AT144" s="10"/>
      <c r="AU144">
        <f t="shared" si="119"/>
        <v>95.283329127013715</v>
      </c>
    </row>
    <row r="145" spans="7:47" x14ac:dyDescent="0.15">
      <c r="G145">
        <v>136</v>
      </c>
      <c r="H145">
        <f t="shared" si="120"/>
        <v>8.16</v>
      </c>
      <c r="I145" s="463">
        <f t="shared" si="97"/>
        <v>0.4240106666666667</v>
      </c>
      <c r="J145" s="464">
        <f t="shared" si="121"/>
        <v>3.5976662626262632</v>
      </c>
      <c r="K145" s="464">
        <f t="shared" si="131"/>
        <v>9.9588331313131313</v>
      </c>
      <c r="L145" s="464">
        <f t="shared" si="98"/>
        <v>6.361166868686869</v>
      </c>
      <c r="M145" s="77">
        <f t="shared" si="122"/>
        <v>0</v>
      </c>
      <c r="N145" s="463">
        <f t="shared" si="99"/>
        <v>8.2258251994214291</v>
      </c>
      <c r="O145" s="463">
        <f t="shared" si="100"/>
        <v>0.47770039031697908</v>
      </c>
      <c r="P145">
        <f t="shared" si="123"/>
        <v>0.4</v>
      </c>
      <c r="Q145" s="463">
        <f t="shared" si="132"/>
        <v>0.87770039031697911</v>
      </c>
      <c r="R145" s="9">
        <f t="shared" si="101"/>
        <v>1.0385567925908541</v>
      </c>
      <c r="S145" s="9">
        <f t="shared" si="102"/>
        <v>2.1572004228732045E-3</v>
      </c>
      <c r="T145" s="9">
        <f t="shared" si="103"/>
        <v>2.1572004228732045E-3</v>
      </c>
      <c r="U145" s="463">
        <f t="shared" si="104"/>
        <v>5.3563366810832607</v>
      </c>
      <c r="V145" s="465">
        <f t="shared" si="105"/>
        <v>9.4678130715689524E-3</v>
      </c>
      <c r="W145" s="463">
        <f t="shared" si="106"/>
        <v>9.4678130715689524E-3</v>
      </c>
      <c r="X145" s="463">
        <f t="shared" si="107"/>
        <v>5.3563366810832607</v>
      </c>
      <c r="Y145" s="463">
        <f t="shared" si="108"/>
        <v>0.11476137056447216</v>
      </c>
      <c r="Z145" s="463">
        <f t="shared" si="124"/>
        <v>0.27165303496294224</v>
      </c>
      <c r="AA145" s="463">
        <f t="shared" si="125"/>
        <v>3.0000000000000002E-2</v>
      </c>
      <c r="AB145" s="463">
        <f t="shared" si="126"/>
        <v>0</v>
      </c>
      <c r="AC145" s="463">
        <f t="shared" si="109"/>
        <v>0.42124871349837384</v>
      </c>
      <c r="AD145" s="463">
        <f t="shared" si="110"/>
        <v>6.2429045780244437</v>
      </c>
      <c r="AE145" s="463">
        <f t="shared" si="111"/>
        <v>0.15589543028127423</v>
      </c>
      <c r="AF145" s="463">
        <f t="shared" si="127"/>
        <v>0.12239999999999999</v>
      </c>
      <c r="AG145" s="463">
        <f t="shared" si="112"/>
        <v>0.28270263517652366</v>
      </c>
      <c r="AH145" s="463">
        <f t="shared" si="113"/>
        <v>0</v>
      </c>
      <c r="AI145">
        <f t="shared" si="128"/>
        <v>0</v>
      </c>
      <c r="AJ145" s="464">
        <f t="shared" si="129"/>
        <v>0.11967359999999999</v>
      </c>
      <c r="AK145">
        <f t="shared" si="133"/>
        <v>3.6000000000000004E-2</v>
      </c>
      <c r="AL145" s="464">
        <f t="shared" si="134"/>
        <v>0.27</v>
      </c>
      <c r="AM145" s="464">
        <f t="shared" si="135"/>
        <v>0.17963774597495527</v>
      </c>
      <c r="AN145" s="464">
        <f t="shared" si="114"/>
        <v>0.30600000000000005</v>
      </c>
      <c r="AO145" s="464">
        <f t="shared" si="115"/>
        <v>2.0189503524863186</v>
      </c>
      <c r="AP145" s="100">
        <f t="shared" si="130"/>
        <v>40.799999999999997</v>
      </c>
      <c r="AQ145" s="10">
        <f t="shared" si="116"/>
        <v>0.95284913955465311</v>
      </c>
      <c r="AR145" s="77">
        <f t="shared" si="117"/>
        <v>10.531217837459346</v>
      </c>
      <c r="AS145" s="77">
        <f t="shared" si="118"/>
        <v>7.0675658794130918</v>
      </c>
      <c r="AT145" s="10"/>
      <c r="AU145">
        <f t="shared" si="119"/>
        <v>95.284913955465314</v>
      </c>
    </row>
    <row r="146" spans="7:47" x14ac:dyDescent="0.15">
      <c r="G146">
        <v>137</v>
      </c>
      <c r="H146">
        <f t="shared" si="120"/>
        <v>8.2200000000000006</v>
      </c>
      <c r="I146" s="463">
        <f t="shared" si="97"/>
        <v>0.42406466666666659</v>
      </c>
      <c r="J146" s="464">
        <f t="shared" si="121"/>
        <v>3.5981244444444438</v>
      </c>
      <c r="K146" s="464">
        <f t="shared" si="131"/>
        <v>10.019062222222223</v>
      </c>
      <c r="L146" s="464">
        <f t="shared" si="98"/>
        <v>6.4209377777777785</v>
      </c>
      <c r="M146" s="77">
        <f t="shared" si="122"/>
        <v>0</v>
      </c>
      <c r="N146" s="463">
        <f t="shared" si="99"/>
        <v>8.2853651072121774</v>
      </c>
      <c r="O146" s="463">
        <f t="shared" si="100"/>
        <v>0.48491000600579676</v>
      </c>
      <c r="P146">
        <f t="shared" si="123"/>
        <v>0.4</v>
      </c>
      <c r="Q146" s="463">
        <f t="shared" si="132"/>
        <v>0.88491000600579683</v>
      </c>
      <c r="R146" s="9">
        <f t="shared" si="101"/>
        <v>1.0386890582888861</v>
      </c>
      <c r="S146" s="9">
        <f t="shared" si="102"/>
        <v>2.1577499196181061E-3</v>
      </c>
      <c r="T146" s="9">
        <f t="shared" si="103"/>
        <v>2.1577499196181061E-3</v>
      </c>
      <c r="U146" s="463">
        <f t="shared" si="104"/>
        <v>5.395450284582969</v>
      </c>
      <c r="V146" s="465">
        <f t="shared" si="105"/>
        <v>9.6065916452241253E-3</v>
      </c>
      <c r="W146" s="463">
        <f t="shared" si="106"/>
        <v>9.6065916452241253E-3</v>
      </c>
      <c r="X146" s="463">
        <f t="shared" si="107"/>
        <v>5.395450284582969</v>
      </c>
      <c r="Y146" s="463">
        <f t="shared" si="108"/>
        <v>0.11644353509362577</v>
      </c>
      <c r="Z146" s="463">
        <f t="shared" si="124"/>
        <v>0.27347884893502611</v>
      </c>
      <c r="AA146" s="463">
        <f t="shared" si="125"/>
        <v>3.0000000000000002E-2</v>
      </c>
      <c r="AB146" s="463">
        <f t="shared" si="126"/>
        <v>0</v>
      </c>
      <c r="AC146" s="463">
        <f t="shared" si="109"/>
        <v>0.42486971721128297</v>
      </c>
      <c r="AD146" s="463">
        <f t="shared" si="110"/>
        <v>6.2877970058202921</v>
      </c>
      <c r="AE146" s="463">
        <f t="shared" si="111"/>
        <v>0.15814556474561053</v>
      </c>
      <c r="AF146" s="463">
        <f t="shared" si="127"/>
        <v>0.12330000000000001</v>
      </c>
      <c r="AG146" s="463">
        <f t="shared" si="112"/>
        <v>0.28596802218233158</v>
      </c>
      <c r="AH146" s="463">
        <f t="shared" si="113"/>
        <v>0</v>
      </c>
      <c r="AI146">
        <f t="shared" si="128"/>
        <v>0</v>
      </c>
      <c r="AJ146" s="464">
        <f t="shared" si="129"/>
        <v>0.11967119999999999</v>
      </c>
      <c r="AK146">
        <f t="shared" si="133"/>
        <v>3.6000000000000004E-2</v>
      </c>
      <c r="AL146" s="464">
        <f t="shared" si="134"/>
        <v>0.27</v>
      </c>
      <c r="AM146" s="464">
        <f t="shared" si="135"/>
        <v>0.17963774597495527</v>
      </c>
      <c r="AN146" s="464">
        <f t="shared" si="114"/>
        <v>0.30600000000000005</v>
      </c>
      <c r="AO146" s="464">
        <f t="shared" si="115"/>
        <v>2.0331832869642534</v>
      </c>
      <c r="AP146" s="100">
        <f t="shared" si="130"/>
        <v>41.1</v>
      </c>
      <c r="AQ146" s="10">
        <f t="shared" si="116"/>
        <v>0.9528626655390231</v>
      </c>
      <c r="AR146" s="77">
        <f t="shared" si="117"/>
        <v>10.621742930282075</v>
      </c>
      <c r="AS146" s="77">
        <f t="shared" si="118"/>
        <v>7.1492005545582895</v>
      </c>
      <c r="AT146" s="10"/>
      <c r="AU146">
        <f t="shared" si="119"/>
        <v>95.286266553902308</v>
      </c>
    </row>
    <row r="147" spans="7:47" x14ac:dyDescent="0.15">
      <c r="G147">
        <v>138</v>
      </c>
      <c r="H147">
        <f t="shared" si="120"/>
        <v>8.2799999999999994</v>
      </c>
      <c r="I147" s="463">
        <f t="shared" si="97"/>
        <v>0.4241186666666667</v>
      </c>
      <c r="J147" s="464">
        <f t="shared" si="121"/>
        <v>3.5985826262626266</v>
      </c>
      <c r="K147" s="464">
        <f t="shared" si="131"/>
        <v>10.079291313131312</v>
      </c>
      <c r="L147" s="464">
        <f t="shared" si="98"/>
        <v>6.4807086868686863</v>
      </c>
      <c r="M147" s="77">
        <f t="shared" si="122"/>
        <v>0</v>
      </c>
      <c r="N147" s="463">
        <f t="shared" si="99"/>
        <v>8.3449116078703867</v>
      </c>
      <c r="O147" s="463">
        <f t="shared" si="100"/>
        <v>0.49218052808129881</v>
      </c>
      <c r="P147">
        <f t="shared" si="123"/>
        <v>0.4</v>
      </c>
      <c r="Q147" s="463">
        <f t="shared" si="132"/>
        <v>0.89218052808129888</v>
      </c>
      <c r="R147" s="9">
        <f t="shared" si="101"/>
        <v>1.0388213239869191</v>
      </c>
      <c r="S147" s="9">
        <f t="shared" si="102"/>
        <v>2.158299486339871E-3</v>
      </c>
      <c r="T147" s="9">
        <f t="shared" si="103"/>
        <v>2.158299486339871E-3</v>
      </c>
      <c r="U147" s="463">
        <f t="shared" si="104"/>
        <v>5.4345730970341091</v>
      </c>
      <c r="V147" s="465">
        <f t="shared" si="105"/>
        <v>9.7464129665122794E-3</v>
      </c>
      <c r="W147" s="463">
        <f t="shared" si="106"/>
        <v>9.7464129665122794E-3</v>
      </c>
      <c r="X147" s="463">
        <f t="shared" si="107"/>
        <v>5.4345730970341091</v>
      </c>
      <c r="Y147" s="463">
        <f t="shared" si="108"/>
        <v>0.11813833898802763</v>
      </c>
      <c r="Z147" s="463">
        <f t="shared" si="124"/>
        <v>0.27530466290710992</v>
      </c>
      <c r="AA147" s="463">
        <f t="shared" si="125"/>
        <v>3.0000000000000002E-2</v>
      </c>
      <c r="AB147" s="463">
        <f t="shared" si="126"/>
        <v>0</v>
      </c>
      <c r="AC147" s="463">
        <f t="shared" si="109"/>
        <v>0.42850529224244777</v>
      </c>
      <c r="AD147" s="463">
        <f t="shared" si="110"/>
        <v>6.3326901863396898</v>
      </c>
      <c r="AE147" s="463">
        <f t="shared" si="111"/>
        <v>0.16041185998465207</v>
      </c>
      <c r="AF147" s="463">
        <f t="shared" si="127"/>
        <v>0.12419999999999999</v>
      </c>
      <c r="AG147" s="463">
        <f t="shared" si="112"/>
        <v>0.28925180193996219</v>
      </c>
      <c r="AH147" s="463">
        <f t="shared" si="113"/>
        <v>0</v>
      </c>
      <c r="AI147">
        <f t="shared" si="128"/>
        <v>0</v>
      </c>
      <c r="AJ147" s="464">
        <f t="shared" si="129"/>
        <v>0.11966880000000001</v>
      </c>
      <c r="AK147">
        <f t="shared" si="133"/>
        <v>3.6000000000000004E-2</v>
      </c>
      <c r="AL147" s="464">
        <f t="shared" si="134"/>
        <v>0.27</v>
      </c>
      <c r="AM147" s="464">
        <f t="shared" si="135"/>
        <v>0.17963774597495527</v>
      </c>
      <c r="AN147" s="464">
        <f t="shared" si="114"/>
        <v>0.30600000000000005</v>
      </c>
      <c r="AO147" s="464">
        <f t="shared" si="115"/>
        <v>2.0475111347165607</v>
      </c>
      <c r="AP147" s="100">
        <f t="shared" si="130"/>
        <v>41.4</v>
      </c>
      <c r="AQ147" s="10">
        <f t="shared" si="116"/>
        <v>0.95287391426478041</v>
      </c>
      <c r="AR147" s="77">
        <f t="shared" si="117"/>
        <v>10.712632306061193</v>
      </c>
      <c r="AS147" s="77">
        <f t="shared" si="118"/>
        <v>7.2312950484990548</v>
      </c>
      <c r="AT147" s="10"/>
      <c r="AU147">
        <f t="shared" si="119"/>
        <v>95.287391426478038</v>
      </c>
    </row>
    <row r="148" spans="7:47" x14ac:dyDescent="0.15">
      <c r="G148">
        <v>139</v>
      </c>
      <c r="H148">
        <f t="shared" si="120"/>
        <v>8.34</v>
      </c>
      <c r="I148" s="463">
        <f t="shared" si="97"/>
        <v>0.4241726666666667</v>
      </c>
      <c r="J148" s="464">
        <f t="shared" si="121"/>
        <v>3.5990408080808085</v>
      </c>
      <c r="K148" s="464">
        <f t="shared" si="131"/>
        <v>10.139520404040404</v>
      </c>
      <c r="L148" s="464">
        <f t="shared" si="98"/>
        <v>6.5404795959595958</v>
      </c>
      <c r="M148" s="77">
        <f t="shared" si="122"/>
        <v>0</v>
      </c>
      <c r="N148" s="463">
        <f t="shared" si="99"/>
        <v>8.4044645612626177</v>
      </c>
      <c r="O148" s="463">
        <f t="shared" si="100"/>
        <v>0.49951214775539166</v>
      </c>
      <c r="P148">
        <f t="shared" si="123"/>
        <v>0.4</v>
      </c>
      <c r="Q148" s="463">
        <f t="shared" si="132"/>
        <v>0.89951214775539168</v>
      </c>
      <c r="R148" s="9">
        <f t="shared" si="101"/>
        <v>1.0389535896849516</v>
      </c>
      <c r="S148" s="9">
        <f t="shared" si="102"/>
        <v>2.158849123038493E-3</v>
      </c>
      <c r="T148" s="9">
        <f t="shared" si="103"/>
        <v>2.158849123038493E-3</v>
      </c>
      <c r="U148" s="463">
        <f t="shared" si="104"/>
        <v>5.4737050275225023</v>
      </c>
      <c r="V148" s="465">
        <f t="shared" si="105"/>
        <v>9.8872774203472881E-3</v>
      </c>
      <c r="W148" s="463">
        <f t="shared" si="106"/>
        <v>9.8872774203472881E-3</v>
      </c>
      <c r="X148" s="463">
        <f t="shared" si="107"/>
        <v>5.4737050275225023</v>
      </c>
      <c r="Y148" s="463">
        <f t="shared" si="108"/>
        <v>0.11984578691330047</v>
      </c>
      <c r="Z148" s="463">
        <f t="shared" si="124"/>
        <v>0.27713047687919384</v>
      </c>
      <c r="AA148" s="463">
        <f t="shared" si="125"/>
        <v>3.0000000000000002E-2</v>
      </c>
      <c r="AB148" s="463">
        <f t="shared" si="126"/>
        <v>0</v>
      </c>
      <c r="AC148" s="463">
        <f t="shared" si="109"/>
        <v>0.43215546496930729</v>
      </c>
      <c r="AD148" s="463">
        <f t="shared" si="110"/>
        <v>6.377584012241166</v>
      </c>
      <c r="AE148" s="463">
        <f t="shared" si="111"/>
        <v>0.16269431133277654</v>
      </c>
      <c r="AF148" s="463">
        <f t="shared" si="127"/>
        <v>0.12509999999999999</v>
      </c>
      <c r="AG148" s="463">
        <f t="shared" si="112"/>
        <v>0.29255399846354418</v>
      </c>
      <c r="AH148" s="463">
        <f t="shared" si="113"/>
        <v>0</v>
      </c>
      <c r="AI148">
        <f t="shared" si="128"/>
        <v>0</v>
      </c>
      <c r="AJ148" s="464">
        <f t="shared" si="129"/>
        <v>0.11966640000000001</v>
      </c>
      <c r="AK148">
        <f t="shared" si="133"/>
        <v>3.6000000000000004E-2</v>
      </c>
      <c r="AL148" s="464">
        <f t="shared" si="134"/>
        <v>0.27</v>
      </c>
      <c r="AM148" s="464">
        <f t="shared" si="135"/>
        <v>0.17963774597495527</v>
      </c>
      <c r="AN148" s="464">
        <f t="shared" si="114"/>
        <v>0.30600000000000005</v>
      </c>
      <c r="AO148" s="464">
        <f t="shared" si="115"/>
        <v>2.0619341377316291</v>
      </c>
      <c r="AP148" s="100">
        <f t="shared" si="130"/>
        <v>41.7</v>
      </c>
      <c r="AQ148" s="10">
        <f t="shared" si="116"/>
        <v>0.95288292946006192</v>
      </c>
      <c r="AR148" s="77">
        <f t="shared" si="117"/>
        <v>10.803886624232682</v>
      </c>
      <c r="AS148" s="77">
        <f t="shared" si="118"/>
        <v>7.3138499615886046</v>
      </c>
      <c r="AT148" s="10"/>
      <c r="AU148">
        <f t="shared" si="119"/>
        <v>95.288292946006194</v>
      </c>
    </row>
    <row r="149" spans="7:47" x14ac:dyDescent="0.15">
      <c r="G149">
        <v>140</v>
      </c>
      <c r="H149">
        <f t="shared" si="120"/>
        <v>8.3999999999999986</v>
      </c>
      <c r="I149" s="463">
        <f t="shared" si="97"/>
        <v>0.4242266666666667</v>
      </c>
      <c r="J149" s="464">
        <f t="shared" si="121"/>
        <v>3.5994989898989904</v>
      </c>
      <c r="K149" s="464">
        <f t="shared" si="131"/>
        <v>10.199749494949494</v>
      </c>
      <c r="L149" s="464">
        <f t="shared" si="98"/>
        <v>6.6002505050505036</v>
      </c>
      <c r="M149" s="77">
        <f t="shared" si="122"/>
        <v>0</v>
      </c>
      <c r="N149" s="463">
        <f t="shared" si="99"/>
        <v>8.4640238311843721</v>
      </c>
      <c r="O149" s="463">
        <f t="shared" si="100"/>
        <v>0.50690505816435549</v>
      </c>
      <c r="P149">
        <f t="shared" si="123"/>
        <v>0.4</v>
      </c>
      <c r="Q149" s="463">
        <f t="shared" si="132"/>
        <v>0.90690505816435552</v>
      </c>
      <c r="R149" s="9">
        <f t="shared" si="101"/>
        <v>1.039085855382984</v>
      </c>
      <c r="S149" s="9">
        <f t="shared" si="102"/>
        <v>2.1593988297139753E-3</v>
      </c>
      <c r="T149" s="9">
        <f t="shared" si="103"/>
        <v>2.1593988297139753E-3</v>
      </c>
      <c r="U149" s="463">
        <f t="shared" si="104"/>
        <v>5.512845987669774</v>
      </c>
      <c r="V149" s="465">
        <f t="shared" si="105"/>
        <v>1.002918539164302E-2</v>
      </c>
      <c r="W149" s="463">
        <f t="shared" si="106"/>
        <v>1.002918539164302E-2</v>
      </c>
      <c r="X149" s="463">
        <f t="shared" si="107"/>
        <v>5.512845987669774</v>
      </c>
      <c r="Y149" s="463">
        <f t="shared" si="108"/>
        <v>0.12156588353506691</v>
      </c>
      <c r="Z149" s="463">
        <f t="shared" si="124"/>
        <v>0.27895629085127777</v>
      </c>
      <c r="AA149" s="463">
        <f t="shared" si="125"/>
        <v>3.0000000000000002E-2</v>
      </c>
      <c r="AB149" s="463">
        <f t="shared" si="126"/>
        <v>0</v>
      </c>
      <c r="AC149" s="463">
        <f t="shared" si="109"/>
        <v>0.43582026190645901</v>
      </c>
      <c r="AD149" s="463">
        <f t="shared" si="110"/>
        <v>6.4224783791843354</v>
      </c>
      <c r="AE149" s="463">
        <f t="shared" si="111"/>
        <v>0.16499291412436098</v>
      </c>
      <c r="AF149" s="463">
        <f t="shared" si="127"/>
        <v>0.12599999999999997</v>
      </c>
      <c r="AG149" s="463">
        <f t="shared" si="112"/>
        <v>0.29587463596469082</v>
      </c>
      <c r="AH149" s="463">
        <f t="shared" si="113"/>
        <v>0</v>
      </c>
      <c r="AI149">
        <f t="shared" si="128"/>
        <v>0</v>
      </c>
      <c r="AJ149" s="464">
        <f t="shared" si="129"/>
        <v>0.11966400000000001</v>
      </c>
      <c r="AK149">
        <f t="shared" si="133"/>
        <v>3.6000000000000004E-2</v>
      </c>
      <c r="AL149" s="464">
        <f t="shared" si="134"/>
        <v>0.27</v>
      </c>
      <c r="AM149" s="464">
        <f t="shared" si="135"/>
        <v>0.17963774597495527</v>
      </c>
      <c r="AN149" s="464">
        <f t="shared" si="114"/>
        <v>0.30600000000000005</v>
      </c>
      <c r="AO149" s="464">
        <f t="shared" si="115"/>
        <v>2.0764525402568621</v>
      </c>
      <c r="AP149" s="100">
        <f t="shared" si="130"/>
        <v>41.999999999999993</v>
      </c>
      <c r="AQ149" s="10">
        <f t="shared" si="116"/>
        <v>0.95288975358531069</v>
      </c>
      <c r="AR149" s="77">
        <f t="shared" si="117"/>
        <v>10.895506547661475</v>
      </c>
      <c r="AS149" s="77">
        <f t="shared" si="118"/>
        <v>7.3968658991172704</v>
      </c>
      <c r="AT149" s="10"/>
      <c r="AU149">
        <f t="shared" si="119"/>
        <v>95.288975358531076</v>
      </c>
    </row>
    <row r="150" spans="7:47" x14ac:dyDescent="0.15">
      <c r="G150">
        <v>141</v>
      </c>
      <c r="H150">
        <f t="shared" si="120"/>
        <v>8.4599999999999991</v>
      </c>
      <c r="I150" s="463">
        <f t="shared" si="97"/>
        <v>0.42428066666666658</v>
      </c>
      <c r="J150" s="464">
        <f t="shared" si="121"/>
        <v>3.599957171717171</v>
      </c>
      <c r="K150" s="464">
        <f t="shared" si="131"/>
        <v>10.259978585858585</v>
      </c>
      <c r="L150" s="464">
        <f t="shared" si="98"/>
        <v>6.6600214141414131</v>
      </c>
      <c r="M150" s="77">
        <f t="shared" si="122"/>
        <v>0</v>
      </c>
      <c r="N150" s="463">
        <f t="shared" si="99"/>
        <v>8.5235892852238688</v>
      </c>
      <c r="O150" s="463">
        <f t="shared" si="100"/>
        <v>0.51435945438215835</v>
      </c>
      <c r="P150">
        <f t="shared" si="123"/>
        <v>0.4</v>
      </c>
      <c r="Q150" s="463">
        <f t="shared" si="132"/>
        <v>0.91435945438215838</v>
      </c>
      <c r="R150" s="9">
        <f t="shared" si="101"/>
        <v>1.0392181210810163</v>
      </c>
      <c r="S150" s="9">
        <f t="shared" si="102"/>
        <v>2.1599486063663157E-3</v>
      </c>
      <c r="T150" s="9">
        <f t="shared" si="103"/>
        <v>2.1599486063663157E-3</v>
      </c>
      <c r="U150" s="463">
        <f t="shared" si="104"/>
        <v>5.5519958915454364</v>
      </c>
      <c r="V150" s="465">
        <f t="shared" si="105"/>
        <v>1.0172137265313344E-2</v>
      </c>
      <c r="W150" s="463">
        <f t="shared" si="106"/>
        <v>1.0172137265313344E-2</v>
      </c>
      <c r="X150" s="463">
        <f t="shared" si="107"/>
        <v>5.5519958915454364</v>
      </c>
      <c r="Y150" s="463">
        <f t="shared" si="108"/>
        <v>0.12329863351894961</v>
      </c>
      <c r="Z150" s="463">
        <f t="shared" si="124"/>
        <v>0.28078210482336169</v>
      </c>
      <c r="AA150" s="463">
        <f t="shared" si="125"/>
        <v>3.0000000000000002E-2</v>
      </c>
      <c r="AB150" s="463">
        <f t="shared" si="126"/>
        <v>0</v>
      </c>
      <c r="AC150" s="463">
        <f t="shared" si="109"/>
        <v>0.43949970970618613</v>
      </c>
      <c r="AD150" s="463">
        <f t="shared" si="110"/>
        <v>6.467373185725851</v>
      </c>
      <c r="AE150" s="463">
        <f t="shared" si="111"/>
        <v>0.16730766369378297</v>
      </c>
      <c r="AF150" s="463">
        <f t="shared" si="127"/>
        <v>0.12689999999999999</v>
      </c>
      <c r="AG150" s="463">
        <f t="shared" si="112"/>
        <v>0.29921373885304131</v>
      </c>
      <c r="AH150" s="463">
        <f t="shared" si="113"/>
        <v>0</v>
      </c>
      <c r="AI150">
        <f t="shared" si="128"/>
        <v>0</v>
      </c>
      <c r="AJ150" s="464">
        <f t="shared" si="129"/>
        <v>0.11966160000000001</v>
      </c>
      <c r="AK150">
        <f t="shared" si="133"/>
        <v>3.6000000000000004E-2</v>
      </c>
      <c r="AL150" s="464">
        <f t="shared" si="134"/>
        <v>0.27</v>
      </c>
      <c r="AM150" s="464">
        <f t="shared" si="135"/>
        <v>0.17963774597495527</v>
      </c>
      <c r="AN150" s="464">
        <f t="shared" si="114"/>
        <v>0.30600000000000005</v>
      </c>
      <c r="AO150" s="464">
        <f t="shared" si="115"/>
        <v>2.0910665888130655</v>
      </c>
      <c r="AP150" s="100">
        <f t="shared" si="130"/>
        <v>42.3</v>
      </c>
      <c r="AQ150" s="10">
        <f t="shared" si="116"/>
        <v>0.95289442787707135</v>
      </c>
      <c r="AR150" s="77">
        <f t="shared" si="117"/>
        <v>10.987492742654654</v>
      </c>
      <c r="AS150" s="77">
        <f t="shared" si="118"/>
        <v>7.4803434713260328</v>
      </c>
      <c r="AT150" s="10"/>
      <c r="AU150">
        <f t="shared" si="119"/>
        <v>95.289442787707131</v>
      </c>
    </row>
    <row r="151" spans="7:47" x14ac:dyDescent="0.15">
      <c r="G151">
        <v>142</v>
      </c>
      <c r="H151">
        <f t="shared" si="120"/>
        <v>8.52</v>
      </c>
      <c r="I151" s="463">
        <f t="shared" si="97"/>
        <v>0.42433466666666669</v>
      </c>
      <c r="J151" s="464">
        <f t="shared" si="121"/>
        <v>3.6004153535353538</v>
      </c>
      <c r="K151" s="464">
        <f t="shared" si="131"/>
        <v>10.320207676767676</v>
      </c>
      <c r="L151" s="464">
        <f t="shared" si="98"/>
        <v>6.7197923232323227</v>
      </c>
      <c r="M151" s="77">
        <f t="shared" si="122"/>
        <v>0</v>
      </c>
      <c r="N151" s="463">
        <f t="shared" si="99"/>
        <v>8.5831607946314126</v>
      </c>
      <c r="O151" s="463">
        <f t="shared" si="100"/>
        <v>0.52187553343392989</v>
      </c>
      <c r="P151">
        <f t="shared" si="123"/>
        <v>0.4</v>
      </c>
      <c r="Q151" s="463">
        <f t="shared" si="132"/>
        <v>0.92187553343392992</v>
      </c>
      <c r="R151" s="9">
        <f t="shared" si="101"/>
        <v>1.0393503867790492</v>
      </c>
      <c r="S151" s="9">
        <f t="shared" si="102"/>
        <v>2.1604984529955185E-3</v>
      </c>
      <c r="T151" s="9">
        <f t="shared" si="103"/>
        <v>2.1604984529955185E-3</v>
      </c>
      <c r="U151" s="463">
        <f t="shared" si="104"/>
        <v>5.5911546555825877</v>
      </c>
      <c r="V151" s="465">
        <f t="shared" si="105"/>
        <v>1.0316133426272139E-2</v>
      </c>
      <c r="W151" s="463">
        <f t="shared" si="106"/>
        <v>1.0316133426272139E-2</v>
      </c>
      <c r="X151" s="463">
        <f t="shared" si="107"/>
        <v>5.5911546555825877</v>
      </c>
      <c r="Y151" s="463">
        <f t="shared" si="108"/>
        <v>0.12504404153057139</v>
      </c>
      <c r="Z151" s="463">
        <f t="shared" si="124"/>
        <v>0.28260791879544556</v>
      </c>
      <c r="AA151" s="463">
        <f t="shared" si="125"/>
        <v>3.0000000000000002E-2</v>
      </c>
      <c r="AB151" s="463">
        <f t="shared" si="126"/>
        <v>0</v>
      </c>
      <c r="AC151" s="463">
        <f t="shared" si="109"/>
        <v>0.4431938351589883</v>
      </c>
      <c r="AD151" s="463">
        <f t="shared" si="110"/>
        <v>6.5122683332196081</v>
      </c>
      <c r="AE151" s="463">
        <f t="shared" si="111"/>
        <v>0.16963855537541958</v>
      </c>
      <c r="AF151" s="463">
        <f t="shared" si="127"/>
        <v>0.1278</v>
      </c>
      <c r="AG151" s="463">
        <f t="shared" si="112"/>
        <v>0.30257133173680439</v>
      </c>
      <c r="AH151" s="463">
        <f t="shared" si="113"/>
        <v>0</v>
      </c>
      <c r="AI151">
        <f t="shared" si="128"/>
        <v>0</v>
      </c>
      <c r="AJ151" s="464">
        <f t="shared" si="129"/>
        <v>0.11965920000000001</v>
      </c>
      <c r="AK151">
        <f t="shared" si="133"/>
        <v>3.6000000000000004E-2</v>
      </c>
      <c r="AL151" s="464">
        <f t="shared" si="134"/>
        <v>0.27</v>
      </c>
      <c r="AM151" s="464">
        <f t="shared" si="135"/>
        <v>0.17963774597495527</v>
      </c>
      <c r="AN151" s="464">
        <f t="shared" si="114"/>
        <v>0.30600000000000005</v>
      </c>
      <c r="AO151" s="464">
        <f t="shared" si="115"/>
        <v>2.1057765322089903</v>
      </c>
      <c r="AP151" s="100">
        <f t="shared" si="130"/>
        <v>42.599999999999994</v>
      </c>
      <c r="AQ151" s="10">
        <f t="shared" si="116"/>
        <v>0.95289699238996883</v>
      </c>
      <c r="AR151" s="77">
        <f t="shared" si="117"/>
        <v>11.079845878974707</v>
      </c>
      <c r="AS151" s="77">
        <f t="shared" si="118"/>
        <v>7.5642832934201101</v>
      </c>
      <c r="AT151" s="10"/>
      <c r="AU151">
        <f t="shared" si="119"/>
        <v>95.289699238996889</v>
      </c>
    </row>
    <row r="152" spans="7:47" x14ac:dyDescent="0.15">
      <c r="G152">
        <v>143</v>
      </c>
      <c r="H152">
        <f t="shared" si="120"/>
        <v>8.58</v>
      </c>
      <c r="I152" s="463">
        <f t="shared" si="97"/>
        <v>0.42438866666666669</v>
      </c>
      <c r="J152" s="464">
        <f t="shared" si="121"/>
        <v>3.6008735353535357</v>
      </c>
      <c r="K152" s="464">
        <f t="shared" si="131"/>
        <v>10.380436767676768</v>
      </c>
      <c r="L152" s="464">
        <f t="shared" si="98"/>
        <v>6.7795632323232322</v>
      </c>
      <c r="M152" s="77">
        <f t="shared" si="122"/>
        <v>0</v>
      </c>
      <c r="N152" s="463">
        <f t="shared" si="99"/>
        <v>8.6427382341941144</v>
      </c>
      <c r="O152" s="463">
        <f t="shared" si="100"/>
        <v>0.52945349430960476</v>
      </c>
      <c r="P152">
        <f t="shared" si="123"/>
        <v>0.4</v>
      </c>
      <c r="Q152" s="463">
        <f t="shared" si="132"/>
        <v>0.92945349430960478</v>
      </c>
      <c r="R152" s="9">
        <f t="shared" si="101"/>
        <v>1.0394826524770817</v>
      </c>
      <c r="S152" s="9">
        <f t="shared" si="102"/>
        <v>2.161048369601579E-3</v>
      </c>
      <c r="T152" s="9">
        <f t="shared" si="103"/>
        <v>2.161048369601579E-3</v>
      </c>
      <c r="U152" s="463">
        <f t="shared" si="104"/>
        <v>5.630322198497054</v>
      </c>
      <c r="V152" s="465">
        <f t="shared" si="105"/>
        <v>1.0461174259433272E-2</v>
      </c>
      <c r="W152" s="463">
        <f t="shared" si="106"/>
        <v>1.0461174259433272E-2</v>
      </c>
      <c r="X152" s="463">
        <f t="shared" si="107"/>
        <v>5.630322198497054</v>
      </c>
      <c r="Y152" s="463">
        <f t="shared" si="108"/>
        <v>0.12680211223555479</v>
      </c>
      <c r="Z152" s="463">
        <f t="shared" si="124"/>
        <v>0.28443373276752942</v>
      </c>
      <c r="AA152" s="463">
        <f t="shared" si="125"/>
        <v>3.0000000000000002E-2</v>
      </c>
      <c r="AB152" s="463">
        <f t="shared" si="126"/>
        <v>0</v>
      </c>
      <c r="AC152" s="463">
        <f t="shared" si="109"/>
        <v>0.44690266519411548</v>
      </c>
      <c r="AD152" s="463">
        <f t="shared" si="110"/>
        <v>6.5571637257210602</v>
      </c>
      <c r="AE152" s="463">
        <f t="shared" si="111"/>
        <v>0.17198558450364837</v>
      </c>
      <c r="AF152" s="463">
        <f t="shared" si="127"/>
        <v>0.12870000000000001</v>
      </c>
      <c r="AG152" s="463">
        <f t="shared" si="112"/>
        <v>0.3059474394233096</v>
      </c>
      <c r="AH152" s="463">
        <f t="shared" si="113"/>
        <v>0</v>
      </c>
      <c r="AI152">
        <f t="shared" si="128"/>
        <v>0</v>
      </c>
      <c r="AJ152" s="464">
        <f t="shared" si="129"/>
        <v>0.11965680000000001</v>
      </c>
      <c r="AK152">
        <f t="shared" si="133"/>
        <v>3.6000000000000004E-2</v>
      </c>
      <c r="AL152" s="464">
        <f t="shared" si="134"/>
        <v>0.27</v>
      </c>
      <c r="AM152" s="464">
        <f t="shared" si="135"/>
        <v>0.17963774597495527</v>
      </c>
      <c r="AN152" s="464">
        <f t="shared" si="114"/>
        <v>0.30600000000000005</v>
      </c>
      <c r="AO152" s="464">
        <f t="shared" si="115"/>
        <v>2.1205826215560646</v>
      </c>
      <c r="AP152" s="100">
        <f t="shared" si="130"/>
        <v>42.9</v>
      </c>
      <c r="AQ152" s="10">
        <f t="shared" si="116"/>
        <v>0.95289748603695945</v>
      </c>
      <c r="AR152" s="77">
        <f t="shared" si="117"/>
        <v>11.172566629852888</v>
      </c>
      <c r="AS152" s="77">
        <f t="shared" si="118"/>
        <v>7.6486859855827403</v>
      </c>
      <c r="AT152" s="10"/>
      <c r="AU152">
        <f t="shared" si="119"/>
        <v>95.289748603695941</v>
      </c>
    </row>
    <row r="153" spans="7:47" x14ac:dyDescent="0.15">
      <c r="G153">
        <v>144</v>
      </c>
      <c r="H153">
        <f t="shared" si="120"/>
        <v>8.64</v>
      </c>
      <c r="I153" s="463">
        <f t="shared" si="97"/>
        <v>0.42444266666666669</v>
      </c>
      <c r="J153" s="464">
        <f t="shared" si="121"/>
        <v>3.6013317171717176</v>
      </c>
      <c r="K153" s="464">
        <f t="shared" si="131"/>
        <v>10.440665858585859</v>
      </c>
      <c r="L153" s="464">
        <f t="shared" si="98"/>
        <v>6.8393341414141418</v>
      </c>
      <c r="M153" s="77">
        <f t="shared" si="122"/>
        <v>0</v>
      </c>
      <c r="N153" s="463">
        <f t="shared" si="99"/>
        <v>8.7023214821156927</v>
      </c>
      <c r="O153" s="463">
        <f t="shared" si="100"/>
        <v>0.5370935379777303</v>
      </c>
      <c r="P153">
        <f t="shared" si="123"/>
        <v>0.4</v>
      </c>
      <c r="Q153" s="463">
        <f t="shared" si="132"/>
        <v>0.93709353797773032</v>
      </c>
      <c r="R153" s="9">
        <f t="shared" si="101"/>
        <v>1.0396149181751142</v>
      </c>
      <c r="S153" s="9">
        <f t="shared" si="102"/>
        <v>2.1615983561844988E-3</v>
      </c>
      <c r="T153" s="9">
        <f t="shared" si="103"/>
        <v>2.1615983561844988E-3</v>
      </c>
      <c r="U153" s="463">
        <f t="shared" si="104"/>
        <v>5.6694984412098242</v>
      </c>
      <c r="V153" s="465">
        <f t="shared" si="105"/>
        <v>1.0607260149710607E-2</v>
      </c>
      <c r="W153" s="463">
        <f t="shared" si="106"/>
        <v>1.0607260149710607E-2</v>
      </c>
      <c r="X153" s="463">
        <f t="shared" si="107"/>
        <v>5.6694984412098242</v>
      </c>
      <c r="Y153" s="463">
        <f t="shared" si="108"/>
        <v>0.12857285029952251</v>
      </c>
      <c r="Z153" s="463">
        <f t="shared" si="124"/>
        <v>0.28625954673961335</v>
      </c>
      <c r="AA153" s="463">
        <f t="shared" si="125"/>
        <v>3.0000000000000002E-2</v>
      </c>
      <c r="AB153" s="463">
        <f t="shared" si="126"/>
        <v>0</v>
      </c>
      <c r="AC153" s="463">
        <f t="shared" si="109"/>
        <v>0.45062622688010534</v>
      </c>
      <c r="AD153" s="463">
        <f t="shared" si="110"/>
        <v>6.6020592698953893</v>
      </c>
      <c r="AE153" s="463">
        <f t="shared" si="111"/>
        <v>0.17434874641284656</v>
      </c>
      <c r="AF153" s="463">
        <f t="shared" si="127"/>
        <v>0.12959999999999999</v>
      </c>
      <c r="AG153" s="463">
        <f t="shared" si="112"/>
        <v>0.3093420869195625</v>
      </c>
      <c r="AH153" s="463">
        <f t="shared" si="113"/>
        <v>0</v>
      </c>
      <c r="AI153">
        <f t="shared" si="128"/>
        <v>0</v>
      </c>
      <c r="AJ153" s="464">
        <f t="shared" si="129"/>
        <v>0.11965439999999999</v>
      </c>
      <c r="AK153">
        <f t="shared" si="133"/>
        <v>3.6000000000000004E-2</v>
      </c>
      <c r="AL153" s="464">
        <f t="shared" si="134"/>
        <v>0.27</v>
      </c>
      <c r="AM153" s="464">
        <f t="shared" si="135"/>
        <v>0.17963774597495527</v>
      </c>
      <c r="AN153" s="464">
        <f t="shared" si="114"/>
        <v>0.30600000000000005</v>
      </c>
      <c r="AO153" s="464">
        <f t="shared" si="115"/>
        <v>2.1354851102832928</v>
      </c>
      <c r="AP153" s="100">
        <f t="shared" si="130"/>
        <v>43.2</v>
      </c>
      <c r="AQ153" s="10">
        <f t="shared" si="116"/>
        <v>0.95289594662793398</v>
      </c>
      <c r="AR153" s="77">
        <f t="shared" si="117"/>
        <v>11.265655672002634</v>
      </c>
      <c r="AS153" s="77">
        <f t="shared" si="118"/>
        <v>7.7335521729890626</v>
      </c>
      <c r="AT153" s="10"/>
      <c r="AU153">
        <f t="shared" si="119"/>
        <v>95.289594662793391</v>
      </c>
    </row>
    <row r="154" spans="7:47" x14ac:dyDescent="0.15">
      <c r="G154">
        <v>145</v>
      </c>
      <c r="H154">
        <f t="shared" si="120"/>
        <v>8.6999999999999993</v>
      </c>
      <c r="I154" s="463">
        <f t="shared" si="97"/>
        <v>0.42449666666666669</v>
      </c>
      <c r="J154" s="464">
        <f t="shared" si="121"/>
        <v>3.6017898989898991</v>
      </c>
      <c r="K154" s="464">
        <f t="shared" si="131"/>
        <v>10.500894949494949</v>
      </c>
      <c r="L154" s="464">
        <f t="shared" si="98"/>
        <v>6.8991050505050495</v>
      </c>
      <c r="M154" s="77">
        <f t="shared" si="122"/>
        <v>0</v>
      </c>
      <c r="N154" s="463">
        <f t="shared" si="99"/>
        <v>8.7619104199011364</v>
      </c>
      <c r="O154" s="463">
        <f t="shared" si="100"/>
        <v>0.54479586739944574</v>
      </c>
      <c r="P154">
        <f t="shared" si="123"/>
        <v>0.4</v>
      </c>
      <c r="Q154" s="463">
        <f t="shared" si="132"/>
        <v>0.94479586739944577</v>
      </c>
      <c r="R154" s="9">
        <f t="shared" si="101"/>
        <v>1.0397471838731467</v>
      </c>
      <c r="S154" s="9">
        <f t="shared" si="102"/>
        <v>2.162148412744278E-3</v>
      </c>
      <c r="T154" s="9">
        <f t="shared" si="103"/>
        <v>2.162148412744278E-3</v>
      </c>
      <c r="U154" s="463">
        <f t="shared" si="104"/>
        <v>5.7086833067726106</v>
      </c>
      <c r="V154" s="465">
        <f t="shared" si="105"/>
        <v>1.0754391482018007E-2</v>
      </c>
      <c r="W154" s="463">
        <f t="shared" si="106"/>
        <v>1.0754391482018007E-2</v>
      </c>
      <c r="X154" s="463">
        <f t="shared" si="107"/>
        <v>5.7086833067726106</v>
      </c>
      <c r="Y154" s="463">
        <f t="shared" si="108"/>
        <v>0.13035626038809708</v>
      </c>
      <c r="Z154" s="463">
        <f t="shared" si="124"/>
        <v>0.28808536071169716</v>
      </c>
      <c r="AA154" s="463">
        <f t="shared" si="125"/>
        <v>3.0000000000000002E-2</v>
      </c>
      <c r="AB154" s="463">
        <f t="shared" si="126"/>
        <v>0</v>
      </c>
      <c r="AC154" s="463">
        <f t="shared" si="109"/>
        <v>0.45436454742532378</v>
      </c>
      <c r="AD154" s="463">
        <f t="shared" si="110"/>
        <v>6.646954874929409</v>
      </c>
      <c r="AE154" s="463">
        <f t="shared" si="111"/>
        <v>0.17672803643739132</v>
      </c>
      <c r="AF154" s="463">
        <f t="shared" si="127"/>
        <v>0.13049999999999998</v>
      </c>
      <c r="AG154" s="463">
        <f t="shared" si="112"/>
        <v>0.31275529943280611</v>
      </c>
      <c r="AH154" s="463">
        <f t="shared" si="113"/>
        <v>0</v>
      </c>
      <c r="AI154">
        <f t="shared" si="128"/>
        <v>0</v>
      </c>
      <c r="AJ154" s="464">
        <f t="shared" si="129"/>
        <v>0.11965199999999999</v>
      </c>
      <c r="AK154">
        <f t="shared" si="133"/>
        <v>3.6000000000000004E-2</v>
      </c>
      <c r="AL154" s="464">
        <f t="shared" si="134"/>
        <v>0.27</v>
      </c>
      <c r="AM154" s="464">
        <f t="shared" si="135"/>
        <v>0.17963774597495527</v>
      </c>
      <c r="AN154" s="464">
        <f t="shared" si="114"/>
        <v>0.30600000000000005</v>
      </c>
      <c r="AO154" s="464">
        <f t="shared" si="115"/>
        <v>2.1504842541523379</v>
      </c>
      <c r="AP154" s="100">
        <f t="shared" si="130"/>
        <v>43.5</v>
      </c>
      <c r="AQ154" s="10">
        <f t="shared" si="116"/>
        <v>0.95289241090675325</v>
      </c>
      <c r="AR154" s="77">
        <f t="shared" si="117"/>
        <v>11.359113685633094</v>
      </c>
      <c r="AS154" s="77">
        <f t="shared" si="118"/>
        <v>7.8188824858201524</v>
      </c>
      <c r="AT154" s="10"/>
      <c r="AU154">
        <f t="shared" si="119"/>
        <v>95.289241090675318</v>
      </c>
    </row>
    <row r="155" spans="7:47" x14ac:dyDescent="0.15">
      <c r="G155">
        <v>146</v>
      </c>
      <c r="H155">
        <f t="shared" si="120"/>
        <v>8.76</v>
      </c>
      <c r="I155" s="463">
        <f t="shared" si="97"/>
        <v>0.42455066666666669</v>
      </c>
      <c r="J155" s="464">
        <f t="shared" si="121"/>
        <v>3.602248080808081</v>
      </c>
      <c r="K155" s="464">
        <f t="shared" si="131"/>
        <v>10.561124040404041</v>
      </c>
      <c r="L155" s="464">
        <f t="shared" si="98"/>
        <v>6.9588759595959591</v>
      </c>
      <c r="M155" s="77">
        <f t="shared" si="122"/>
        <v>0</v>
      </c>
      <c r="N155" s="463">
        <f t="shared" si="99"/>
        <v>8.8215049322459969</v>
      </c>
      <c r="O155" s="463">
        <f t="shared" si="100"/>
        <v>0.55256068754263421</v>
      </c>
      <c r="P155">
        <f t="shared" si="123"/>
        <v>0.4</v>
      </c>
      <c r="Q155" s="463">
        <f t="shared" si="132"/>
        <v>0.95256068754263423</v>
      </c>
      <c r="R155" s="9">
        <f t="shared" si="101"/>
        <v>1.0398794495711792</v>
      </c>
      <c r="S155" s="9">
        <f t="shared" si="102"/>
        <v>2.162698539280917E-3</v>
      </c>
      <c r="T155" s="9">
        <f t="shared" si="103"/>
        <v>2.162698539280917E-3</v>
      </c>
      <c r="U155" s="463">
        <f t="shared" si="104"/>
        <v>5.7478767202964063</v>
      </c>
      <c r="V155" s="465">
        <f t="shared" si="105"/>
        <v>1.0902568641269372E-2</v>
      </c>
      <c r="W155" s="463">
        <f t="shared" si="106"/>
        <v>1.0902568641269372E-2</v>
      </c>
      <c r="X155" s="463">
        <f t="shared" si="107"/>
        <v>5.7478767202964063</v>
      </c>
      <c r="Y155" s="463">
        <f t="shared" si="108"/>
        <v>0.13215234716690147</v>
      </c>
      <c r="Z155" s="463">
        <f t="shared" si="124"/>
        <v>0.28991117468378114</v>
      </c>
      <c r="AA155" s="463">
        <f t="shared" si="125"/>
        <v>3.0000000000000002E-2</v>
      </c>
      <c r="AB155" s="463">
        <f t="shared" si="126"/>
        <v>0</v>
      </c>
      <c r="AC155" s="463">
        <f t="shared" si="109"/>
        <v>0.45811765417851119</v>
      </c>
      <c r="AD155" s="463">
        <f t="shared" si="110"/>
        <v>6.6918504524469977</v>
      </c>
      <c r="AE155" s="463">
        <f t="shared" si="111"/>
        <v>0.17912344991166035</v>
      </c>
      <c r="AF155" s="463">
        <f t="shared" si="127"/>
        <v>0.13139999999999999</v>
      </c>
      <c r="AG155" s="463">
        <f t="shared" si="112"/>
        <v>0.31618710237108844</v>
      </c>
      <c r="AH155" s="463">
        <f t="shared" si="113"/>
        <v>0</v>
      </c>
      <c r="AI155">
        <f t="shared" si="128"/>
        <v>0</v>
      </c>
      <c r="AJ155" s="464">
        <f t="shared" si="129"/>
        <v>0.11964959999999999</v>
      </c>
      <c r="AK155">
        <f t="shared" si="133"/>
        <v>3.6000000000000004E-2</v>
      </c>
      <c r="AL155" s="464">
        <f t="shared" si="134"/>
        <v>0.27</v>
      </c>
      <c r="AM155" s="464">
        <f t="shared" si="135"/>
        <v>0.17963774597495527</v>
      </c>
      <c r="AN155" s="464">
        <f t="shared" si="114"/>
        <v>0.30600000000000005</v>
      </c>
      <c r="AO155" s="464">
        <f t="shared" si="115"/>
        <v>2.1655803112727843</v>
      </c>
      <c r="AP155" s="100">
        <f t="shared" si="130"/>
        <v>43.8</v>
      </c>
      <c r="AQ155" s="10">
        <f t="shared" si="116"/>
        <v>0.95288691458678942</v>
      </c>
      <c r="AR155" s="77">
        <f t="shared" si="117"/>
        <v>11.45294135446278</v>
      </c>
      <c r="AS155" s="77">
        <f t="shared" si="118"/>
        <v>7.9046775592772107</v>
      </c>
      <c r="AT155" s="10"/>
      <c r="AU155">
        <f t="shared" si="119"/>
        <v>95.28869145867894</v>
      </c>
    </row>
    <row r="156" spans="7:47" x14ac:dyDescent="0.15">
      <c r="G156">
        <v>147</v>
      </c>
      <c r="H156">
        <f t="shared" si="120"/>
        <v>8.82</v>
      </c>
      <c r="I156" s="463">
        <f t="shared" si="97"/>
        <v>0.42460466666666669</v>
      </c>
      <c r="J156" s="464">
        <f t="shared" si="121"/>
        <v>3.6027062626262629</v>
      </c>
      <c r="K156" s="464">
        <f t="shared" si="131"/>
        <v>10.621353131313132</v>
      </c>
      <c r="L156" s="464">
        <f t="shared" si="98"/>
        <v>7.0186468686868686</v>
      </c>
      <c r="M156" s="77">
        <f t="shared" si="122"/>
        <v>0</v>
      </c>
      <c r="N156" s="463">
        <f t="shared" si="99"/>
        <v>8.8811049069300605</v>
      </c>
      <c r="O156" s="463">
        <f t="shared" si="100"/>
        <v>0.56038820539624135</v>
      </c>
      <c r="P156">
        <f t="shared" si="123"/>
        <v>0.4</v>
      </c>
      <c r="Q156" s="463">
        <f t="shared" si="132"/>
        <v>0.96038820539624137</v>
      </c>
      <c r="R156" s="9">
        <f t="shared" si="101"/>
        <v>1.0400117152692119</v>
      </c>
      <c r="S156" s="9">
        <f t="shared" si="102"/>
        <v>2.1632487357944163E-3</v>
      </c>
      <c r="T156" s="9">
        <f t="shared" si="103"/>
        <v>2.1632487357944163E-3</v>
      </c>
      <c r="U156" s="463">
        <f t="shared" si="104"/>
        <v>5.7870786088828563</v>
      </c>
      <c r="V156" s="465">
        <f t="shared" si="105"/>
        <v>1.1051792012378547E-2</v>
      </c>
      <c r="W156" s="463">
        <f t="shared" si="106"/>
        <v>1.1051792012378547E-2</v>
      </c>
      <c r="X156" s="463">
        <f t="shared" si="107"/>
        <v>5.7870786088828563</v>
      </c>
      <c r="Y156" s="463">
        <f t="shared" si="108"/>
        <v>0.13396111530155816</v>
      </c>
      <c r="Z156" s="463">
        <f t="shared" si="124"/>
        <v>0.291736988655865</v>
      </c>
      <c r="AA156" s="463">
        <f t="shared" si="125"/>
        <v>3.0000000000000002E-2</v>
      </c>
      <c r="AB156" s="463">
        <f t="shared" si="126"/>
        <v>0</v>
      </c>
      <c r="AC156" s="463">
        <f t="shared" si="109"/>
        <v>0.46188557462932778</v>
      </c>
      <c r="AD156" s="463">
        <f t="shared" si="110"/>
        <v>6.7367459164278758</v>
      </c>
      <c r="AE156" s="463">
        <f t="shared" si="111"/>
        <v>0.18153498217003064</v>
      </c>
      <c r="AF156" s="463">
        <f t="shared" si="127"/>
        <v>0.1323</v>
      </c>
      <c r="AG156" s="463">
        <f t="shared" si="112"/>
        <v>0.31963752134383322</v>
      </c>
      <c r="AH156" s="463">
        <f t="shared" si="113"/>
        <v>0</v>
      </c>
      <c r="AI156">
        <f t="shared" si="128"/>
        <v>0</v>
      </c>
      <c r="AJ156" s="464">
        <f t="shared" si="129"/>
        <v>0.1196472</v>
      </c>
      <c r="AK156">
        <f t="shared" si="133"/>
        <v>3.6000000000000004E-2</v>
      </c>
      <c r="AL156" s="464">
        <f t="shared" si="134"/>
        <v>0.27</v>
      </c>
      <c r="AM156" s="464">
        <f t="shared" si="135"/>
        <v>0.17963774597495527</v>
      </c>
      <c r="AN156" s="464">
        <f t="shared" si="114"/>
        <v>0.30600000000000005</v>
      </c>
      <c r="AO156" s="464">
        <f t="shared" si="115"/>
        <v>2.1807735421175751</v>
      </c>
      <c r="AP156" s="100">
        <f t="shared" si="130"/>
        <v>44.1</v>
      </c>
      <c r="AQ156" s="10">
        <f t="shared" si="116"/>
        <v>0.95287949238504033</v>
      </c>
      <c r="AR156" s="77">
        <f t="shared" si="117"/>
        <v>11.547139365733194</v>
      </c>
      <c r="AS156" s="77">
        <f t="shared" si="118"/>
        <v>7.9909380335958309</v>
      </c>
      <c r="AT156" s="10"/>
      <c r="AU156">
        <f t="shared" si="119"/>
        <v>95.287949238504027</v>
      </c>
    </row>
    <row r="157" spans="7:47" x14ac:dyDescent="0.15">
      <c r="G157">
        <v>148</v>
      </c>
      <c r="H157">
        <f t="shared" si="120"/>
        <v>8.879999999999999</v>
      </c>
      <c r="I157" s="463">
        <f t="shared" si="97"/>
        <v>0.42465866666666668</v>
      </c>
      <c r="J157" s="464">
        <f t="shared" si="121"/>
        <v>3.6031644444444448</v>
      </c>
      <c r="K157" s="464">
        <f t="shared" si="131"/>
        <v>10.681582222222222</v>
      </c>
      <c r="L157" s="464">
        <f t="shared" si="98"/>
        <v>7.0784177777777764</v>
      </c>
      <c r="M157" s="77">
        <f t="shared" si="122"/>
        <v>0</v>
      </c>
      <c r="N157" s="463">
        <f t="shared" si="99"/>
        <v>8.9407102347152705</v>
      </c>
      <c r="O157" s="463">
        <f t="shared" si="100"/>
        <v>0.56827862998477796</v>
      </c>
      <c r="P157">
        <f t="shared" si="123"/>
        <v>0.4</v>
      </c>
      <c r="Q157" s="463">
        <f t="shared" si="132"/>
        <v>0.96827862998477798</v>
      </c>
      <c r="R157" s="9">
        <f t="shared" si="101"/>
        <v>1.0401439809672444</v>
      </c>
      <c r="S157" s="9">
        <f t="shared" si="102"/>
        <v>2.1637990022847745E-3</v>
      </c>
      <c r="T157" s="9">
        <f t="shared" si="103"/>
        <v>2.1637990022847745E-3</v>
      </c>
      <c r="U157" s="463">
        <f t="shared" si="104"/>
        <v>5.8262889015583887</v>
      </c>
      <c r="V157" s="465">
        <f t="shared" si="105"/>
        <v>1.1202061980259409E-2</v>
      </c>
      <c r="W157" s="463">
        <f t="shared" si="106"/>
        <v>1.1202061980259409E-2</v>
      </c>
      <c r="X157" s="463">
        <f t="shared" si="107"/>
        <v>5.8262889015583887</v>
      </c>
      <c r="Y157" s="463">
        <f t="shared" si="108"/>
        <v>0.13578256945768982</v>
      </c>
      <c r="Z157" s="463">
        <f t="shared" si="124"/>
        <v>0.29356280262794887</v>
      </c>
      <c r="AA157" s="463">
        <f t="shared" si="125"/>
        <v>3.0000000000000002E-2</v>
      </c>
      <c r="AB157" s="463">
        <f t="shared" si="126"/>
        <v>0</v>
      </c>
      <c r="AC157" s="463">
        <f t="shared" si="109"/>
        <v>0.4656683364089077</v>
      </c>
      <c r="AD157" s="463">
        <f t="shared" si="110"/>
        <v>6.7816411831296355</v>
      </c>
      <c r="AE157" s="463">
        <f t="shared" si="111"/>
        <v>0.1839626285468797</v>
      </c>
      <c r="AF157" s="463">
        <f t="shared" si="127"/>
        <v>0.13319999999999999</v>
      </c>
      <c r="AG157" s="463">
        <f t="shared" si="112"/>
        <v>0.32310658216241944</v>
      </c>
      <c r="AH157" s="463">
        <f t="shared" si="113"/>
        <v>0</v>
      </c>
      <c r="AI157">
        <f t="shared" si="128"/>
        <v>0</v>
      </c>
      <c r="AJ157" s="464">
        <f t="shared" si="129"/>
        <v>0.1196448</v>
      </c>
      <c r="AK157">
        <f t="shared" si="133"/>
        <v>3.6000000000000004E-2</v>
      </c>
      <c r="AL157" s="464">
        <f t="shared" si="134"/>
        <v>0.27</v>
      </c>
      <c r="AM157" s="464">
        <f t="shared" si="135"/>
        <v>0.17963774597495527</v>
      </c>
      <c r="AN157" s="464">
        <f t="shared" si="114"/>
        <v>0.30600000000000005</v>
      </c>
      <c r="AO157" s="464">
        <f t="shared" si="115"/>
        <v>2.1960642095386493</v>
      </c>
      <c r="AP157" s="100">
        <f t="shared" si="130"/>
        <v>44.399999999999991</v>
      </c>
      <c r="AQ157" s="10">
        <f t="shared" si="116"/>
        <v>0.95287017805488616</v>
      </c>
      <c r="AR157" s="77">
        <f t="shared" si="117"/>
        <v>11.641708410222693</v>
      </c>
      <c r="AS157" s="77">
        <f t="shared" si="118"/>
        <v>8.0776645540604868</v>
      </c>
      <c r="AT157" s="10"/>
      <c r="AU157">
        <f t="shared" si="119"/>
        <v>95.287017805488617</v>
      </c>
    </row>
    <row r="158" spans="7:47" x14ac:dyDescent="0.15">
      <c r="G158">
        <v>149</v>
      </c>
      <c r="H158">
        <f t="shared" si="120"/>
        <v>8.94</v>
      </c>
      <c r="I158" s="463">
        <f t="shared" si="97"/>
        <v>0.42471266666666668</v>
      </c>
      <c r="J158" s="464">
        <f t="shared" si="121"/>
        <v>3.6036226262626263</v>
      </c>
      <c r="K158" s="464">
        <f t="shared" si="131"/>
        <v>10.741811313131313</v>
      </c>
      <c r="L158" s="464">
        <f t="shared" si="98"/>
        <v>7.1381886868686859</v>
      </c>
      <c r="M158" s="77">
        <f t="shared" si="122"/>
        <v>0</v>
      </c>
      <c r="N158" s="463">
        <f t="shared" si="99"/>
        <v>9.0003208092476346</v>
      </c>
      <c r="O158" s="463">
        <f t="shared" si="100"/>
        <v>0.57623217238299285</v>
      </c>
      <c r="P158">
        <f t="shared" si="123"/>
        <v>0.4</v>
      </c>
      <c r="Q158" s="463">
        <f t="shared" si="132"/>
        <v>0.97623217238299287</v>
      </c>
      <c r="R158" s="9">
        <f t="shared" si="101"/>
        <v>1.0402762466652768</v>
      </c>
      <c r="S158" s="9">
        <f t="shared" si="102"/>
        <v>2.164349338751992E-3</v>
      </c>
      <c r="T158" s="9">
        <f t="shared" si="103"/>
        <v>2.164349338751992E-3</v>
      </c>
      <c r="U158" s="463">
        <f t="shared" si="104"/>
        <v>5.8655075292109036</v>
      </c>
      <c r="V158" s="465">
        <f t="shared" si="105"/>
        <v>1.1353378929825833E-2</v>
      </c>
      <c r="W158" s="463">
        <f t="shared" si="106"/>
        <v>1.1353378929825833E-2</v>
      </c>
      <c r="X158" s="463">
        <f t="shared" si="107"/>
        <v>5.8655075292109036</v>
      </c>
      <c r="Y158" s="463">
        <f t="shared" si="108"/>
        <v>0.13761671430091921</v>
      </c>
      <c r="Z158" s="463">
        <f t="shared" si="124"/>
        <v>0.29538861660003274</v>
      </c>
      <c r="AA158" s="463">
        <f t="shared" si="125"/>
        <v>3.0000000000000002E-2</v>
      </c>
      <c r="AB158" s="463">
        <f t="shared" si="126"/>
        <v>0</v>
      </c>
      <c r="AC158" s="463">
        <f t="shared" si="109"/>
        <v>0.4694659672904129</v>
      </c>
      <c r="AD158" s="463">
        <f t="shared" si="110"/>
        <v>6.8265361710128065</v>
      </c>
      <c r="AE158" s="463">
        <f t="shared" si="111"/>
        <v>0.18640638437658474</v>
      </c>
      <c r="AF158" s="463">
        <f t="shared" si="127"/>
        <v>0.1341</v>
      </c>
      <c r="AG158" s="463">
        <f t="shared" si="112"/>
        <v>0.32659431084076368</v>
      </c>
      <c r="AH158" s="463">
        <f t="shared" si="113"/>
        <v>0</v>
      </c>
      <c r="AI158">
        <f t="shared" si="128"/>
        <v>0</v>
      </c>
      <c r="AJ158" s="464">
        <f t="shared" si="129"/>
        <v>0.11964240000000001</v>
      </c>
      <c r="AK158">
        <f t="shared" si="133"/>
        <v>3.6000000000000004E-2</v>
      </c>
      <c r="AL158" s="464">
        <f t="shared" si="134"/>
        <v>0.27</v>
      </c>
      <c r="AM158" s="464">
        <f t="shared" si="135"/>
        <v>0.17963774597495527</v>
      </c>
      <c r="AN158" s="464">
        <f t="shared" si="114"/>
        <v>0.30600000000000005</v>
      </c>
      <c r="AO158" s="464">
        <f t="shared" si="115"/>
        <v>2.2114525787827475</v>
      </c>
      <c r="AP158" s="100">
        <f t="shared" si="130"/>
        <v>44.699999999999996</v>
      </c>
      <c r="AQ158" s="10">
        <f t="shared" si="116"/>
        <v>0.95285900441754923</v>
      </c>
      <c r="AR158" s="77">
        <f t="shared" si="117"/>
        <v>11.736649182260322</v>
      </c>
      <c r="AS158" s="77">
        <f t="shared" si="118"/>
        <v>8.1648577710190917</v>
      </c>
      <c r="AT158" s="10"/>
      <c r="AU158">
        <f t="shared" si="119"/>
        <v>95.285900441754919</v>
      </c>
    </row>
    <row r="159" spans="7:47" x14ac:dyDescent="0.15">
      <c r="G159">
        <v>150</v>
      </c>
      <c r="H159">
        <f t="shared" si="120"/>
        <v>9</v>
      </c>
      <c r="I159" s="463">
        <f t="shared" si="97"/>
        <v>0.42476666666666668</v>
      </c>
      <c r="J159" s="464">
        <f t="shared" si="121"/>
        <v>3.6040808080808082</v>
      </c>
      <c r="K159" s="464">
        <f t="shared" si="131"/>
        <v>10.802040404040405</v>
      </c>
      <c r="L159" s="464">
        <f t="shared" si="98"/>
        <v>7.1979595959595954</v>
      </c>
      <c r="M159" s="77">
        <f t="shared" si="122"/>
        <v>0</v>
      </c>
      <c r="N159" s="463">
        <f t="shared" si="99"/>
        <v>9.0599365269629804</v>
      </c>
      <c r="O159" s="463">
        <f t="shared" si="100"/>
        <v>0.584249045730729</v>
      </c>
      <c r="P159">
        <f t="shared" si="123"/>
        <v>0.4</v>
      </c>
      <c r="Q159" s="463">
        <f t="shared" si="132"/>
        <v>0.98424904573072902</v>
      </c>
      <c r="R159" s="9">
        <f t="shared" si="101"/>
        <v>1.0404085123633093</v>
      </c>
      <c r="S159" s="9">
        <f t="shared" si="102"/>
        <v>2.164899745196069E-3</v>
      </c>
      <c r="T159" s="9">
        <f t="shared" si="103"/>
        <v>2.164899745196069E-3</v>
      </c>
      <c r="U159" s="463">
        <f t="shared" si="104"/>
        <v>5.9047344245289501</v>
      </c>
      <c r="V159" s="465">
        <f t="shared" si="105"/>
        <v>1.1505743245991688E-2</v>
      </c>
      <c r="W159" s="463">
        <f t="shared" si="106"/>
        <v>1.1505743245991688E-2</v>
      </c>
      <c r="X159" s="463">
        <f t="shared" si="107"/>
        <v>5.9047344245289501</v>
      </c>
      <c r="Y159" s="463">
        <f t="shared" si="108"/>
        <v>0.13946355449686895</v>
      </c>
      <c r="Z159" s="463">
        <f t="shared" si="124"/>
        <v>0.29721443057211666</v>
      </c>
      <c r="AA159" s="463">
        <f t="shared" si="125"/>
        <v>3.0000000000000002E-2</v>
      </c>
      <c r="AB159" s="463">
        <f t="shared" si="126"/>
        <v>0</v>
      </c>
      <c r="AC159" s="463">
        <f t="shared" si="109"/>
        <v>0.47327849518959259</v>
      </c>
      <c r="AD159" s="463">
        <f t="shared" si="110"/>
        <v>6.8714308006688682</v>
      </c>
      <c r="AE159" s="463">
        <f t="shared" si="111"/>
        <v>0.18886624499352322</v>
      </c>
      <c r="AF159" s="463">
        <f t="shared" si="127"/>
        <v>0.13500000000000001</v>
      </c>
      <c r="AG159" s="463">
        <f t="shared" si="112"/>
        <v>0.33010073359590991</v>
      </c>
      <c r="AH159" s="463">
        <f t="shared" si="113"/>
        <v>0</v>
      </c>
      <c r="AI159">
        <f t="shared" si="128"/>
        <v>0</v>
      </c>
      <c r="AJ159" s="464">
        <f t="shared" si="129"/>
        <v>0.11964000000000001</v>
      </c>
      <c r="AK159">
        <f t="shared" si="133"/>
        <v>3.6000000000000004E-2</v>
      </c>
      <c r="AL159" s="464">
        <f t="shared" si="134"/>
        <v>0.27</v>
      </c>
      <c r="AM159" s="464">
        <f t="shared" si="135"/>
        <v>0.17963774597495527</v>
      </c>
      <c r="AN159" s="464">
        <f t="shared" si="114"/>
        <v>0.30600000000000005</v>
      </c>
      <c r="AO159" s="464">
        <f t="shared" si="115"/>
        <v>2.226938917507419</v>
      </c>
      <c r="AP159" s="100">
        <f t="shared" si="130"/>
        <v>45</v>
      </c>
      <c r="AQ159" s="10">
        <f t="shared" si="116"/>
        <v>0.95284600339231651</v>
      </c>
      <c r="AR159" s="77">
        <f t="shared" si="117"/>
        <v>11.831962379739815</v>
      </c>
      <c r="AS159" s="77">
        <f t="shared" si="118"/>
        <v>8.2525183398977475</v>
      </c>
      <c r="AT159" s="10"/>
      <c r="AU159">
        <f t="shared" si="119"/>
        <v>95.284600339231645</v>
      </c>
    </row>
    <row r="160" spans="7:47" x14ac:dyDescent="0.15">
      <c r="G160">
        <v>151</v>
      </c>
      <c r="H160">
        <f t="shared" si="120"/>
        <v>9.06</v>
      </c>
      <c r="I160" s="463">
        <f t="shared" si="97"/>
        <v>0.42482066666666668</v>
      </c>
      <c r="J160" s="464">
        <f t="shared" si="121"/>
        <v>3.6045389898989901</v>
      </c>
      <c r="K160" s="464">
        <f t="shared" si="131"/>
        <v>10.862269494949496</v>
      </c>
      <c r="L160" s="464">
        <f t="shared" si="98"/>
        <v>7.257730505050505</v>
      </c>
      <c r="M160" s="77">
        <f t="shared" si="122"/>
        <v>0</v>
      </c>
      <c r="N160" s="463">
        <f t="shared" si="99"/>
        <v>9.1195572869963648</v>
      </c>
      <c r="O160" s="463">
        <f t="shared" si="100"/>
        <v>0.59232946524795826</v>
      </c>
      <c r="P160">
        <f t="shared" si="123"/>
        <v>0.4</v>
      </c>
      <c r="Q160" s="463">
        <f t="shared" si="132"/>
        <v>0.99232946524795829</v>
      </c>
      <c r="R160" s="9">
        <f t="shared" si="101"/>
        <v>1.0405407780613418</v>
      </c>
      <c r="S160" s="9">
        <f t="shared" si="102"/>
        <v>2.1654502216170053E-3</v>
      </c>
      <c r="T160" s="9">
        <f t="shared" si="103"/>
        <v>2.1654502216170053E-3</v>
      </c>
      <c r="U160" s="463">
        <f t="shared" si="104"/>
        <v>5.943969521943262</v>
      </c>
      <c r="V160" s="465">
        <f t="shared" si="105"/>
        <v>1.1659155313670835E-2</v>
      </c>
      <c r="W160" s="463">
        <f t="shared" si="106"/>
        <v>1.1659155313670835E-2</v>
      </c>
      <c r="X160" s="463">
        <f t="shared" si="107"/>
        <v>5.943969521943262</v>
      </c>
      <c r="Y160" s="463">
        <f t="shared" si="108"/>
        <v>0.14132309471116164</v>
      </c>
      <c r="Z160" s="463">
        <f t="shared" si="124"/>
        <v>0.29904024454420058</v>
      </c>
      <c r="AA160" s="463">
        <f t="shared" si="125"/>
        <v>3.0000000000000002E-2</v>
      </c>
      <c r="AB160" s="463">
        <f t="shared" si="126"/>
        <v>0</v>
      </c>
      <c r="AC160" s="463">
        <f t="shared" si="109"/>
        <v>0.47710594816534518</v>
      </c>
      <c r="AD160" s="463">
        <f t="shared" si="110"/>
        <v>6.9163249947510481</v>
      </c>
      <c r="AE160" s="463">
        <f t="shared" si="111"/>
        <v>0.19134220573207233</v>
      </c>
      <c r="AF160" s="463">
        <f t="shared" si="127"/>
        <v>0.13589999999999999</v>
      </c>
      <c r="AG160" s="463">
        <f t="shared" si="112"/>
        <v>0.33362587684862355</v>
      </c>
      <c r="AH160" s="463">
        <f t="shared" si="113"/>
        <v>0</v>
      </c>
      <c r="AI160">
        <f t="shared" si="128"/>
        <v>0</v>
      </c>
      <c r="AJ160" s="464">
        <f t="shared" si="129"/>
        <v>0.11963760000000001</v>
      </c>
      <c r="AK160">
        <f t="shared" si="133"/>
        <v>3.6000000000000004E-2</v>
      </c>
      <c r="AL160" s="464">
        <f t="shared" si="134"/>
        <v>0.27</v>
      </c>
      <c r="AM160" s="464">
        <f t="shared" si="135"/>
        <v>0.17963774597495527</v>
      </c>
      <c r="AN160" s="464">
        <f t="shared" si="114"/>
        <v>0.30600000000000005</v>
      </c>
      <c r="AO160" s="464">
        <f t="shared" si="115"/>
        <v>2.2425234957972151</v>
      </c>
      <c r="AP160" s="100">
        <f t="shared" si="130"/>
        <v>45.300000000000004</v>
      </c>
      <c r="AQ160" s="10">
        <f t="shared" si="116"/>
        <v>0.95283120602558136</v>
      </c>
      <c r="AR160" s="77">
        <f t="shared" si="117"/>
        <v>11.927648704133629</v>
      </c>
      <c r="AS160" s="77">
        <f t="shared" si="118"/>
        <v>8.3406469212155887</v>
      </c>
      <c r="AT160" s="10"/>
      <c r="AU160">
        <f t="shared" si="119"/>
        <v>95.283120602558142</v>
      </c>
    </row>
    <row r="161" spans="7:47" x14ac:dyDescent="0.15">
      <c r="G161">
        <v>152</v>
      </c>
      <c r="H161">
        <f t="shared" si="120"/>
        <v>9.120000000000001</v>
      </c>
      <c r="I161" s="463">
        <f t="shared" si="97"/>
        <v>0.42487466666666668</v>
      </c>
      <c r="J161" s="464">
        <f t="shared" si="121"/>
        <v>3.604997171717172</v>
      </c>
      <c r="K161" s="464">
        <f t="shared" si="131"/>
        <v>10.922498585858587</v>
      </c>
      <c r="L161" s="464">
        <f t="shared" si="98"/>
        <v>7.3175014141414145</v>
      </c>
      <c r="M161" s="77">
        <f t="shared" si="122"/>
        <v>0</v>
      </c>
      <c r="N161" s="463">
        <f t="shared" si="99"/>
        <v>9.1791829910949829</v>
      </c>
      <c r="O161" s="463">
        <f t="shared" si="100"/>
        <v>0.60047364825000205</v>
      </c>
      <c r="P161">
        <f t="shared" si="123"/>
        <v>0.4</v>
      </c>
      <c r="Q161" s="463">
        <f t="shared" si="132"/>
        <v>1.0004736482500021</v>
      </c>
      <c r="R161" s="9">
        <f t="shared" si="101"/>
        <v>1.0406730437593745</v>
      </c>
      <c r="S161" s="9">
        <f t="shared" si="102"/>
        <v>2.1660007680148019E-3</v>
      </c>
      <c r="T161" s="9">
        <f t="shared" si="103"/>
        <v>2.1660007680148019E-3</v>
      </c>
      <c r="U161" s="463">
        <f t="shared" si="104"/>
        <v>5.9832127575705538</v>
      </c>
      <c r="V161" s="465">
        <f t="shared" si="105"/>
        <v>1.1813615517777161E-2</v>
      </c>
      <c r="W161" s="463">
        <f t="shared" si="106"/>
        <v>1.1813615517777161E-2</v>
      </c>
      <c r="X161" s="463">
        <f t="shared" si="107"/>
        <v>5.9832127575705538</v>
      </c>
      <c r="Y161" s="463">
        <f t="shared" si="108"/>
        <v>0.14319533960942013</v>
      </c>
      <c r="Z161" s="463">
        <f t="shared" si="124"/>
        <v>0.30086605851628445</v>
      </c>
      <c r="AA161" s="463">
        <f t="shared" si="125"/>
        <v>3.0000000000000002E-2</v>
      </c>
      <c r="AB161" s="463">
        <f t="shared" si="126"/>
        <v>0</v>
      </c>
      <c r="AC161" s="463">
        <f t="shared" si="109"/>
        <v>0.480948354420285</v>
      </c>
      <c r="AD161" s="463">
        <f t="shared" si="110"/>
        <v>6.9612186779077989</v>
      </c>
      <c r="AE161" s="463">
        <f t="shared" si="111"/>
        <v>0.19383426192660963</v>
      </c>
      <c r="AF161" s="463">
        <f t="shared" si="127"/>
        <v>0.1368</v>
      </c>
      <c r="AG161" s="463">
        <f t="shared" si="112"/>
        <v>0.33716976722399256</v>
      </c>
      <c r="AH161" s="463">
        <f t="shared" si="113"/>
        <v>0</v>
      </c>
      <c r="AI161">
        <f t="shared" si="128"/>
        <v>0</v>
      </c>
      <c r="AJ161" s="464">
        <f t="shared" si="129"/>
        <v>0.11963520000000001</v>
      </c>
      <c r="AK161">
        <f t="shared" si="133"/>
        <v>3.6000000000000004E-2</v>
      </c>
      <c r="AL161" s="464">
        <f t="shared" si="134"/>
        <v>0.27</v>
      </c>
      <c r="AM161" s="464">
        <f t="shared" si="135"/>
        <v>0.17963774597495527</v>
      </c>
      <c r="AN161" s="464">
        <f t="shared" si="114"/>
        <v>0.30600000000000005</v>
      </c>
      <c r="AO161" s="464">
        <f t="shared" si="115"/>
        <v>2.258206586180072</v>
      </c>
      <c r="AP161" s="100">
        <f t="shared" si="130"/>
        <v>45.600000000000009</v>
      </c>
      <c r="AQ161" s="10">
        <f t="shared" si="116"/>
        <v>0.95281464251875725</v>
      </c>
      <c r="AR161" s="77">
        <f t="shared" si="117"/>
        <v>12.023708860507124</v>
      </c>
      <c r="AS161" s="77">
        <f t="shared" si="118"/>
        <v>8.4292441805998131</v>
      </c>
      <c r="AT161" s="10"/>
      <c r="AU161">
        <f t="shared" si="119"/>
        <v>95.281464251875718</v>
      </c>
    </row>
    <row r="162" spans="7:47" x14ac:dyDescent="0.15">
      <c r="G162">
        <v>153</v>
      </c>
      <c r="H162">
        <f t="shared" si="120"/>
        <v>9.18</v>
      </c>
      <c r="I162" s="463">
        <f t="shared" si="97"/>
        <v>0.42492866666666668</v>
      </c>
      <c r="J162" s="464">
        <f t="shared" si="121"/>
        <v>3.605455353535354</v>
      </c>
      <c r="K162" s="464">
        <f t="shared" si="131"/>
        <v>10.982727676767677</v>
      </c>
      <c r="L162" s="464">
        <f t="shared" si="98"/>
        <v>7.3772723232323223</v>
      </c>
      <c r="M162" s="77">
        <f t="shared" si="122"/>
        <v>0</v>
      </c>
      <c r="N162" s="463">
        <f t="shared" si="99"/>
        <v>9.2388135435344036</v>
      </c>
      <c r="O162" s="463">
        <f t="shared" si="100"/>
        <v>0.60868181416293288</v>
      </c>
      <c r="P162">
        <f t="shared" si="123"/>
        <v>0.4</v>
      </c>
      <c r="Q162" s="463">
        <f t="shared" si="132"/>
        <v>1.0086818141629328</v>
      </c>
      <c r="R162" s="9">
        <f t="shared" si="101"/>
        <v>1.040805309457407</v>
      </c>
      <c r="S162" s="9">
        <f t="shared" si="102"/>
        <v>2.1665513843894578E-3</v>
      </c>
      <c r="T162" s="9">
        <f t="shared" si="103"/>
        <v>2.1665513843894578E-3</v>
      </c>
      <c r="U162" s="463">
        <f t="shared" si="104"/>
        <v>6.0224640691594598</v>
      </c>
      <c r="V162" s="465">
        <f t="shared" si="105"/>
        <v>1.1969124243224516E-2</v>
      </c>
      <c r="W162" s="463">
        <f t="shared" si="106"/>
        <v>1.1969124243224516E-2</v>
      </c>
      <c r="X162" s="463">
        <f t="shared" si="107"/>
        <v>6.0224640691594598</v>
      </c>
      <c r="Y162" s="463">
        <f t="shared" si="108"/>
        <v>0.14508029385726687</v>
      </c>
      <c r="Z162" s="463">
        <f t="shared" si="124"/>
        <v>0.30269187248836832</v>
      </c>
      <c r="AA162" s="463">
        <f t="shared" si="125"/>
        <v>3.0000000000000002E-2</v>
      </c>
      <c r="AB162" s="463">
        <f t="shared" si="126"/>
        <v>0</v>
      </c>
      <c r="AC162" s="463">
        <f t="shared" si="109"/>
        <v>0.48480574230131174</v>
      </c>
      <c r="AD162" s="463">
        <f t="shared" si="110"/>
        <v>7.0061117767188099</v>
      </c>
      <c r="AE162" s="463">
        <f t="shared" si="111"/>
        <v>0.196342408911512</v>
      </c>
      <c r="AF162" s="463">
        <f t="shared" si="127"/>
        <v>0.13769999999999999</v>
      </c>
      <c r="AG162" s="463">
        <f t="shared" si="112"/>
        <v>0.34073243155203226</v>
      </c>
      <c r="AH162" s="463">
        <f t="shared" si="113"/>
        <v>0</v>
      </c>
      <c r="AI162">
        <f t="shared" si="128"/>
        <v>0</v>
      </c>
      <c r="AJ162" s="464">
        <f t="shared" si="129"/>
        <v>0.1196328</v>
      </c>
      <c r="AK162">
        <f t="shared" si="133"/>
        <v>3.6000000000000004E-2</v>
      </c>
      <c r="AL162" s="464">
        <f t="shared" si="134"/>
        <v>0.27</v>
      </c>
      <c r="AM162" s="464">
        <f t="shared" si="135"/>
        <v>0.17963774597495527</v>
      </c>
      <c r="AN162" s="464">
        <f t="shared" si="114"/>
        <v>0.30600000000000005</v>
      </c>
      <c r="AO162" s="464">
        <f t="shared" si="115"/>
        <v>2.2739884636438905</v>
      </c>
      <c r="AP162" s="100">
        <f t="shared" si="130"/>
        <v>45.9</v>
      </c>
      <c r="AQ162" s="10">
        <f t="shared" si="116"/>
        <v>0.95279634225511489</v>
      </c>
      <c r="AR162" s="77">
        <f t="shared" si="117"/>
        <v>12.120143557532794</v>
      </c>
      <c r="AS162" s="77">
        <f t="shared" si="118"/>
        <v>8.5183107888008056</v>
      </c>
      <c r="AT162" s="10"/>
      <c r="AU162">
        <f t="shared" si="119"/>
        <v>95.279634225511487</v>
      </c>
    </row>
    <row r="163" spans="7:47" x14ac:dyDescent="0.15">
      <c r="G163">
        <v>154</v>
      </c>
      <c r="H163">
        <f t="shared" si="120"/>
        <v>9.24</v>
      </c>
      <c r="I163" s="463">
        <f t="shared" si="97"/>
        <v>0.42498266666666668</v>
      </c>
      <c r="J163" s="464">
        <f t="shared" si="121"/>
        <v>3.6059135353535354</v>
      </c>
      <c r="K163" s="464">
        <f t="shared" si="131"/>
        <v>11.042956767676769</v>
      </c>
      <c r="L163" s="464">
        <f t="shared" si="98"/>
        <v>7.4370432323232327</v>
      </c>
      <c r="M163" s="77">
        <f t="shared" si="122"/>
        <v>0</v>
      </c>
      <c r="N163" s="463">
        <f t="shared" si="99"/>
        <v>9.2984488510380316</v>
      </c>
      <c r="O163" s="463">
        <f t="shared" si="100"/>
        <v>0.61695418453917106</v>
      </c>
      <c r="P163">
        <f t="shared" si="123"/>
        <v>0.4</v>
      </c>
      <c r="Q163" s="463">
        <f t="shared" si="132"/>
        <v>1.0169541845391712</v>
      </c>
      <c r="R163" s="9">
        <f t="shared" si="101"/>
        <v>1.0409375751554395</v>
      </c>
      <c r="S163" s="9">
        <f t="shared" si="102"/>
        <v>2.1671020707409727E-3</v>
      </c>
      <c r="T163" s="9">
        <f t="shared" si="103"/>
        <v>2.1671020707409727E-3</v>
      </c>
      <c r="U163" s="463">
        <f t="shared" si="104"/>
        <v>6.0617233960385546</v>
      </c>
      <c r="V163" s="465">
        <f t="shared" si="105"/>
        <v>1.2125681874926792E-2</v>
      </c>
      <c r="W163" s="463">
        <f t="shared" si="106"/>
        <v>1.2125681874926792E-2</v>
      </c>
      <c r="X163" s="463">
        <f t="shared" si="107"/>
        <v>6.0617233960385546</v>
      </c>
      <c r="Y163" s="463">
        <f t="shared" si="108"/>
        <v>0.14697796212032474</v>
      </c>
      <c r="Z163" s="463">
        <f t="shared" si="124"/>
        <v>0.30451768646045224</v>
      </c>
      <c r="AA163" s="463">
        <f t="shared" si="125"/>
        <v>3.0000000000000002E-2</v>
      </c>
      <c r="AB163" s="463">
        <f t="shared" si="126"/>
        <v>0</v>
      </c>
      <c r="AC163" s="463">
        <f t="shared" si="109"/>
        <v>0.48867814030018408</v>
      </c>
      <c r="AD163" s="463">
        <f t="shared" si="110"/>
        <v>7.0510042196334926</v>
      </c>
      <c r="AE163" s="463">
        <f t="shared" si="111"/>
        <v>0.19886664202115728</v>
      </c>
      <c r="AF163" s="463">
        <f t="shared" si="127"/>
        <v>0.1386</v>
      </c>
      <c r="AG163" s="463">
        <f t="shared" si="112"/>
        <v>0.34431389686829905</v>
      </c>
      <c r="AH163" s="463">
        <f t="shared" si="113"/>
        <v>0</v>
      </c>
      <c r="AI163">
        <f t="shared" si="128"/>
        <v>0</v>
      </c>
      <c r="AJ163" s="464">
        <f t="shared" si="129"/>
        <v>0.1196304</v>
      </c>
      <c r="AK163">
        <f t="shared" si="133"/>
        <v>3.6000000000000004E-2</v>
      </c>
      <c r="AL163" s="464">
        <f t="shared" si="134"/>
        <v>0.27</v>
      </c>
      <c r="AM163" s="464">
        <f t="shared" si="135"/>
        <v>0.17963774597495527</v>
      </c>
      <c r="AN163" s="464">
        <f t="shared" si="114"/>
        <v>0.30600000000000005</v>
      </c>
      <c r="AO163" s="464">
        <f t="shared" si="115"/>
        <v>2.289869405653322</v>
      </c>
      <c r="AP163" s="100">
        <f t="shared" si="130"/>
        <v>46.2</v>
      </c>
      <c r="AQ163" s="10">
        <f t="shared" si="116"/>
        <v>0.95277633382558979</v>
      </c>
      <c r="AR163" s="77">
        <f t="shared" si="117"/>
        <v>12.216953507504602</v>
      </c>
      <c r="AS163" s="77">
        <f t="shared" si="118"/>
        <v>8.6078474217074756</v>
      </c>
      <c r="AT163" s="10"/>
      <c r="AU163">
        <f t="shared" si="119"/>
        <v>95.277633382558975</v>
      </c>
    </row>
    <row r="164" spans="7:47" x14ac:dyDescent="0.15">
      <c r="G164">
        <v>155</v>
      </c>
      <c r="H164">
        <f t="shared" si="120"/>
        <v>9.3000000000000007</v>
      </c>
      <c r="I164" s="463">
        <f t="shared" si="97"/>
        <v>0.42503666666666673</v>
      </c>
      <c r="J164" s="464">
        <f t="shared" si="121"/>
        <v>3.6063717171717178</v>
      </c>
      <c r="K164" s="464">
        <f t="shared" si="131"/>
        <v>11.10318585858586</v>
      </c>
      <c r="L164" s="464">
        <f t="shared" si="98"/>
        <v>7.4968141414141414</v>
      </c>
      <c r="M164" s="77">
        <f t="shared" si="122"/>
        <v>0</v>
      </c>
      <c r="N164" s="463">
        <f t="shared" si="99"/>
        <v>9.3580888226995729</v>
      </c>
      <c r="O164" s="463">
        <f t="shared" si="100"/>
        <v>0.62529098307326159</v>
      </c>
      <c r="P164">
        <f t="shared" si="123"/>
        <v>0.4</v>
      </c>
      <c r="Q164" s="463">
        <f t="shared" si="132"/>
        <v>1.0252909830732615</v>
      </c>
      <c r="R164" s="9">
        <f t="shared" si="101"/>
        <v>1.0410698408534722</v>
      </c>
      <c r="S164" s="9">
        <f t="shared" si="102"/>
        <v>2.1676528270693483E-3</v>
      </c>
      <c r="T164" s="9">
        <f t="shared" si="103"/>
        <v>2.1676528270693483E-3</v>
      </c>
      <c r="U164" s="463">
        <f t="shared" si="104"/>
        <v>6.1009906790663164</v>
      </c>
      <c r="V164" s="465">
        <f t="shared" si="105"/>
        <v>1.2283288797797845E-2</v>
      </c>
      <c r="W164" s="463">
        <f t="shared" si="106"/>
        <v>1.2283288797797845E-2</v>
      </c>
      <c r="X164" s="463">
        <f t="shared" si="107"/>
        <v>6.1009906790663164</v>
      </c>
      <c r="Y164" s="463">
        <f t="shared" si="108"/>
        <v>0.1488883490642163</v>
      </c>
      <c r="Z164" s="463">
        <f t="shared" si="124"/>
        <v>0.30634350043253616</v>
      </c>
      <c r="AA164" s="463">
        <f t="shared" si="125"/>
        <v>3.0000000000000002E-2</v>
      </c>
      <c r="AB164" s="463">
        <f t="shared" si="126"/>
        <v>0</v>
      </c>
      <c r="AC164" s="463">
        <f t="shared" si="109"/>
        <v>0.49256557705409726</v>
      </c>
      <c r="AD164" s="463">
        <f t="shared" si="110"/>
        <v>7.0958959369117451</v>
      </c>
      <c r="AE164" s="463">
        <f t="shared" si="111"/>
        <v>0.20140695658992247</v>
      </c>
      <c r="AF164" s="463">
        <f t="shared" si="127"/>
        <v>0.13950000000000001</v>
      </c>
      <c r="AG164" s="463">
        <f t="shared" si="112"/>
        <v>0.34791419041450572</v>
      </c>
      <c r="AH164" s="463">
        <f t="shared" si="113"/>
        <v>0</v>
      </c>
      <c r="AI164">
        <f t="shared" si="128"/>
        <v>0</v>
      </c>
      <c r="AJ164" s="464">
        <f t="shared" si="129"/>
        <v>0.119628</v>
      </c>
      <c r="AK164">
        <f t="shared" si="133"/>
        <v>3.6000000000000004E-2</v>
      </c>
      <c r="AL164" s="464">
        <f t="shared" si="134"/>
        <v>0.27</v>
      </c>
      <c r="AM164" s="464">
        <f t="shared" si="135"/>
        <v>0.17963774597495527</v>
      </c>
      <c r="AN164" s="464">
        <f t="shared" si="114"/>
        <v>0.30600000000000005</v>
      </c>
      <c r="AO164" s="464">
        <f t="shared" si="115"/>
        <v>2.3058496921667322</v>
      </c>
      <c r="AP164" s="100">
        <f t="shared" si="130"/>
        <v>46.5</v>
      </c>
      <c r="AQ164" s="10">
        <f t="shared" si="116"/>
        <v>0.95275464505360685</v>
      </c>
      <c r="AR164" s="77">
        <f t="shared" si="117"/>
        <v>12.314139426352432</v>
      </c>
      <c r="AS164" s="77">
        <f t="shared" si="118"/>
        <v>8.6978547603626435</v>
      </c>
      <c r="AT164" s="10"/>
      <c r="AU164">
        <f t="shared" si="119"/>
        <v>95.275464505360688</v>
      </c>
    </row>
    <row r="165" spans="7:47" x14ac:dyDescent="0.15">
      <c r="G165">
        <v>156</v>
      </c>
      <c r="H165">
        <f t="shared" si="120"/>
        <v>9.36</v>
      </c>
      <c r="I165" s="463">
        <f t="shared" si="97"/>
        <v>0.42509066666666667</v>
      </c>
      <c r="J165" s="464">
        <f t="shared" si="121"/>
        <v>3.6068298989898993</v>
      </c>
      <c r="K165" s="464">
        <f t="shared" si="131"/>
        <v>11.16341494949495</v>
      </c>
      <c r="L165" s="464">
        <f t="shared" si="98"/>
        <v>7.55658505050505</v>
      </c>
      <c r="M165" s="77">
        <f t="shared" si="122"/>
        <v>0</v>
      </c>
      <c r="N165" s="463">
        <f t="shared" si="99"/>
        <v>9.417733369908456</v>
      </c>
      <c r="O165" s="463">
        <f t="shared" si="100"/>
        <v>0.63369243561785071</v>
      </c>
      <c r="P165">
        <f t="shared" si="123"/>
        <v>0.4</v>
      </c>
      <c r="Q165" s="463">
        <f t="shared" si="132"/>
        <v>1.0336924356178507</v>
      </c>
      <c r="R165" s="9">
        <f t="shared" si="101"/>
        <v>1.0412021065515045</v>
      </c>
      <c r="S165" s="9">
        <f t="shared" si="102"/>
        <v>2.1682036533745806E-3</v>
      </c>
      <c r="T165" s="9">
        <f t="shared" si="103"/>
        <v>2.1682036533745806E-3</v>
      </c>
      <c r="U165" s="463">
        <f t="shared" si="104"/>
        <v>6.1402658605829972</v>
      </c>
      <c r="V165" s="465">
        <f t="shared" si="105"/>
        <v>1.2441945396751548E-2</v>
      </c>
      <c r="W165" s="463">
        <f t="shared" si="106"/>
        <v>1.2441945396751548E-2</v>
      </c>
      <c r="X165" s="463">
        <f t="shared" si="107"/>
        <v>6.1402658605829972</v>
      </c>
      <c r="Y165" s="463">
        <f t="shared" si="108"/>
        <v>0.15081145935456422</v>
      </c>
      <c r="Z165" s="463">
        <f t="shared" si="124"/>
        <v>0.30816931440461998</v>
      </c>
      <c r="AA165" s="463">
        <f t="shared" si="125"/>
        <v>3.0000000000000002E-2</v>
      </c>
      <c r="AB165" s="463">
        <f t="shared" si="126"/>
        <v>0</v>
      </c>
      <c r="AC165" s="463">
        <f t="shared" si="109"/>
        <v>0.4964680813462633</v>
      </c>
      <c r="AD165" s="463">
        <f t="shared" si="110"/>
        <v>7.140786860566994</v>
      </c>
      <c r="AE165" s="463">
        <f t="shared" si="111"/>
        <v>0.2039633479521849</v>
      </c>
      <c r="AF165" s="463">
        <f t="shared" si="127"/>
        <v>0.1404</v>
      </c>
      <c r="AG165" s="463">
        <f t="shared" si="112"/>
        <v>0.35153333963914624</v>
      </c>
      <c r="AH165" s="463">
        <f t="shared" si="113"/>
        <v>0</v>
      </c>
      <c r="AI165">
        <f t="shared" si="128"/>
        <v>0</v>
      </c>
      <c r="AJ165" s="464">
        <f t="shared" si="129"/>
        <v>0.1196256</v>
      </c>
      <c r="AK165">
        <f t="shared" si="133"/>
        <v>3.6000000000000004E-2</v>
      </c>
      <c r="AL165" s="464">
        <f t="shared" si="134"/>
        <v>0.27</v>
      </c>
      <c r="AM165" s="464">
        <f t="shared" si="135"/>
        <v>0.17963774597495527</v>
      </c>
      <c r="AN165" s="464">
        <f t="shared" si="114"/>
        <v>0.30600000000000005</v>
      </c>
      <c r="AO165" s="464">
        <f t="shared" si="115"/>
        <v>2.321929605653386</v>
      </c>
      <c r="AP165" s="100">
        <f t="shared" si="130"/>
        <v>46.8</v>
      </c>
      <c r="AQ165" s="10">
        <f t="shared" si="116"/>
        <v>0.95273130301896447</v>
      </c>
      <c r="AR165" s="77">
        <f t="shared" si="117"/>
        <v>12.411702033656583</v>
      </c>
      <c r="AS165" s="77">
        <f t="shared" si="118"/>
        <v>8.7883334909786566</v>
      </c>
      <c r="AT165" s="10"/>
      <c r="AU165">
        <f t="shared" si="119"/>
        <v>95.273130301896444</v>
      </c>
    </row>
    <row r="166" spans="7:47" x14ac:dyDescent="0.15">
      <c r="G166">
        <v>157</v>
      </c>
      <c r="H166">
        <f t="shared" si="120"/>
        <v>9.42</v>
      </c>
      <c r="I166" s="463">
        <f t="shared" si="97"/>
        <v>0.42514466666666667</v>
      </c>
      <c r="J166" s="464">
        <f t="shared" si="121"/>
        <v>3.6072880808080812</v>
      </c>
      <c r="K166" s="464">
        <f t="shared" si="131"/>
        <v>11.223644040404041</v>
      </c>
      <c r="L166" s="464">
        <f t="shared" si="98"/>
        <v>7.6163559595959596</v>
      </c>
      <c r="M166" s="77">
        <f t="shared" si="122"/>
        <v>0</v>
      </c>
      <c r="N166" s="463">
        <f t="shared" si="99"/>
        <v>9.4773824062780303</v>
      </c>
      <c r="O166" s="463">
        <f t="shared" si="100"/>
        <v>0.64215877019985279</v>
      </c>
      <c r="P166">
        <f t="shared" si="123"/>
        <v>0.4</v>
      </c>
      <c r="Q166" s="463">
        <f t="shared" si="132"/>
        <v>1.0421587701998529</v>
      </c>
      <c r="R166" s="9">
        <f t="shared" si="101"/>
        <v>1.0413343722495372</v>
      </c>
      <c r="S166" s="9">
        <f t="shared" si="102"/>
        <v>2.1687545496566754E-3</v>
      </c>
      <c r="T166" s="9">
        <f t="shared" si="103"/>
        <v>2.1687545496566754E-3</v>
      </c>
      <c r="U166" s="463">
        <f t="shared" si="104"/>
        <v>6.1795488843642792</v>
      </c>
      <c r="V166" s="465">
        <f t="shared" si="105"/>
        <v>1.2601652056701777E-2</v>
      </c>
      <c r="W166" s="463">
        <f t="shared" si="106"/>
        <v>1.2601652056701777E-2</v>
      </c>
      <c r="X166" s="463">
        <f t="shared" si="107"/>
        <v>6.1795488843642792</v>
      </c>
      <c r="Y166" s="463">
        <f t="shared" si="108"/>
        <v>0.15274729765699124</v>
      </c>
      <c r="Z166" s="463">
        <f t="shared" si="124"/>
        <v>0.30999512837670395</v>
      </c>
      <c r="AA166" s="463">
        <f t="shared" si="125"/>
        <v>3.0000000000000002E-2</v>
      </c>
      <c r="AB166" s="463">
        <f t="shared" si="126"/>
        <v>0</v>
      </c>
      <c r="AC166" s="463">
        <f t="shared" si="109"/>
        <v>0.50038568210649703</v>
      </c>
      <c r="AD166" s="463">
        <f t="shared" si="110"/>
        <v>7.1856769243113439</v>
      </c>
      <c r="AE166" s="463">
        <f t="shared" si="111"/>
        <v>0.20653581144232214</v>
      </c>
      <c r="AF166" s="463">
        <f t="shared" si="127"/>
        <v>0.14129999999999998</v>
      </c>
      <c r="AG166" s="463">
        <f t="shared" si="112"/>
        <v>0.35517137219812439</v>
      </c>
      <c r="AH166" s="463">
        <f t="shared" si="113"/>
        <v>0</v>
      </c>
      <c r="AI166">
        <f t="shared" si="128"/>
        <v>0</v>
      </c>
      <c r="AJ166" s="464">
        <f t="shared" si="129"/>
        <v>0.1196232</v>
      </c>
      <c r="AK166">
        <f t="shared" si="133"/>
        <v>3.6000000000000004E-2</v>
      </c>
      <c r="AL166" s="464">
        <f t="shared" si="134"/>
        <v>0.27</v>
      </c>
      <c r="AM166" s="464">
        <f t="shared" si="135"/>
        <v>0.17963774597495527</v>
      </c>
      <c r="AN166" s="464">
        <f t="shared" si="114"/>
        <v>0.30600000000000005</v>
      </c>
      <c r="AO166" s="464">
        <f t="shared" si="115"/>
        <v>2.3381094311108326</v>
      </c>
      <c r="AP166" s="100">
        <f t="shared" si="130"/>
        <v>47.1</v>
      </c>
      <c r="AQ166" s="10">
        <f t="shared" si="116"/>
        <v>0.95270633408081973</v>
      </c>
      <c r="AR166" s="77">
        <f t="shared" si="117"/>
        <v>12.509642052662425</v>
      </c>
      <c r="AS166" s="77">
        <f t="shared" si="118"/>
        <v>8.8792843049531101</v>
      </c>
      <c r="AT166" s="10"/>
      <c r="AU166">
        <f t="shared" si="119"/>
        <v>95.270633408081977</v>
      </c>
    </row>
    <row r="167" spans="7:47" x14ac:dyDescent="0.15">
      <c r="G167">
        <v>158</v>
      </c>
      <c r="H167">
        <f t="shared" si="120"/>
        <v>9.48</v>
      </c>
      <c r="I167" s="463">
        <f t="shared" si="97"/>
        <v>0.42519866666666667</v>
      </c>
      <c r="J167" s="464">
        <f t="shared" si="121"/>
        <v>3.6077462626262626</v>
      </c>
      <c r="K167" s="464">
        <f t="shared" si="131"/>
        <v>11.283873131313133</v>
      </c>
      <c r="L167" s="464">
        <f t="shared" si="98"/>
        <v>7.6761268686868691</v>
      </c>
      <c r="M167" s="77">
        <f t="shared" si="122"/>
        <v>0</v>
      </c>
      <c r="N167" s="463">
        <f t="shared" si="99"/>
        <v>9.5370358475764263</v>
      </c>
      <c r="O167" s="463">
        <f t="shared" si="100"/>
        <v>0.65069021703681373</v>
      </c>
      <c r="P167">
        <f t="shared" si="123"/>
        <v>0.4</v>
      </c>
      <c r="Q167" s="463">
        <f t="shared" si="132"/>
        <v>1.0506902170368138</v>
      </c>
      <c r="R167" s="9">
        <f t="shared" si="101"/>
        <v>1.0414666379475697</v>
      </c>
      <c r="S167" s="9">
        <f t="shared" si="102"/>
        <v>2.1693055159156286E-3</v>
      </c>
      <c r="T167" s="9">
        <f t="shared" si="103"/>
        <v>2.1693055159156286E-3</v>
      </c>
      <c r="U167" s="463">
        <f t="shared" si="104"/>
        <v>6.2188396955766585</v>
      </c>
      <c r="V167" s="465">
        <f t="shared" si="105"/>
        <v>1.2762409162562396E-2</v>
      </c>
      <c r="W167" s="463">
        <f t="shared" si="106"/>
        <v>1.2762409162562396E-2</v>
      </c>
      <c r="X167" s="463">
        <f t="shared" si="107"/>
        <v>6.2188396955766585</v>
      </c>
      <c r="Y167" s="463">
        <f t="shared" si="108"/>
        <v>0.15469586863711995</v>
      </c>
      <c r="Z167" s="463">
        <f t="shared" si="124"/>
        <v>0.31182094234878788</v>
      </c>
      <c r="AA167" s="463">
        <f t="shared" si="125"/>
        <v>3.0000000000000002E-2</v>
      </c>
      <c r="AB167" s="463">
        <f t="shared" si="126"/>
        <v>0</v>
      </c>
      <c r="AC167" s="463">
        <f t="shared" si="109"/>
        <v>0.5043184084118032</v>
      </c>
      <c r="AD167" s="463">
        <f t="shared" si="110"/>
        <v>7.2305660635027609</v>
      </c>
      <c r="AE167" s="463">
        <f t="shared" si="111"/>
        <v>0.20912434239471125</v>
      </c>
      <c r="AF167" s="463">
        <f t="shared" si="127"/>
        <v>0.14219999999999999</v>
      </c>
      <c r="AG167" s="463">
        <f t="shared" si="112"/>
        <v>0.35882831595538844</v>
      </c>
      <c r="AH167" s="463">
        <f t="shared" si="113"/>
        <v>0</v>
      </c>
      <c r="AI167">
        <f t="shared" si="128"/>
        <v>0</v>
      </c>
      <c r="AJ167" s="464">
        <f t="shared" si="129"/>
        <v>0.1196208</v>
      </c>
      <c r="AK167">
        <f t="shared" si="133"/>
        <v>3.6000000000000004E-2</v>
      </c>
      <c r="AL167" s="464">
        <f t="shared" si="134"/>
        <v>0.27</v>
      </c>
      <c r="AM167" s="464">
        <f t="shared" si="135"/>
        <v>0.17963774597495527</v>
      </c>
      <c r="AN167" s="464">
        <f t="shared" si="114"/>
        <v>0.30600000000000005</v>
      </c>
      <c r="AO167" s="464">
        <f t="shared" si="115"/>
        <v>2.3543894560824832</v>
      </c>
      <c r="AP167" s="100">
        <f t="shared" si="130"/>
        <v>47.400000000000006</v>
      </c>
      <c r="AQ167" s="10">
        <f t="shared" si="116"/>
        <v>0.95267976389981279</v>
      </c>
      <c r="AR167" s="77">
        <f t="shared" si="117"/>
        <v>12.607960210295079</v>
      </c>
      <c r="AS167" s="77">
        <f t="shared" si="118"/>
        <v>8.9707078988847115</v>
      </c>
      <c r="AT167" s="10"/>
      <c r="AU167">
        <f t="shared" si="119"/>
        <v>95.267976389981285</v>
      </c>
    </row>
    <row r="168" spans="7:47" x14ac:dyDescent="0.15">
      <c r="G168">
        <v>159</v>
      </c>
      <c r="H168">
        <f t="shared" si="120"/>
        <v>9.5400000000000009</v>
      </c>
      <c r="I168" s="463">
        <f t="shared" si="97"/>
        <v>0.42525266666666672</v>
      </c>
      <c r="J168" s="464">
        <f t="shared" si="121"/>
        <v>3.608204444444445</v>
      </c>
      <c r="K168" s="464">
        <f t="shared" si="131"/>
        <v>11.344102222222224</v>
      </c>
      <c r="L168" s="464">
        <f t="shared" si="98"/>
        <v>7.7358977777777786</v>
      </c>
      <c r="M168" s="77">
        <f t="shared" si="122"/>
        <v>0</v>
      </c>
      <c r="N168" s="463">
        <f t="shared" si="99"/>
        <v>9.5966936116599939</v>
      </c>
      <c r="O168" s="463">
        <f t="shared" si="100"/>
        <v>0.65928700855347522</v>
      </c>
      <c r="P168">
        <f t="shared" si="123"/>
        <v>0.4</v>
      </c>
      <c r="Q168" s="463">
        <f t="shared" si="132"/>
        <v>1.0592870085534751</v>
      </c>
      <c r="R168" s="9">
        <f t="shared" si="101"/>
        <v>1.0415989036456024</v>
      </c>
      <c r="S168" s="9">
        <f t="shared" si="102"/>
        <v>2.1698565521514417E-3</v>
      </c>
      <c r="T168" s="9">
        <f t="shared" si="103"/>
        <v>2.1698565521514417E-3</v>
      </c>
      <c r="U168" s="463">
        <f t="shared" si="104"/>
        <v>6.2581382407344819</v>
      </c>
      <c r="V168" s="465">
        <f t="shared" si="105"/>
        <v>1.2924217099247282E-2</v>
      </c>
      <c r="W168" s="463">
        <f t="shared" si="106"/>
        <v>1.2924217099247282E-2</v>
      </c>
      <c r="X168" s="463">
        <f t="shared" si="107"/>
        <v>6.2581382407344819</v>
      </c>
      <c r="Y168" s="463">
        <f t="shared" si="108"/>
        <v>0.1566571769605731</v>
      </c>
      <c r="Z168" s="463">
        <f t="shared" si="124"/>
        <v>0.31364675632087169</v>
      </c>
      <c r="AA168" s="463">
        <f t="shared" si="125"/>
        <v>3.0000000000000002E-2</v>
      </c>
      <c r="AB168" s="463">
        <f t="shared" si="126"/>
        <v>0</v>
      </c>
      <c r="AC168" s="463">
        <f t="shared" si="109"/>
        <v>0.50826628948697028</v>
      </c>
      <c r="AD168" s="463">
        <f t="shared" si="110"/>
        <v>7.2754542150942338</v>
      </c>
      <c r="AE168" s="463">
        <f t="shared" si="111"/>
        <v>0.21172893614372981</v>
      </c>
      <c r="AF168" s="463">
        <f t="shared" si="127"/>
        <v>0.1431</v>
      </c>
      <c r="AG168" s="463">
        <f t="shared" si="112"/>
        <v>0.3625041989835725</v>
      </c>
      <c r="AH168" s="463">
        <f t="shared" si="113"/>
        <v>0</v>
      </c>
      <c r="AI168">
        <f t="shared" si="128"/>
        <v>0</v>
      </c>
      <c r="AJ168" s="464">
        <f t="shared" si="129"/>
        <v>0.11961840000000001</v>
      </c>
      <c r="AK168">
        <f t="shared" si="133"/>
        <v>3.6000000000000004E-2</v>
      </c>
      <c r="AL168" s="464">
        <f t="shared" si="134"/>
        <v>0.27</v>
      </c>
      <c r="AM168" s="464">
        <f t="shared" si="135"/>
        <v>0.17963774597495527</v>
      </c>
      <c r="AN168" s="464">
        <f t="shared" si="114"/>
        <v>0.30600000000000005</v>
      </c>
      <c r="AO168" s="464">
        <f t="shared" si="115"/>
        <v>2.3707699706754166</v>
      </c>
      <c r="AP168" s="100">
        <f t="shared" si="130"/>
        <v>47.7</v>
      </c>
      <c r="AQ168" s="10">
        <f t="shared" si="116"/>
        <v>0.95265161745937021</v>
      </c>
      <c r="AR168" s="77">
        <f t="shared" si="117"/>
        <v>12.706657237174257</v>
      </c>
      <c r="AS168" s="77">
        <f t="shared" si="118"/>
        <v>9.0626049745893127</v>
      </c>
      <c r="AT168" s="10"/>
      <c r="AU168">
        <f t="shared" si="119"/>
        <v>95.265161745937021</v>
      </c>
    </row>
    <row r="169" spans="7:47" x14ac:dyDescent="0.15">
      <c r="G169">
        <v>160</v>
      </c>
      <c r="H169">
        <f t="shared" si="120"/>
        <v>9.6000000000000014</v>
      </c>
      <c r="I169" s="463">
        <f t="shared" si="97"/>
        <v>0.42530666666666667</v>
      </c>
      <c r="J169" s="464">
        <f t="shared" si="121"/>
        <v>3.6086626262626265</v>
      </c>
      <c r="K169" s="464">
        <f t="shared" si="131"/>
        <v>11.404331313131316</v>
      </c>
      <c r="L169" s="464">
        <f t="shared" si="98"/>
        <v>7.7956686868686882</v>
      </c>
      <c r="M169" s="77">
        <f t="shared" si="122"/>
        <v>0</v>
      </c>
      <c r="N169" s="463">
        <f t="shared" si="99"/>
        <v>9.6563556184091563</v>
      </c>
      <c r="O169" s="463">
        <f t="shared" si="100"/>
        <v>0.66794937939853616</v>
      </c>
      <c r="P169">
        <f t="shared" si="123"/>
        <v>0.4</v>
      </c>
      <c r="Q169" s="463">
        <f t="shared" si="132"/>
        <v>1.0679493793985362</v>
      </c>
      <c r="R169" s="9">
        <f t="shared" si="101"/>
        <v>1.0417311693436346</v>
      </c>
      <c r="S169" s="9">
        <f t="shared" si="102"/>
        <v>2.1704076583641124E-3</v>
      </c>
      <c r="T169" s="9">
        <f t="shared" si="103"/>
        <v>2.1704076583641124E-3</v>
      </c>
      <c r="U169" s="463">
        <f t="shared" si="104"/>
        <v>6.2974444676585541</v>
      </c>
      <c r="V169" s="465">
        <f t="shared" si="105"/>
        <v>1.30870762516703E-2</v>
      </c>
      <c r="W169" s="463">
        <f t="shared" si="106"/>
        <v>1.30870762516703E-2</v>
      </c>
      <c r="X169" s="463">
        <f t="shared" si="107"/>
        <v>6.2974444676585541</v>
      </c>
      <c r="Y169" s="463">
        <f t="shared" si="108"/>
        <v>0.15863122729297333</v>
      </c>
      <c r="Z169" s="463">
        <f t="shared" si="124"/>
        <v>0.31547257029295561</v>
      </c>
      <c r="AA169" s="463">
        <f t="shared" si="125"/>
        <v>3.0000000000000002E-2</v>
      </c>
      <c r="AB169" s="463">
        <f t="shared" si="126"/>
        <v>0</v>
      </c>
      <c r="AC169" s="463">
        <f t="shared" si="109"/>
        <v>0.51222935470516573</v>
      </c>
      <c r="AD169" s="463">
        <f t="shared" si="110"/>
        <v>7.3203413175847709</v>
      </c>
      <c r="AE169" s="463">
        <f t="shared" si="111"/>
        <v>0.21434958802375498</v>
      </c>
      <c r="AF169" s="463">
        <f t="shared" si="127"/>
        <v>0.14400000000000002</v>
      </c>
      <c r="AG169" s="463">
        <f t="shared" si="112"/>
        <v>0.36619904956464217</v>
      </c>
      <c r="AH169" s="463">
        <f t="shared" si="113"/>
        <v>0</v>
      </c>
      <c r="AI169">
        <f t="shared" si="128"/>
        <v>0</v>
      </c>
      <c r="AJ169" s="464">
        <f t="shared" si="129"/>
        <v>0.11961600000000001</v>
      </c>
      <c r="AK169">
        <f t="shared" si="133"/>
        <v>3.6000000000000004E-2</v>
      </c>
      <c r="AL169" s="464">
        <f t="shared" si="134"/>
        <v>0.27</v>
      </c>
      <c r="AM169" s="464">
        <f t="shared" si="135"/>
        <v>0.17963774597495527</v>
      </c>
      <c r="AN169" s="464">
        <f t="shared" si="114"/>
        <v>0.30600000000000005</v>
      </c>
      <c r="AO169" s="464">
        <f t="shared" si="115"/>
        <v>2.3872512675783786</v>
      </c>
      <c r="AP169" s="100">
        <f t="shared" si="130"/>
        <v>48.000000000000007</v>
      </c>
      <c r="AQ169" s="10">
        <f t="shared" si="116"/>
        <v>0.95262191908621829</v>
      </c>
      <c r="AR169" s="77">
        <f t="shared" si="117"/>
        <v>12.805733867629144</v>
      </c>
      <c r="AS169" s="77">
        <f t="shared" si="118"/>
        <v>9.1549762391160545</v>
      </c>
      <c r="AT169" s="10"/>
      <c r="AU169">
        <f t="shared" si="119"/>
        <v>95.26219190862183</v>
      </c>
    </row>
    <row r="170" spans="7:47" x14ac:dyDescent="0.15">
      <c r="G170">
        <v>161</v>
      </c>
      <c r="H170">
        <f t="shared" si="120"/>
        <v>9.66</v>
      </c>
      <c r="I170" s="463">
        <f t="shared" si="97"/>
        <v>0.42536066666666666</v>
      </c>
      <c r="J170" s="464">
        <f t="shared" si="121"/>
        <v>3.6091208080808084</v>
      </c>
      <c r="K170" s="464">
        <f t="shared" si="131"/>
        <v>11.464560404040405</v>
      </c>
      <c r="L170" s="464">
        <f t="shared" si="98"/>
        <v>7.855439595959596</v>
      </c>
      <c r="M170" s="77">
        <f t="shared" si="122"/>
        <v>0</v>
      </c>
      <c r="N170" s="463">
        <f t="shared" si="99"/>
        <v>9.7160217896666339</v>
      </c>
      <c r="O170" s="463">
        <f t="shared" si="100"/>
        <v>0.67667756646162192</v>
      </c>
      <c r="P170">
        <f t="shared" si="123"/>
        <v>0.4</v>
      </c>
      <c r="Q170" s="463">
        <f t="shared" si="132"/>
        <v>1.0766775664616219</v>
      </c>
      <c r="R170" s="9">
        <f t="shared" si="101"/>
        <v>1.0418634350416673</v>
      </c>
      <c r="S170" s="9">
        <f t="shared" si="102"/>
        <v>2.1709588345536451E-3</v>
      </c>
      <c r="T170" s="9">
        <f t="shared" si="103"/>
        <v>2.1709588345536451E-3</v>
      </c>
      <c r="U170" s="463">
        <f t="shared" si="104"/>
        <v>6.3367583254362643</v>
      </c>
      <c r="V170" s="465">
        <f t="shared" si="105"/>
        <v>1.3250987004745318E-2</v>
      </c>
      <c r="W170" s="463">
        <f t="shared" si="106"/>
        <v>1.3250987004745318E-2</v>
      </c>
      <c r="X170" s="463">
        <f t="shared" si="107"/>
        <v>6.3367583254362643</v>
      </c>
      <c r="Y170" s="463">
        <f t="shared" si="108"/>
        <v>0.16061802429994324</v>
      </c>
      <c r="Z170" s="463">
        <f t="shared" si="124"/>
        <v>0.31729838426503942</v>
      </c>
      <c r="AA170" s="463">
        <f t="shared" si="125"/>
        <v>3.0000000000000002E-2</v>
      </c>
      <c r="AB170" s="463">
        <f t="shared" si="126"/>
        <v>0</v>
      </c>
      <c r="AC170" s="463">
        <f t="shared" si="109"/>
        <v>0.51620763358853661</v>
      </c>
      <c r="AD170" s="463">
        <f t="shared" si="110"/>
        <v>7.3652273109722151</v>
      </c>
      <c r="AE170" s="463">
        <f t="shared" si="111"/>
        <v>0.21698629336916403</v>
      </c>
      <c r="AF170" s="463">
        <f t="shared" si="127"/>
        <v>0.1449</v>
      </c>
      <c r="AG170" s="463">
        <f t="shared" si="112"/>
        <v>0.3699128961905479</v>
      </c>
      <c r="AH170" s="463">
        <f t="shared" si="113"/>
        <v>0</v>
      </c>
      <c r="AI170">
        <f t="shared" si="128"/>
        <v>0</v>
      </c>
      <c r="AJ170" s="464">
        <f t="shared" si="129"/>
        <v>0.11961360000000001</v>
      </c>
      <c r="AK170">
        <f t="shared" si="133"/>
        <v>3.6000000000000004E-2</v>
      </c>
      <c r="AL170" s="464">
        <f t="shared" si="134"/>
        <v>0.27</v>
      </c>
      <c r="AM170" s="464">
        <f t="shared" si="135"/>
        <v>0.17963774597495527</v>
      </c>
      <c r="AN170" s="464">
        <f t="shared" si="114"/>
        <v>0.30600000000000005</v>
      </c>
      <c r="AO170" s="464">
        <f t="shared" si="115"/>
        <v>2.4038336420800053</v>
      </c>
      <c r="AP170" s="100">
        <f t="shared" si="130"/>
        <v>48.3</v>
      </c>
      <c r="AQ170" s="10">
        <f t="shared" si="116"/>
        <v>0.9525906924701445</v>
      </c>
      <c r="AR170" s="77">
        <f t="shared" si="117"/>
        <v>12.905190839713415</v>
      </c>
      <c r="AS170" s="77">
        <f t="shared" si="118"/>
        <v>9.2478224047636974</v>
      </c>
      <c r="AT170" s="10"/>
      <c r="AU170">
        <f t="shared" si="119"/>
        <v>95.259069247014452</v>
      </c>
    </row>
    <row r="171" spans="7:47" x14ac:dyDescent="0.15">
      <c r="G171">
        <v>162</v>
      </c>
      <c r="H171">
        <f t="shared" si="120"/>
        <v>9.7200000000000006</v>
      </c>
      <c r="I171" s="463">
        <f t="shared" si="97"/>
        <v>0.42541466666666666</v>
      </c>
      <c r="J171" s="464">
        <f t="shared" si="121"/>
        <v>3.6095789898989898</v>
      </c>
      <c r="K171" s="464">
        <f t="shared" si="131"/>
        <v>11.524789494949495</v>
      </c>
      <c r="L171" s="464">
        <f t="shared" si="98"/>
        <v>7.9152105050505055</v>
      </c>
      <c r="M171" s="77">
        <f t="shared" si="122"/>
        <v>0</v>
      </c>
      <c r="N171" s="463">
        <f t="shared" si="99"/>
        <v>9.7756920491779002</v>
      </c>
      <c r="O171" s="463">
        <f t="shared" si="100"/>
        <v>0.68547180889045656</v>
      </c>
      <c r="P171">
        <f t="shared" si="123"/>
        <v>0.4</v>
      </c>
      <c r="Q171" s="463">
        <f t="shared" si="132"/>
        <v>1.0854718088904565</v>
      </c>
      <c r="R171" s="9">
        <f t="shared" si="101"/>
        <v>1.0419957007396996</v>
      </c>
      <c r="S171" s="9">
        <f t="shared" si="102"/>
        <v>2.171510080720035E-3</v>
      </c>
      <c r="T171" s="9">
        <f t="shared" si="103"/>
        <v>2.171510080720035E-3</v>
      </c>
      <c r="U171" s="463">
        <f t="shared" si="104"/>
        <v>6.3760797643831593</v>
      </c>
      <c r="V171" s="465">
        <f t="shared" si="105"/>
        <v>1.3415949743386214E-2</v>
      </c>
      <c r="W171" s="463">
        <f t="shared" si="106"/>
        <v>1.3415949743386214E-2</v>
      </c>
      <c r="X171" s="463">
        <f t="shared" si="107"/>
        <v>6.3760797643831593</v>
      </c>
      <c r="Y171" s="463">
        <f t="shared" si="108"/>
        <v>0.16261757264710563</v>
      </c>
      <c r="Z171" s="463">
        <f t="shared" si="124"/>
        <v>0.31912419823712335</v>
      </c>
      <c r="AA171" s="463">
        <f t="shared" si="125"/>
        <v>3.0000000000000002E-2</v>
      </c>
      <c r="AB171" s="463">
        <f t="shared" si="126"/>
        <v>0</v>
      </c>
      <c r="AC171" s="463">
        <f t="shared" si="109"/>
        <v>0.52020115580881388</v>
      </c>
      <c r="AD171" s="463">
        <f t="shared" si="110"/>
        <v>7.4101121367077578</v>
      </c>
      <c r="AE171" s="463">
        <f t="shared" si="111"/>
        <v>0.21963904751433444</v>
      </c>
      <c r="AF171" s="463">
        <f t="shared" si="127"/>
        <v>0.14580000000000001</v>
      </c>
      <c r="AG171" s="463">
        <f t="shared" si="112"/>
        <v>0.37364576756388379</v>
      </c>
      <c r="AH171" s="463">
        <f t="shared" si="113"/>
        <v>0</v>
      </c>
      <c r="AI171">
        <f t="shared" si="128"/>
        <v>0</v>
      </c>
      <c r="AJ171" s="464">
        <f t="shared" si="129"/>
        <v>0.1196112</v>
      </c>
      <c r="AK171">
        <f t="shared" si="133"/>
        <v>3.6000000000000004E-2</v>
      </c>
      <c r="AL171" s="464">
        <f t="shared" si="134"/>
        <v>0.27</v>
      </c>
      <c r="AM171" s="464">
        <f t="shared" si="135"/>
        <v>0.17963774597495527</v>
      </c>
      <c r="AN171" s="464">
        <f t="shared" si="114"/>
        <v>0.30600000000000005</v>
      </c>
      <c r="AO171" s="464">
        <f t="shared" si="115"/>
        <v>2.4205173920872602</v>
      </c>
      <c r="AP171" s="100">
        <f t="shared" si="130"/>
        <v>48.6</v>
      </c>
      <c r="AQ171" s="10">
        <f t="shared" si="116"/>
        <v>0.95255796068303578</v>
      </c>
      <c r="AR171" s="77">
        <f t="shared" si="117"/>
        <v>13.005028895220347</v>
      </c>
      <c r="AS171" s="77">
        <f t="shared" si="118"/>
        <v>9.3411441890970952</v>
      </c>
      <c r="AT171" s="10"/>
      <c r="AU171">
        <f t="shared" si="119"/>
        <v>95.255796068303582</v>
      </c>
    </row>
    <row r="172" spans="7:47" x14ac:dyDescent="0.15">
      <c r="G172">
        <v>163</v>
      </c>
      <c r="H172">
        <f t="shared" si="120"/>
        <v>9.7799999999999994</v>
      </c>
      <c r="I172" s="463">
        <f t="shared" si="97"/>
        <v>0.42546866666666666</v>
      </c>
      <c r="J172" s="464">
        <f t="shared" si="121"/>
        <v>3.6100371717171718</v>
      </c>
      <c r="K172" s="464">
        <f t="shared" si="131"/>
        <v>11.585018585858585</v>
      </c>
      <c r="L172" s="464">
        <f t="shared" si="98"/>
        <v>7.9749814141414133</v>
      </c>
      <c r="M172" s="77">
        <f t="shared" si="122"/>
        <v>0</v>
      </c>
      <c r="N172" s="463">
        <f t="shared" si="99"/>
        <v>9.835366322533778</v>
      </c>
      <c r="O172" s="463">
        <f t="shared" si="100"/>
        <v>0.69433234810824229</v>
      </c>
      <c r="P172">
        <f t="shared" si="123"/>
        <v>0.4</v>
      </c>
      <c r="Q172" s="463">
        <f t="shared" si="132"/>
        <v>1.0943323481082423</v>
      </c>
      <c r="R172" s="9">
        <f t="shared" si="101"/>
        <v>1.0421279664377323</v>
      </c>
      <c r="S172" s="9">
        <f t="shared" si="102"/>
        <v>2.1720613968632865E-3</v>
      </c>
      <c r="T172" s="9">
        <f t="shared" si="103"/>
        <v>2.1720613968632865E-3</v>
      </c>
      <c r="U172" s="463">
        <f t="shared" si="104"/>
        <v>6.4154087360058965</v>
      </c>
      <c r="V172" s="465">
        <f t="shared" si="105"/>
        <v>1.3581964852506855E-2</v>
      </c>
      <c r="W172" s="463">
        <f t="shared" si="106"/>
        <v>1.3581964852506855E-2</v>
      </c>
      <c r="X172" s="463">
        <f t="shared" si="107"/>
        <v>6.4154087360058965</v>
      </c>
      <c r="Y172" s="463">
        <f t="shared" si="108"/>
        <v>0.16462987700008311</v>
      </c>
      <c r="Z172" s="463">
        <f t="shared" si="124"/>
        <v>0.32095001220920721</v>
      </c>
      <c r="AA172" s="463">
        <f t="shared" si="125"/>
        <v>3.0000000000000002E-2</v>
      </c>
      <c r="AB172" s="463">
        <f t="shared" si="126"/>
        <v>0</v>
      </c>
      <c r="AC172" s="463">
        <f t="shared" si="109"/>
        <v>0.52420995118791902</v>
      </c>
      <c r="AD172" s="463">
        <f t="shared" si="110"/>
        <v>7.4549957376520908</v>
      </c>
      <c r="AE172" s="463">
        <f t="shared" si="111"/>
        <v>0.22230784579364338</v>
      </c>
      <c r="AF172" s="463">
        <f t="shared" si="127"/>
        <v>0.1467</v>
      </c>
      <c r="AG172" s="463">
        <f t="shared" si="112"/>
        <v>0.37739769259855094</v>
      </c>
      <c r="AH172" s="463">
        <f t="shared" si="113"/>
        <v>0</v>
      </c>
      <c r="AI172">
        <f t="shared" si="128"/>
        <v>0</v>
      </c>
      <c r="AJ172" s="464">
        <f t="shared" si="129"/>
        <v>0.1196088</v>
      </c>
      <c r="AK172">
        <f t="shared" si="133"/>
        <v>3.6000000000000004E-2</v>
      </c>
      <c r="AL172" s="464">
        <f t="shared" si="134"/>
        <v>0.27</v>
      </c>
      <c r="AM172" s="464">
        <f t="shared" si="135"/>
        <v>0.17963774597495527</v>
      </c>
      <c r="AN172" s="464">
        <f t="shared" si="114"/>
        <v>0.30600000000000005</v>
      </c>
      <c r="AO172" s="464">
        <f t="shared" si="115"/>
        <v>2.4373028181440821</v>
      </c>
      <c r="AP172" s="100">
        <f t="shared" si="130"/>
        <v>48.9</v>
      </c>
      <c r="AQ172" s="10">
        <f t="shared" si="116"/>
        <v>0.9525237461972258</v>
      </c>
      <c r="AR172" s="77">
        <f t="shared" si="117"/>
        <v>13.105248779697975</v>
      </c>
      <c r="AS172" s="77">
        <f t="shared" si="118"/>
        <v>9.4349423149637737</v>
      </c>
      <c r="AT172" s="10"/>
      <c r="AU172">
        <f t="shared" si="119"/>
        <v>95.252374619722573</v>
      </c>
    </row>
    <row r="173" spans="7:47" x14ac:dyDescent="0.15">
      <c r="G173">
        <v>164</v>
      </c>
      <c r="H173">
        <f t="shared" si="120"/>
        <v>9.84</v>
      </c>
      <c r="I173" s="463">
        <f t="shared" si="97"/>
        <v>0.42552266666666672</v>
      </c>
      <c r="J173" s="464">
        <f t="shared" si="121"/>
        <v>3.6104953535353541</v>
      </c>
      <c r="K173" s="464">
        <f t="shared" si="131"/>
        <v>11.645247676767678</v>
      </c>
      <c r="L173" s="464">
        <f t="shared" si="98"/>
        <v>8.0347523232323219</v>
      </c>
      <c r="M173" s="77">
        <f t="shared" si="122"/>
        <v>0</v>
      </c>
      <c r="N173" s="463">
        <f t="shared" si="99"/>
        <v>9.8950445371151154</v>
      </c>
      <c r="O173" s="463">
        <f t="shared" si="100"/>
        <v>0.70325942783125417</v>
      </c>
      <c r="P173">
        <f t="shared" si="123"/>
        <v>0.4</v>
      </c>
      <c r="Q173" s="463">
        <f t="shared" si="132"/>
        <v>1.1032594278312542</v>
      </c>
      <c r="R173" s="9">
        <f t="shared" si="101"/>
        <v>1.042260232135765</v>
      </c>
      <c r="S173" s="9">
        <f t="shared" si="102"/>
        <v>2.1726127829833977E-3</v>
      </c>
      <c r="T173" s="9">
        <f t="shared" si="103"/>
        <v>2.1726127829833977E-3</v>
      </c>
      <c r="U173" s="463">
        <f t="shared" si="104"/>
        <v>6.4547451929665351</v>
      </c>
      <c r="V173" s="465">
        <f t="shared" si="105"/>
        <v>1.3749032717021116E-2</v>
      </c>
      <c r="W173" s="463">
        <f t="shared" si="106"/>
        <v>1.3749032717021116E-2</v>
      </c>
      <c r="X173" s="463">
        <f t="shared" si="107"/>
        <v>6.4547451929665351</v>
      </c>
      <c r="Y173" s="463">
        <f t="shared" si="108"/>
        <v>0.16665494202449838</v>
      </c>
      <c r="Z173" s="463">
        <f t="shared" si="124"/>
        <v>0.32277582618129108</v>
      </c>
      <c r="AA173" s="463">
        <f t="shared" si="125"/>
        <v>3.0000000000000002E-2</v>
      </c>
      <c r="AB173" s="463">
        <f t="shared" si="126"/>
        <v>0</v>
      </c>
      <c r="AC173" s="463">
        <f t="shared" si="109"/>
        <v>0.52823404969857768</v>
      </c>
      <c r="AD173" s="463">
        <f t="shared" si="110"/>
        <v>7.4998780580331506</v>
      </c>
      <c r="AE173" s="463">
        <f t="shared" si="111"/>
        <v>0.22499268354146842</v>
      </c>
      <c r="AF173" s="463">
        <f t="shared" si="127"/>
        <v>0.14759999999999998</v>
      </c>
      <c r="AG173" s="463">
        <f t="shared" si="112"/>
        <v>0.38116870042042905</v>
      </c>
      <c r="AH173" s="463">
        <f t="shared" si="113"/>
        <v>0</v>
      </c>
      <c r="AI173">
        <f t="shared" si="128"/>
        <v>0</v>
      </c>
      <c r="AJ173" s="464">
        <f t="shared" si="129"/>
        <v>0.1196064</v>
      </c>
      <c r="AK173">
        <f t="shared" si="133"/>
        <v>3.6000000000000004E-2</v>
      </c>
      <c r="AL173" s="464">
        <f t="shared" si="134"/>
        <v>0.27</v>
      </c>
      <c r="AM173" s="464">
        <f t="shared" si="135"/>
        <v>0.17963774597495527</v>
      </c>
      <c r="AN173" s="464">
        <f t="shared" si="114"/>
        <v>0.30600000000000005</v>
      </c>
      <c r="AO173" s="464">
        <f t="shared" si="115"/>
        <v>2.4541902234502651</v>
      </c>
      <c r="AP173" s="100">
        <f t="shared" si="130"/>
        <v>49.2</v>
      </c>
      <c r="AQ173" s="10">
        <f t="shared" si="116"/>
        <v>0.95248807090317911</v>
      </c>
      <c r="AR173" s="77">
        <f t="shared" si="117"/>
        <v>13.205851242464442</v>
      </c>
      <c r="AS173" s="77">
        <f t="shared" si="118"/>
        <v>9.5292175105107262</v>
      </c>
      <c r="AT173" s="10"/>
      <c r="AU173">
        <f t="shared" si="119"/>
        <v>95.248807090317911</v>
      </c>
    </row>
    <row r="174" spans="7:47" x14ac:dyDescent="0.15">
      <c r="G174">
        <v>165</v>
      </c>
      <c r="H174">
        <f t="shared" si="120"/>
        <v>9.8999999999999986</v>
      </c>
      <c r="I174" s="463">
        <f t="shared" ref="I174:I209" si="136">(Vout+Rdcr*H174+RdsonBot*H174)/(Vin-RdsonTop*H174+RdsonBot*H174)</f>
        <v>0.42557666666666666</v>
      </c>
      <c r="J174" s="464">
        <f t="shared" si="121"/>
        <v>3.6109535353535356</v>
      </c>
      <c r="K174" s="464">
        <f t="shared" si="131"/>
        <v>11.705476767676766</v>
      </c>
      <c r="L174" s="464">
        <f t="shared" ref="L174:L209" si="137">H174-J174/2</f>
        <v>8.0945232323232315</v>
      </c>
      <c r="M174" s="77">
        <f t="shared" si="122"/>
        <v>0</v>
      </c>
      <c r="N174" s="463">
        <f t="shared" ref="N174:N209" si="138">SQRT(H174^2+(J174^2)/12)</f>
        <v>9.9547266220394093</v>
      </c>
      <c r="O174" s="463">
        <f t="shared" ref="O174:O209" si="139">(N174^2*Rdcr*(1+Ltc*Ta-Ltc*25))/(1-N174^2*Rdcr*Ltc*ThetaCa)</f>
        <v>0.71225329408664217</v>
      </c>
      <c r="P174">
        <f t="shared" si="123"/>
        <v>0.4</v>
      </c>
      <c r="Q174" s="463">
        <f t="shared" si="132"/>
        <v>1.1122532940866421</v>
      </c>
      <c r="R174" s="9">
        <f t="shared" ref="R174:R209" si="140">J174/(2*SQRT(3))</f>
        <v>1.0423924978337973</v>
      </c>
      <c r="S174" s="9">
        <f t="shared" ref="S174:S209" si="141">RCoutEsr*R174^2</f>
        <v>2.1731642390803662E-3</v>
      </c>
      <c r="T174" s="9">
        <f t="shared" ref="T174:T209" si="142">S174</f>
        <v>2.1731642390803662E-3</v>
      </c>
      <c r="U174" s="463">
        <f t="shared" ref="U174:U209" si="143">SQRT(I174)*SQRT(H174^2+(J174^2)/12)</f>
        <v>6.4940890890480931</v>
      </c>
      <c r="V174" s="465">
        <f t="shared" ref="V174:V209" si="144">RCinEsr*U174^2</f>
        <v>1.3917153721842853E-2</v>
      </c>
      <c r="W174" s="463">
        <f t="shared" ref="W174:W209" si="145">V174</f>
        <v>1.3917153721842853E-2</v>
      </c>
      <c r="X174" s="463">
        <f t="shared" ref="X174:X209" si="146">SQRT(I174)*SQRT(H174^2+(J174^2)/12)</f>
        <v>6.4940890890480931</v>
      </c>
      <c r="Y174" s="463">
        <f t="shared" ref="Y174:Y209" si="147">RdsonTop*X174^2</f>
        <v>0.16869277238597397</v>
      </c>
      <c r="Z174" s="463">
        <f t="shared" si="124"/>
        <v>0.32460164015337495</v>
      </c>
      <c r="AA174" s="463">
        <f t="shared" si="125"/>
        <v>3.0000000000000002E-2</v>
      </c>
      <c r="AB174" s="463">
        <f t="shared" si="126"/>
        <v>0</v>
      </c>
      <c r="AC174" s="463">
        <f t="shared" ref="AC174:AC209" si="148">(AB174+AA174+Z174+Y174*(1+RdsonTopTc*Ta-RdsonTopTc*25))/(1-Y174*RdsonTopTc*ThetaJaTop)</f>
        <v>0.53227348146493436</v>
      </c>
      <c r="AD174" s="463">
        <f t="shared" ref="AD174:AD209" si="149">SQRT(1-I174)*SQRT(H174^2+(J174^2)/12)</f>
        <v>7.5447590434053389</v>
      </c>
      <c r="AE174" s="463">
        <f t="shared" ref="AE174:AE209" si="150">RdsonBot*AD174^2</f>
        <v>0.22769355609218658</v>
      </c>
      <c r="AF174" s="463">
        <f t="shared" si="127"/>
        <v>0.14849999999999997</v>
      </c>
      <c r="AG174" s="463">
        <f t="shared" ref="AG174:AG209" si="151">(AF174+AE174*(1+RdsonBotTc*Ta-RdsonBotTc*25))/(1-AE174*RdsonBotTc*ThetaJaBot)</f>
        <v>0.38495882036805201</v>
      </c>
      <c r="AH174" s="463">
        <f t="shared" ref="AH174:AH209" si="152">IF(RDSON_sense=1, 0, AD174^2*Rshunt)</f>
        <v>0</v>
      </c>
      <c r="AI174">
        <f t="shared" si="128"/>
        <v>0</v>
      </c>
      <c r="AJ174" s="464">
        <f t="shared" si="129"/>
        <v>0.119604</v>
      </c>
      <c r="AK174">
        <f t="shared" si="133"/>
        <v>3.6000000000000004E-2</v>
      </c>
      <c r="AL174" s="464">
        <f t="shared" si="134"/>
        <v>0.27</v>
      </c>
      <c r="AM174" s="464">
        <f t="shared" si="135"/>
        <v>0.17963774597495527</v>
      </c>
      <c r="AN174" s="464">
        <f t="shared" ref="AN174:AN209" si="153">SUM(AK174:AL174)</f>
        <v>0.30600000000000005</v>
      </c>
      <c r="AO174" s="464">
        <f t="shared" ref="AO174:AO209" si="154">SUM(Q174,T174,W174,AC174,AJ174,AI174,AG174,AN174, AH174)</f>
        <v>2.4711799138805515</v>
      </c>
      <c r="AP174" s="100">
        <f t="shared" si="130"/>
        <v>49.499999999999993</v>
      </c>
      <c r="AQ174" s="10">
        <f t="shared" ref="AQ174:AQ209" si="155">AP174/(AP174+AO174)</f>
        <v>0.95245095612654063</v>
      </c>
      <c r="AR174" s="77">
        <f t="shared" ref="AR174:AR209" si="156">ThetaJaTop*AC174</f>
        <v>13.306837036623358</v>
      </c>
      <c r="AS174" s="77">
        <f t="shared" ref="AS174:AS209" si="157">AG174*ThetaJaBot</f>
        <v>9.6239705092012997</v>
      </c>
      <c r="AT174" s="10"/>
      <c r="AU174">
        <f t="shared" ref="AU174:AU209" si="158">AQ174*100</f>
        <v>95.245095612654069</v>
      </c>
    </row>
    <row r="175" spans="7:47" x14ac:dyDescent="0.15">
      <c r="G175">
        <v>166</v>
      </c>
      <c r="H175">
        <f t="shared" si="120"/>
        <v>9.9599999999999991</v>
      </c>
      <c r="I175" s="463">
        <f t="shared" si="136"/>
        <v>0.42563066666666666</v>
      </c>
      <c r="J175" s="464">
        <f t="shared" si="121"/>
        <v>3.6114117171717171</v>
      </c>
      <c r="K175" s="464">
        <f t="shared" si="131"/>
        <v>11.765705858585857</v>
      </c>
      <c r="L175" s="464">
        <f t="shared" si="137"/>
        <v>8.154294141414141</v>
      </c>
      <c r="M175" s="77">
        <f t="shared" si="122"/>
        <v>0</v>
      </c>
      <c r="N175" s="463">
        <f t="shared" si="138"/>
        <v>10.014412508109354</v>
      </c>
      <c r="O175" s="463">
        <f t="shared" si="139"/>
        <v>0.72131419523045415</v>
      </c>
      <c r="P175">
        <f t="shared" si="123"/>
        <v>0.4</v>
      </c>
      <c r="Q175" s="463">
        <f t="shared" si="132"/>
        <v>1.1213141952304542</v>
      </c>
      <c r="R175" s="9">
        <f t="shared" si="140"/>
        <v>1.0425247635318298</v>
      </c>
      <c r="S175" s="9">
        <f t="shared" si="141"/>
        <v>2.1737157651541953E-3</v>
      </c>
      <c r="T175" s="9">
        <f t="shared" si="142"/>
        <v>2.1737157651541953E-3</v>
      </c>
      <c r="U175" s="463">
        <f t="shared" si="143"/>
        <v>6.5334403791213402</v>
      </c>
      <c r="V175" s="465">
        <f t="shared" si="144"/>
        <v>1.4086328251885957E-2</v>
      </c>
      <c r="W175" s="463">
        <f t="shared" si="145"/>
        <v>1.4086328251885957E-2</v>
      </c>
      <c r="X175" s="463">
        <f t="shared" si="146"/>
        <v>6.5334403791213402</v>
      </c>
      <c r="Y175" s="463">
        <f t="shared" si="147"/>
        <v>0.17074337275013282</v>
      </c>
      <c r="Z175" s="463">
        <f t="shared" si="124"/>
        <v>0.32642745412545882</v>
      </c>
      <c r="AA175" s="463">
        <f t="shared" si="125"/>
        <v>3.0000000000000002E-2</v>
      </c>
      <c r="AB175" s="463">
        <f t="shared" si="126"/>
        <v>0</v>
      </c>
      <c r="AC175" s="463">
        <f t="shared" si="148"/>
        <v>0.53632827676317274</v>
      </c>
      <c r="AD175" s="463">
        <f t="shared" si="149"/>
        <v>7.5896386406102287</v>
      </c>
      <c r="AE175" s="463">
        <f t="shared" si="150"/>
        <v>0.23041045878017555</v>
      </c>
      <c r="AF175" s="463">
        <f t="shared" si="127"/>
        <v>0.14939999999999998</v>
      </c>
      <c r="AG175" s="463">
        <f t="shared" si="151"/>
        <v>0.38876808199329183</v>
      </c>
      <c r="AH175" s="463">
        <f t="shared" si="152"/>
        <v>0</v>
      </c>
      <c r="AI175">
        <f t="shared" si="128"/>
        <v>0</v>
      </c>
      <c r="AJ175" s="464">
        <f t="shared" si="129"/>
        <v>0.1196016</v>
      </c>
      <c r="AK175">
        <f t="shared" si="133"/>
        <v>3.6000000000000004E-2</v>
      </c>
      <c r="AL175" s="464">
        <f t="shared" si="134"/>
        <v>0.27</v>
      </c>
      <c r="AM175" s="464">
        <f t="shared" si="135"/>
        <v>0.17963774597495527</v>
      </c>
      <c r="AN175" s="464">
        <f t="shared" si="153"/>
        <v>0.30600000000000005</v>
      </c>
      <c r="AO175" s="464">
        <f t="shared" si="154"/>
        <v>2.4882721980039588</v>
      </c>
      <c r="AP175" s="100">
        <f t="shared" si="130"/>
        <v>49.8</v>
      </c>
      <c r="AQ175" s="10">
        <f t="shared" si="155"/>
        <v>0.95241242264457637</v>
      </c>
      <c r="AR175" s="77">
        <f t="shared" si="156"/>
        <v>13.408206919079319</v>
      </c>
      <c r="AS175" s="77">
        <f t="shared" si="157"/>
        <v>9.7192020498322957</v>
      </c>
      <c r="AT175" s="10"/>
      <c r="AU175">
        <f t="shared" si="158"/>
        <v>95.24124226445764</v>
      </c>
    </row>
    <row r="176" spans="7:47" x14ac:dyDescent="0.15">
      <c r="G176">
        <v>167</v>
      </c>
      <c r="H176">
        <f t="shared" si="120"/>
        <v>10.02</v>
      </c>
      <c r="I176" s="463">
        <f t="shared" si="136"/>
        <v>0.42568466666666666</v>
      </c>
      <c r="J176" s="464">
        <f t="shared" si="121"/>
        <v>3.611869898989899</v>
      </c>
      <c r="K176" s="464">
        <f t="shared" si="131"/>
        <v>11.825934949494949</v>
      </c>
      <c r="L176" s="464">
        <f t="shared" si="137"/>
        <v>8.2140650505050505</v>
      </c>
      <c r="M176" s="77">
        <f t="shared" si="122"/>
        <v>0</v>
      </c>
      <c r="N176" s="463">
        <f t="shared" si="138"/>
        <v>10.074102127763171</v>
      </c>
      <c r="O176" s="463">
        <f t="shared" si="139"/>
        <v>0.73044238196587308</v>
      </c>
      <c r="P176">
        <f t="shared" si="123"/>
        <v>0.4</v>
      </c>
      <c r="Q176" s="463">
        <f t="shared" si="132"/>
        <v>1.1304423819658731</v>
      </c>
      <c r="R176" s="9">
        <f t="shared" si="140"/>
        <v>1.0426570292298623</v>
      </c>
      <c r="S176" s="9">
        <f t="shared" si="141"/>
        <v>2.1742673612048838E-3</v>
      </c>
      <c r="T176" s="9">
        <f t="shared" si="142"/>
        <v>2.1742673612048838E-3</v>
      </c>
      <c r="U176" s="463">
        <f t="shared" si="143"/>
        <v>6.5727990191127361</v>
      </c>
      <c r="V176" s="465">
        <f t="shared" si="144"/>
        <v>1.4256556692064284E-2</v>
      </c>
      <c r="W176" s="463">
        <f t="shared" si="145"/>
        <v>1.4256556692064284E-2</v>
      </c>
      <c r="X176" s="463">
        <f t="shared" si="146"/>
        <v>6.5727990191127361</v>
      </c>
      <c r="Y176" s="463">
        <f t="shared" si="147"/>
        <v>0.17280674778259741</v>
      </c>
      <c r="Z176" s="463">
        <f t="shared" si="124"/>
        <v>0.32825326809754274</v>
      </c>
      <c r="AA176" s="463">
        <f t="shared" si="125"/>
        <v>3.0000000000000002E-2</v>
      </c>
      <c r="AB176" s="463">
        <f t="shared" si="126"/>
        <v>0</v>
      </c>
      <c r="AC176" s="463">
        <f t="shared" si="148"/>
        <v>0.54039846602213926</v>
      </c>
      <c r="AD176" s="463">
        <f t="shared" si="149"/>
        <v>7.6345167977386152</v>
      </c>
      <c r="AE176" s="463">
        <f t="shared" si="150"/>
        <v>0.23314338693981235</v>
      </c>
      <c r="AF176" s="463">
        <f t="shared" si="127"/>
        <v>0.15029999999999999</v>
      </c>
      <c r="AG176" s="463">
        <f t="shared" si="151"/>
        <v>0.39259651506204557</v>
      </c>
      <c r="AH176" s="463">
        <f t="shared" si="152"/>
        <v>0</v>
      </c>
      <c r="AI176">
        <f t="shared" si="128"/>
        <v>0</v>
      </c>
      <c r="AJ176" s="464">
        <f t="shared" si="129"/>
        <v>0.1195992</v>
      </c>
      <c r="AK176">
        <f t="shared" si="133"/>
        <v>3.6000000000000004E-2</v>
      </c>
      <c r="AL176" s="464">
        <f t="shared" si="134"/>
        <v>0.27</v>
      </c>
      <c r="AM176" s="464">
        <f t="shared" si="135"/>
        <v>0.17963774597495527</v>
      </c>
      <c r="AN176" s="464">
        <f t="shared" si="153"/>
        <v>0.30600000000000005</v>
      </c>
      <c r="AO176" s="464">
        <f t="shared" si="154"/>
        <v>2.5054673871033271</v>
      </c>
      <c r="AP176" s="100">
        <f t="shared" si="130"/>
        <v>50.099999999999994</v>
      </c>
      <c r="AQ176" s="10">
        <f t="shared" si="155"/>
        <v>0.95237249070202978</v>
      </c>
      <c r="AR176" s="77">
        <f t="shared" si="156"/>
        <v>13.509961650553482</v>
      </c>
      <c r="AS176" s="77">
        <f t="shared" si="157"/>
        <v>9.8149128765511389</v>
      </c>
      <c r="AT176" s="10"/>
      <c r="AU176">
        <f t="shared" si="158"/>
        <v>95.237249070202978</v>
      </c>
    </row>
    <row r="177" spans="7:47" x14ac:dyDescent="0.15">
      <c r="G177">
        <v>168</v>
      </c>
      <c r="H177">
        <f t="shared" si="120"/>
        <v>10.08</v>
      </c>
      <c r="I177" s="463">
        <f t="shared" si="136"/>
        <v>0.42573866666666671</v>
      </c>
      <c r="J177" s="464">
        <f t="shared" si="121"/>
        <v>3.6123280808080813</v>
      </c>
      <c r="K177" s="464">
        <f t="shared" si="131"/>
        <v>11.88616404040404</v>
      </c>
      <c r="L177" s="464">
        <f t="shared" si="137"/>
        <v>8.2738359595959601</v>
      </c>
      <c r="M177" s="77">
        <f t="shared" si="122"/>
        <v>0</v>
      </c>
      <c r="N177" s="463">
        <f t="shared" si="138"/>
        <v>10.133795415026704</v>
      </c>
      <c r="O177" s="463">
        <f t="shared" si="139"/>
        <v>0.73963810736167845</v>
      </c>
      <c r="P177">
        <f t="shared" si="123"/>
        <v>0.4</v>
      </c>
      <c r="Q177" s="463">
        <f t="shared" si="132"/>
        <v>1.1396381073616784</v>
      </c>
      <c r="R177" s="9">
        <f t="shared" si="140"/>
        <v>1.042789294927895</v>
      </c>
      <c r="S177" s="9">
        <f t="shared" si="141"/>
        <v>2.1748190272324326E-3</v>
      </c>
      <c r="T177" s="9">
        <f t="shared" si="142"/>
        <v>2.1748190272324326E-3</v>
      </c>
      <c r="U177" s="463">
        <f t="shared" si="143"/>
        <v>6.6121649659735224</v>
      </c>
      <c r="V177" s="465">
        <f t="shared" si="144"/>
        <v>1.4427839427291719E-2</v>
      </c>
      <c r="W177" s="463">
        <f t="shared" si="145"/>
        <v>1.4427839427291719E-2</v>
      </c>
      <c r="X177" s="463">
        <f t="shared" si="146"/>
        <v>6.6121649659735224</v>
      </c>
      <c r="Y177" s="463">
        <f t="shared" si="147"/>
        <v>0.17488290214899052</v>
      </c>
      <c r="Z177" s="463">
        <f t="shared" si="124"/>
        <v>0.33007908206962666</v>
      </c>
      <c r="AA177" s="463">
        <f t="shared" si="125"/>
        <v>3.0000000000000002E-2</v>
      </c>
      <c r="AB177" s="463">
        <f t="shared" si="126"/>
        <v>0</v>
      </c>
      <c r="AC177" s="463">
        <f t="shared" si="148"/>
        <v>0.54448407982397107</v>
      </c>
      <c r="AD177" s="463">
        <f t="shared" si="149"/>
        <v>7.6793934640939332</v>
      </c>
      <c r="AE177" s="463">
        <f t="shared" si="150"/>
        <v>0.23589233590547448</v>
      </c>
      <c r="AF177" s="463">
        <f t="shared" si="127"/>
        <v>0.1512</v>
      </c>
      <c r="AG177" s="463">
        <f t="shared" si="151"/>
        <v>0.39644414955493168</v>
      </c>
      <c r="AH177" s="463">
        <f t="shared" si="152"/>
        <v>0</v>
      </c>
      <c r="AI177">
        <f t="shared" si="128"/>
        <v>0</v>
      </c>
      <c r="AJ177" s="464">
        <f t="shared" si="129"/>
        <v>0.1195968</v>
      </c>
      <c r="AK177">
        <f t="shared" si="133"/>
        <v>3.6000000000000004E-2</v>
      </c>
      <c r="AL177" s="464">
        <f t="shared" si="134"/>
        <v>0.27</v>
      </c>
      <c r="AM177" s="464">
        <f t="shared" si="135"/>
        <v>0.17963774597495527</v>
      </c>
      <c r="AN177" s="464">
        <f t="shared" si="153"/>
        <v>0.30600000000000005</v>
      </c>
      <c r="AO177" s="464">
        <f t="shared" si="154"/>
        <v>2.5227657951951055</v>
      </c>
      <c r="AP177" s="100">
        <f t="shared" si="130"/>
        <v>50.4</v>
      </c>
      <c r="AQ177" s="10">
        <f t="shared" si="155"/>
        <v>0.9523311800264197</v>
      </c>
      <c r="AR177" s="77">
        <f t="shared" si="156"/>
        <v>13.612101995599277</v>
      </c>
      <c r="AS177" s="77">
        <f t="shared" si="157"/>
        <v>9.9111037388732921</v>
      </c>
      <c r="AT177" s="10"/>
      <c r="AU177">
        <f t="shared" si="158"/>
        <v>95.233118002641973</v>
      </c>
    </row>
    <row r="178" spans="7:47" x14ac:dyDescent="0.15">
      <c r="G178">
        <v>169</v>
      </c>
      <c r="H178">
        <f t="shared" si="120"/>
        <v>10.14</v>
      </c>
      <c r="I178" s="463">
        <f t="shared" si="136"/>
        <v>0.42579266666666671</v>
      </c>
      <c r="J178" s="464">
        <f t="shared" si="121"/>
        <v>3.6127862626262632</v>
      </c>
      <c r="K178" s="464">
        <f t="shared" si="131"/>
        <v>11.946393131313132</v>
      </c>
      <c r="L178" s="464">
        <f t="shared" si="137"/>
        <v>8.3336068686868696</v>
      </c>
      <c r="M178" s="77">
        <f t="shared" si="122"/>
        <v>0</v>
      </c>
      <c r="N178" s="463">
        <f t="shared" si="138"/>
        <v>10.193492305467171</v>
      </c>
      <c r="O178" s="463">
        <f t="shared" si="139"/>
        <v>0.74890162687092865</v>
      </c>
      <c r="P178">
        <f t="shared" si="123"/>
        <v>0.4</v>
      </c>
      <c r="Q178" s="463">
        <f t="shared" si="132"/>
        <v>1.1489016268709287</v>
      </c>
      <c r="R178" s="9">
        <f t="shared" si="140"/>
        <v>1.0429215606259277</v>
      </c>
      <c r="S178" s="9">
        <f t="shared" si="141"/>
        <v>2.1753707632368407E-3</v>
      </c>
      <c r="T178" s="9">
        <f t="shared" si="142"/>
        <v>2.1753707632368407E-3</v>
      </c>
      <c r="U178" s="463">
        <f t="shared" si="143"/>
        <v>6.6515381776498632</v>
      </c>
      <c r="V178" s="465">
        <f t="shared" si="144"/>
        <v>1.460017684248211E-2</v>
      </c>
      <c r="W178" s="463">
        <f t="shared" si="145"/>
        <v>1.460017684248211E-2</v>
      </c>
      <c r="X178" s="463">
        <f t="shared" si="146"/>
        <v>6.6515381776498632</v>
      </c>
      <c r="Y178" s="463">
        <f t="shared" si="147"/>
        <v>0.17697184051493467</v>
      </c>
      <c r="Z178" s="463">
        <f t="shared" si="124"/>
        <v>0.33190489604171058</v>
      </c>
      <c r="AA178" s="463">
        <f t="shared" si="125"/>
        <v>3.0000000000000002E-2</v>
      </c>
      <c r="AB178" s="463">
        <f t="shared" si="126"/>
        <v>0</v>
      </c>
      <c r="AC178" s="463">
        <f t="shared" si="148"/>
        <v>0.5485851489047282</v>
      </c>
      <c r="AD178" s="463">
        <f t="shared" si="149"/>
        <v>7.7242685901569192</v>
      </c>
      <c r="AE178" s="463">
        <f t="shared" si="150"/>
        <v>0.23865730101153904</v>
      </c>
      <c r="AF178" s="463">
        <f t="shared" si="127"/>
        <v>0.15210000000000001</v>
      </c>
      <c r="AG178" s="463">
        <f t="shared" si="151"/>
        <v>0.4003110156679901</v>
      </c>
      <c r="AH178" s="463">
        <f t="shared" si="152"/>
        <v>0</v>
      </c>
      <c r="AI178">
        <f t="shared" si="128"/>
        <v>0</v>
      </c>
      <c r="AJ178" s="464">
        <f t="shared" si="129"/>
        <v>0.1195944</v>
      </c>
      <c r="AK178">
        <f t="shared" si="133"/>
        <v>3.6000000000000004E-2</v>
      </c>
      <c r="AL178" s="464">
        <f t="shared" si="134"/>
        <v>0.27</v>
      </c>
      <c r="AM178" s="464">
        <f t="shared" si="135"/>
        <v>0.17963774597495527</v>
      </c>
      <c r="AN178" s="464">
        <f t="shared" si="153"/>
        <v>0.30600000000000005</v>
      </c>
      <c r="AO178" s="464">
        <f t="shared" si="154"/>
        <v>2.540167739049366</v>
      </c>
      <c r="AP178" s="100">
        <f t="shared" si="130"/>
        <v>50.7</v>
      </c>
      <c r="AQ178" s="10">
        <f t="shared" si="155"/>
        <v>0.95228850984279934</v>
      </c>
      <c r="AR178" s="77">
        <f t="shared" si="156"/>
        <v>13.714628722618205</v>
      </c>
      <c r="AS178" s="77">
        <f t="shared" si="157"/>
        <v>10.007775391699752</v>
      </c>
      <c r="AT178" s="10"/>
      <c r="AU178">
        <f t="shared" si="158"/>
        <v>95.22885098427993</v>
      </c>
    </row>
    <row r="179" spans="7:47" x14ac:dyDescent="0.15">
      <c r="G179">
        <v>170</v>
      </c>
      <c r="H179">
        <f t="shared" si="120"/>
        <v>10.199999999999999</v>
      </c>
      <c r="I179" s="463">
        <f t="shared" si="136"/>
        <v>0.42584666666666665</v>
      </c>
      <c r="J179" s="464">
        <f t="shared" si="121"/>
        <v>3.6132444444444443</v>
      </c>
      <c r="K179" s="464">
        <f t="shared" si="131"/>
        <v>12.006622222222221</v>
      </c>
      <c r="L179" s="464">
        <f t="shared" si="137"/>
        <v>8.3933777777777774</v>
      </c>
      <c r="M179" s="77">
        <f t="shared" si="122"/>
        <v>0</v>
      </c>
      <c r="N179" s="463">
        <f t="shared" si="138"/>
        <v>10.253192736148533</v>
      </c>
      <c r="O179" s="463">
        <f t="shared" si="139"/>
        <v>0.75823319834987335</v>
      </c>
      <c r="P179">
        <f t="shared" si="123"/>
        <v>0.4</v>
      </c>
      <c r="Q179" s="463">
        <f t="shared" si="132"/>
        <v>1.1582331983498735</v>
      </c>
      <c r="R179" s="9">
        <f t="shared" si="140"/>
        <v>1.0430538263239599</v>
      </c>
      <c r="S179" s="9">
        <f t="shared" si="141"/>
        <v>2.1759225692181074E-3</v>
      </c>
      <c r="T179" s="9">
        <f t="shared" si="142"/>
        <v>2.1759225692181074E-3</v>
      </c>
      <c r="U179" s="463">
        <f t="shared" si="143"/>
        <v>6.690918613054051</v>
      </c>
      <c r="V179" s="465">
        <f t="shared" si="144"/>
        <v>1.4773569322549336E-2</v>
      </c>
      <c r="W179" s="463">
        <f t="shared" si="145"/>
        <v>1.4773569322549336E-2</v>
      </c>
      <c r="X179" s="463">
        <f t="shared" si="146"/>
        <v>6.690918613054051</v>
      </c>
      <c r="Y179" s="463">
        <f t="shared" si="147"/>
        <v>0.17907356754605258</v>
      </c>
      <c r="Z179" s="463">
        <f t="shared" si="124"/>
        <v>0.3337307100137944</v>
      </c>
      <c r="AA179" s="463">
        <f t="shared" si="125"/>
        <v>3.0000000000000002E-2</v>
      </c>
      <c r="AB179" s="463">
        <f t="shared" si="126"/>
        <v>0</v>
      </c>
      <c r="AC179" s="463">
        <f t="shared" si="148"/>
        <v>0.55270170415502939</v>
      </c>
      <c r="AD179" s="463">
        <f t="shared" si="149"/>
        <v>7.7691421275515289</v>
      </c>
      <c r="AE179" s="463">
        <f t="shared" si="150"/>
        <v>0.24143827759238359</v>
      </c>
      <c r="AF179" s="463">
        <f t="shared" si="127"/>
        <v>0.153</v>
      </c>
      <c r="AG179" s="463">
        <f t="shared" si="151"/>
        <v>0.40419714381339017</v>
      </c>
      <c r="AH179" s="463">
        <f t="shared" si="152"/>
        <v>0</v>
      </c>
      <c r="AI179">
        <f t="shared" si="128"/>
        <v>0</v>
      </c>
      <c r="AJ179" s="464">
        <f t="shared" si="129"/>
        <v>0.11959199999999999</v>
      </c>
      <c r="AK179">
        <f t="shared" si="133"/>
        <v>3.6000000000000004E-2</v>
      </c>
      <c r="AL179" s="464">
        <f t="shared" si="134"/>
        <v>0.27</v>
      </c>
      <c r="AM179" s="464">
        <f t="shared" si="135"/>
        <v>0.17963774597495527</v>
      </c>
      <c r="AN179" s="464">
        <f t="shared" si="153"/>
        <v>0.30600000000000005</v>
      </c>
      <c r="AO179" s="464">
        <f t="shared" si="154"/>
        <v>2.5576735382100604</v>
      </c>
      <c r="AP179" s="100">
        <f t="shared" si="130"/>
        <v>51</v>
      </c>
      <c r="AQ179" s="10">
        <f t="shared" si="155"/>
        <v>0.95224449888800122</v>
      </c>
      <c r="AR179" s="77">
        <f t="shared" si="156"/>
        <v>13.817542603875735</v>
      </c>
      <c r="AS179" s="77">
        <f t="shared" si="157"/>
        <v>10.104928595334755</v>
      </c>
      <c r="AT179" s="10"/>
      <c r="AU179">
        <f t="shared" si="158"/>
        <v>95.224449888800123</v>
      </c>
    </row>
    <row r="180" spans="7:47" x14ac:dyDescent="0.15">
      <c r="G180">
        <v>171</v>
      </c>
      <c r="H180">
        <f t="shared" si="120"/>
        <v>10.26</v>
      </c>
      <c r="I180" s="463">
        <f t="shared" si="136"/>
        <v>0.42590066666666665</v>
      </c>
      <c r="J180" s="464">
        <f t="shared" si="121"/>
        <v>3.6137026262626262</v>
      </c>
      <c r="K180" s="464">
        <f t="shared" si="131"/>
        <v>12.066851313131313</v>
      </c>
      <c r="L180" s="464">
        <f t="shared" si="137"/>
        <v>8.4531486868686869</v>
      </c>
      <c r="M180" s="77">
        <f t="shared" si="122"/>
        <v>0</v>
      </c>
      <c r="N180" s="463">
        <f t="shared" si="138"/>
        <v>10.312896645588383</v>
      </c>
      <c r="O180" s="463">
        <f t="shared" si="139"/>
        <v>0.76763308207709047</v>
      </c>
      <c r="P180">
        <f t="shared" si="123"/>
        <v>0.4</v>
      </c>
      <c r="Q180" s="463">
        <f t="shared" si="132"/>
        <v>1.1676330820770904</v>
      </c>
      <c r="R180" s="9">
        <f t="shared" si="140"/>
        <v>1.0431860920219924</v>
      </c>
      <c r="S180" s="9">
        <f t="shared" si="141"/>
        <v>2.1764744451762334E-3</v>
      </c>
      <c r="T180" s="9">
        <f t="shared" si="142"/>
        <v>2.1764744451762334E-3</v>
      </c>
      <c r="U180" s="463">
        <f t="shared" si="143"/>
        <v>6.7303062320366784</v>
      </c>
      <c r="V180" s="465">
        <f t="shared" si="144"/>
        <v>1.4948017252407278E-2</v>
      </c>
      <c r="W180" s="463">
        <f t="shared" si="145"/>
        <v>1.4948017252407278E-2</v>
      </c>
      <c r="X180" s="463">
        <f t="shared" si="146"/>
        <v>6.7303062320366784</v>
      </c>
      <c r="Y180" s="463">
        <f t="shared" si="147"/>
        <v>0.181188087907967</v>
      </c>
      <c r="Z180" s="463">
        <f t="shared" si="124"/>
        <v>0.33555652398587832</v>
      </c>
      <c r="AA180" s="463">
        <f t="shared" si="125"/>
        <v>3.0000000000000002E-2</v>
      </c>
      <c r="AB180" s="463">
        <f t="shared" si="126"/>
        <v>0</v>
      </c>
      <c r="AC180" s="463">
        <f t="shared" si="148"/>
        <v>0.55683377662069289</v>
      </c>
      <c r="AD180" s="463">
        <f t="shared" si="149"/>
        <v>7.8140140290120002</v>
      </c>
      <c r="AE180" s="463">
        <f t="shared" si="150"/>
        <v>0.2442352609823854</v>
      </c>
      <c r="AF180" s="463">
        <f t="shared" si="127"/>
        <v>0.15389999999999998</v>
      </c>
      <c r="AG180" s="463">
        <f t="shared" si="151"/>
        <v>0.40810256462014355</v>
      </c>
      <c r="AH180" s="463">
        <f t="shared" si="152"/>
        <v>0</v>
      </c>
      <c r="AI180">
        <f t="shared" si="128"/>
        <v>0</v>
      </c>
      <c r="AJ180" s="464">
        <f t="shared" si="129"/>
        <v>0.11958959999999999</v>
      </c>
      <c r="AK180">
        <f t="shared" si="133"/>
        <v>3.6000000000000004E-2</v>
      </c>
      <c r="AL180" s="464">
        <f t="shared" si="134"/>
        <v>0.27</v>
      </c>
      <c r="AM180" s="464">
        <f t="shared" si="135"/>
        <v>0.17963774597495527</v>
      </c>
      <c r="AN180" s="464">
        <f t="shared" si="153"/>
        <v>0.30600000000000005</v>
      </c>
      <c r="AO180" s="464">
        <f t="shared" si="154"/>
        <v>2.5752835150155104</v>
      </c>
      <c r="AP180" s="100">
        <f t="shared" si="130"/>
        <v>51.3</v>
      </c>
      <c r="AQ180" s="10">
        <f t="shared" si="155"/>
        <v>0.95219916542438687</v>
      </c>
      <c r="AR180" s="77">
        <f t="shared" si="156"/>
        <v>13.920844415517323</v>
      </c>
      <c r="AS180" s="77">
        <f t="shared" si="157"/>
        <v>10.20256411550359</v>
      </c>
      <c r="AT180" s="10"/>
      <c r="AU180">
        <f t="shared" si="158"/>
        <v>95.219916542438682</v>
      </c>
    </row>
    <row r="181" spans="7:47" x14ac:dyDescent="0.15">
      <c r="G181">
        <v>172</v>
      </c>
      <c r="H181">
        <f t="shared" si="120"/>
        <v>10.32</v>
      </c>
      <c r="I181" s="463">
        <f t="shared" si="136"/>
        <v>0.4259546666666667</v>
      </c>
      <c r="J181" s="464">
        <f t="shared" si="121"/>
        <v>3.6141608080808085</v>
      </c>
      <c r="K181" s="464">
        <f t="shared" si="131"/>
        <v>12.127080404040404</v>
      </c>
      <c r="L181" s="464">
        <f t="shared" si="137"/>
        <v>8.5129195959595965</v>
      </c>
      <c r="M181" s="77">
        <f t="shared" si="122"/>
        <v>0</v>
      </c>
      <c r="N181" s="463">
        <f t="shared" si="138"/>
        <v>10.372603973716322</v>
      </c>
      <c r="O181" s="463">
        <f t="shared" si="139"/>
        <v>0.77710154077285742</v>
      </c>
      <c r="P181">
        <f t="shared" si="123"/>
        <v>0.4</v>
      </c>
      <c r="Q181" s="463">
        <f t="shared" si="132"/>
        <v>1.1771015407728576</v>
      </c>
      <c r="R181" s="9">
        <f t="shared" si="140"/>
        <v>1.0433183577200251</v>
      </c>
      <c r="S181" s="9">
        <f t="shared" si="141"/>
        <v>2.1770263911112205E-3</v>
      </c>
      <c r="T181" s="9">
        <f t="shared" si="142"/>
        <v>2.1770263911112205E-3</v>
      </c>
      <c r="U181" s="463">
        <f t="shared" si="143"/>
        <v>6.769700995359778</v>
      </c>
      <c r="V181" s="465">
        <f t="shared" si="144"/>
        <v>1.5123521016969805E-2</v>
      </c>
      <c r="W181" s="463">
        <f t="shared" si="145"/>
        <v>1.5123521016969805E-2</v>
      </c>
      <c r="X181" s="463">
        <f t="shared" si="146"/>
        <v>6.769700995359778</v>
      </c>
      <c r="Y181" s="463">
        <f t="shared" si="147"/>
        <v>0.18331540626630066</v>
      </c>
      <c r="Z181" s="463">
        <f t="shared" si="124"/>
        <v>0.33738233795796219</v>
      </c>
      <c r="AA181" s="463">
        <f t="shared" si="125"/>
        <v>3.0000000000000002E-2</v>
      </c>
      <c r="AB181" s="463">
        <f t="shared" si="126"/>
        <v>0</v>
      </c>
      <c r="AC181" s="463">
        <f t="shared" si="148"/>
        <v>0.56098139750337983</v>
      </c>
      <c r="AD181" s="463">
        <f t="shared" si="149"/>
        <v>7.858884248351063</v>
      </c>
      <c r="AE181" s="463">
        <f t="shared" si="150"/>
        <v>0.24704824651592183</v>
      </c>
      <c r="AF181" s="463">
        <f t="shared" si="127"/>
        <v>0.15479999999999999</v>
      </c>
      <c r="AG181" s="463">
        <f t="shared" si="151"/>
        <v>0.41202730893482403</v>
      </c>
      <c r="AH181" s="463">
        <f t="shared" si="152"/>
        <v>0</v>
      </c>
      <c r="AI181">
        <f t="shared" si="128"/>
        <v>0</v>
      </c>
      <c r="AJ181" s="464">
        <f t="shared" si="129"/>
        <v>0.1195872</v>
      </c>
      <c r="AK181">
        <f t="shared" si="133"/>
        <v>3.6000000000000004E-2</v>
      </c>
      <c r="AL181" s="464">
        <f t="shared" si="134"/>
        <v>0.27</v>
      </c>
      <c r="AM181" s="464">
        <f t="shared" si="135"/>
        <v>0.17963774597495527</v>
      </c>
      <c r="AN181" s="464">
        <f t="shared" si="153"/>
        <v>0.30600000000000005</v>
      </c>
      <c r="AO181" s="464">
        <f t="shared" si="154"/>
        <v>2.5929979946191422</v>
      </c>
      <c r="AP181" s="100">
        <f t="shared" si="130"/>
        <v>51.6</v>
      </c>
      <c r="AQ181" s="10">
        <f t="shared" si="155"/>
        <v>0.95215252725312227</v>
      </c>
      <c r="AR181" s="77">
        <f t="shared" si="156"/>
        <v>14.024534937584496</v>
      </c>
      <c r="AS181" s="77">
        <f t="shared" si="157"/>
        <v>10.300682723370601</v>
      </c>
      <c r="AT181" s="10"/>
      <c r="AU181">
        <f t="shared" si="158"/>
        <v>95.215252725312226</v>
      </c>
    </row>
    <row r="182" spans="7:47" x14ac:dyDescent="0.15">
      <c r="G182">
        <v>173</v>
      </c>
      <c r="H182">
        <f t="shared" si="120"/>
        <v>10.379999999999999</v>
      </c>
      <c r="I182" s="463">
        <f t="shared" si="136"/>
        <v>0.4260086666666667</v>
      </c>
      <c r="J182" s="464">
        <f t="shared" si="121"/>
        <v>3.6146189898989904</v>
      </c>
      <c r="K182" s="464">
        <f t="shared" si="131"/>
        <v>12.187309494949494</v>
      </c>
      <c r="L182" s="464">
        <f t="shared" si="137"/>
        <v>8.5726905050505042</v>
      </c>
      <c r="M182" s="77">
        <f t="shared" si="122"/>
        <v>0</v>
      </c>
      <c r="N182" s="463">
        <f t="shared" si="138"/>
        <v>10.432314661833754</v>
      </c>
      <c r="O182" s="463">
        <f t="shared" si="139"/>
        <v>0.78663883961875825</v>
      </c>
      <c r="P182">
        <f t="shared" si="123"/>
        <v>0.4</v>
      </c>
      <c r="Q182" s="463">
        <f t="shared" si="132"/>
        <v>1.1866388396187584</v>
      </c>
      <c r="R182" s="9">
        <f t="shared" si="140"/>
        <v>1.0434506234180576</v>
      </c>
      <c r="S182" s="9">
        <f t="shared" si="141"/>
        <v>2.1775784070230662E-3</v>
      </c>
      <c r="T182" s="9">
        <f t="shared" si="142"/>
        <v>2.1775784070230662E-3</v>
      </c>
      <c r="U182" s="463">
        <f t="shared" si="143"/>
        <v>6.8091028646708667</v>
      </c>
      <c r="V182" s="465">
        <f t="shared" si="144"/>
        <v>1.5300081001150771E-2</v>
      </c>
      <c r="W182" s="463">
        <f t="shared" si="145"/>
        <v>1.5300081001150771E-2</v>
      </c>
      <c r="X182" s="463">
        <f t="shared" si="146"/>
        <v>6.8091028646708667</v>
      </c>
      <c r="Y182" s="463">
        <f t="shared" si="147"/>
        <v>0.18545552728667603</v>
      </c>
      <c r="Z182" s="463">
        <f t="shared" si="124"/>
        <v>0.33920815193004605</v>
      </c>
      <c r="AA182" s="463">
        <f t="shared" si="125"/>
        <v>3.0000000000000002E-2</v>
      </c>
      <c r="AB182" s="463">
        <f t="shared" si="126"/>
        <v>0</v>
      </c>
      <c r="AC182" s="463">
        <f t="shared" si="148"/>
        <v>0.56514459816124318</v>
      </c>
      <c r="AD182" s="463">
        <f t="shared" si="149"/>
        <v>7.9037527404292263</v>
      </c>
      <c r="AE182" s="463">
        <f t="shared" si="150"/>
        <v>0.24987722952737002</v>
      </c>
      <c r="AF182" s="463">
        <f t="shared" si="127"/>
        <v>0.15569999999999998</v>
      </c>
      <c r="AG182" s="463">
        <f t="shared" si="151"/>
        <v>0.41597140782229342</v>
      </c>
      <c r="AH182" s="463">
        <f t="shared" si="152"/>
        <v>0</v>
      </c>
      <c r="AI182">
        <f t="shared" si="128"/>
        <v>0</v>
      </c>
      <c r="AJ182" s="464">
        <f t="shared" si="129"/>
        <v>0.1195848</v>
      </c>
      <c r="AK182">
        <f t="shared" si="133"/>
        <v>3.6000000000000004E-2</v>
      </c>
      <c r="AL182" s="464">
        <f t="shared" si="134"/>
        <v>0.27</v>
      </c>
      <c r="AM182" s="464">
        <f t="shared" si="135"/>
        <v>0.17963774597495527</v>
      </c>
      <c r="AN182" s="464">
        <f t="shared" si="153"/>
        <v>0.30600000000000005</v>
      </c>
      <c r="AO182" s="464">
        <f t="shared" si="154"/>
        <v>2.6108173050104688</v>
      </c>
      <c r="AP182" s="100">
        <f t="shared" si="130"/>
        <v>51.899999999999991</v>
      </c>
      <c r="AQ182" s="10">
        <f t="shared" si="155"/>
        <v>0.95210460172699529</v>
      </c>
      <c r="AR182" s="77">
        <f t="shared" si="156"/>
        <v>14.128614954031079</v>
      </c>
      <c r="AS182" s="77">
        <f t="shared" si="157"/>
        <v>10.399285195557335</v>
      </c>
      <c r="AT182" s="10"/>
      <c r="AU182">
        <f t="shared" si="158"/>
        <v>95.210460172699527</v>
      </c>
    </row>
    <row r="183" spans="7:47" x14ac:dyDescent="0.15">
      <c r="G183">
        <v>174</v>
      </c>
      <c r="H183">
        <f t="shared" si="120"/>
        <v>10.44</v>
      </c>
      <c r="I183" s="463">
        <f t="shared" si="136"/>
        <v>0.4260626666666667</v>
      </c>
      <c r="J183" s="464">
        <f t="shared" si="121"/>
        <v>3.6150771717171724</v>
      </c>
      <c r="K183" s="464">
        <f t="shared" si="131"/>
        <v>12.247538585858585</v>
      </c>
      <c r="L183" s="464">
        <f t="shared" si="137"/>
        <v>8.6324614141414138</v>
      </c>
      <c r="M183" s="77">
        <f t="shared" si="122"/>
        <v>0</v>
      </c>
      <c r="N183" s="463">
        <f t="shared" si="138"/>
        <v>10.492028652575053</v>
      </c>
      <c r="O183" s="463">
        <f t="shared" si="139"/>
        <v>0.79624524627752769</v>
      </c>
      <c r="P183">
        <f t="shared" si="123"/>
        <v>0.4</v>
      </c>
      <c r="Q183" s="463">
        <f t="shared" si="132"/>
        <v>1.1962452462775277</v>
      </c>
      <c r="R183" s="9">
        <f t="shared" si="140"/>
        <v>1.0435828891160903</v>
      </c>
      <c r="S183" s="9">
        <f t="shared" si="141"/>
        <v>2.1781304929117721E-3</v>
      </c>
      <c r="T183" s="9">
        <f t="shared" si="142"/>
        <v>2.1781304929117721E-3</v>
      </c>
      <c r="U183" s="463">
        <f t="shared" si="143"/>
        <v>6.8485118024778924</v>
      </c>
      <c r="V183" s="465">
        <f t="shared" si="144"/>
        <v>1.5477697589864068E-2</v>
      </c>
      <c r="W183" s="463">
        <f t="shared" si="145"/>
        <v>1.5477697589864068E-2</v>
      </c>
      <c r="X183" s="463">
        <f t="shared" si="146"/>
        <v>6.8485118024778924</v>
      </c>
      <c r="Y183" s="463">
        <f t="shared" si="147"/>
        <v>0.18760845563471598</v>
      </c>
      <c r="Z183" s="463">
        <f t="shared" si="124"/>
        <v>0.34103396590212998</v>
      </c>
      <c r="AA183" s="463">
        <f t="shared" si="125"/>
        <v>3.0000000000000002E-2</v>
      </c>
      <c r="AB183" s="463">
        <f t="shared" si="126"/>
        <v>0</v>
      </c>
      <c r="AC183" s="463">
        <f t="shared" si="148"/>
        <v>0.56932341010958076</v>
      </c>
      <c r="AD183" s="463">
        <f t="shared" si="149"/>
        <v>7.948619461125114</v>
      </c>
      <c r="AE183" s="463">
        <f t="shared" si="150"/>
        <v>0.25272220535110762</v>
      </c>
      <c r="AF183" s="463">
        <f t="shared" si="127"/>
        <v>0.15659999999999999</v>
      </c>
      <c r="AG183" s="463">
        <f t="shared" si="151"/>
        <v>0.41993489256643463</v>
      </c>
      <c r="AH183" s="463">
        <f t="shared" si="152"/>
        <v>0</v>
      </c>
      <c r="AI183">
        <f t="shared" si="128"/>
        <v>0</v>
      </c>
      <c r="AJ183" s="464">
        <f t="shared" si="129"/>
        <v>0.11958240000000001</v>
      </c>
      <c r="AK183">
        <f t="shared" si="133"/>
        <v>3.6000000000000004E-2</v>
      </c>
      <c r="AL183" s="464">
        <f t="shared" si="134"/>
        <v>0.27</v>
      </c>
      <c r="AM183" s="464">
        <f t="shared" si="135"/>
        <v>0.17963774597495527</v>
      </c>
      <c r="AN183" s="464">
        <f t="shared" si="153"/>
        <v>0.30600000000000005</v>
      </c>
      <c r="AO183" s="464">
        <f t="shared" si="154"/>
        <v>2.6287417770363191</v>
      </c>
      <c r="AP183" s="100">
        <f t="shared" si="130"/>
        <v>52.199999999999996</v>
      </c>
      <c r="AQ183" s="10">
        <f t="shared" si="155"/>
        <v>0.95205540576279823</v>
      </c>
      <c r="AR183" s="77">
        <f t="shared" si="156"/>
        <v>14.233085252739519</v>
      </c>
      <c r="AS183" s="77">
        <f t="shared" si="157"/>
        <v>10.498372314160866</v>
      </c>
      <c r="AT183" s="10"/>
      <c r="AU183">
        <f t="shared" si="158"/>
        <v>95.20554057627983</v>
      </c>
    </row>
    <row r="184" spans="7:47" x14ac:dyDescent="0.15">
      <c r="G184">
        <v>175</v>
      </c>
      <c r="H184">
        <f t="shared" si="120"/>
        <v>10.5</v>
      </c>
      <c r="I184" s="463">
        <f t="shared" si="136"/>
        <v>0.42611666666666664</v>
      </c>
      <c r="J184" s="464">
        <f t="shared" si="121"/>
        <v>3.6155353535353534</v>
      </c>
      <c r="K184" s="464">
        <f t="shared" si="131"/>
        <v>12.307767676767677</v>
      </c>
      <c r="L184" s="464">
        <f t="shared" si="137"/>
        <v>8.6922323232323233</v>
      </c>
      <c r="M184" s="77">
        <f t="shared" si="122"/>
        <v>0</v>
      </c>
      <c r="N184" s="463">
        <f t="shared" si="138"/>
        <v>10.551745889870011</v>
      </c>
      <c r="O184" s="463">
        <f t="shared" si="139"/>
        <v>0.80592103091313205</v>
      </c>
      <c r="P184">
        <f t="shared" si="123"/>
        <v>0.4</v>
      </c>
      <c r="Q184" s="463">
        <f t="shared" si="132"/>
        <v>1.2059210309131321</v>
      </c>
      <c r="R184" s="9">
        <f t="shared" si="140"/>
        <v>1.0437151548141226</v>
      </c>
      <c r="S184" s="9">
        <f t="shared" si="141"/>
        <v>2.1786826487773356E-3</v>
      </c>
      <c r="T184" s="9">
        <f t="shared" si="142"/>
        <v>2.1786826487773356E-3</v>
      </c>
      <c r="U184" s="463">
        <f t="shared" si="143"/>
        <v>6.8879277721249919</v>
      </c>
      <c r="V184" s="465">
        <f t="shared" si="144"/>
        <v>1.5656371168023549E-2</v>
      </c>
      <c r="W184" s="463">
        <f t="shared" si="145"/>
        <v>1.5656371168023549E-2</v>
      </c>
      <c r="X184" s="463">
        <f t="shared" si="146"/>
        <v>6.8879277721249919</v>
      </c>
      <c r="Y184" s="463">
        <f t="shared" si="147"/>
        <v>0.18977419597604303</v>
      </c>
      <c r="Z184" s="463">
        <f t="shared" si="124"/>
        <v>0.34285977987421384</v>
      </c>
      <c r="AA184" s="463">
        <f t="shared" si="125"/>
        <v>3.0000000000000002E-2</v>
      </c>
      <c r="AB184" s="463">
        <f t="shared" si="126"/>
        <v>0</v>
      </c>
      <c r="AC184" s="463">
        <f t="shared" si="148"/>
        <v>0.57351786502149193</v>
      </c>
      <c r="AD184" s="463">
        <f t="shared" si="149"/>
        <v>7.9934843673067828</v>
      </c>
      <c r="AE184" s="463">
        <f t="shared" si="150"/>
        <v>0.25558316932151165</v>
      </c>
      <c r="AF184" s="463">
        <f t="shared" si="127"/>
        <v>0.1575</v>
      </c>
      <c r="AG184" s="463">
        <f t="shared" si="151"/>
        <v>0.42391779467088886</v>
      </c>
      <c r="AH184" s="463">
        <f t="shared" si="152"/>
        <v>0</v>
      </c>
      <c r="AI184">
        <f t="shared" si="128"/>
        <v>0</v>
      </c>
      <c r="AJ184" s="464">
        <f t="shared" si="129"/>
        <v>0.11958000000000001</v>
      </c>
      <c r="AK184">
        <f t="shared" si="133"/>
        <v>3.6000000000000004E-2</v>
      </c>
      <c r="AL184" s="464">
        <f t="shared" si="134"/>
        <v>0.27</v>
      </c>
      <c r="AM184" s="464">
        <f t="shared" si="135"/>
        <v>0.17963774597495527</v>
      </c>
      <c r="AN184" s="464">
        <f t="shared" si="153"/>
        <v>0.30600000000000005</v>
      </c>
      <c r="AO184" s="464">
        <f t="shared" si="154"/>
        <v>2.6467717444223138</v>
      </c>
      <c r="AP184" s="100">
        <f t="shared" si="130"/>
        <v>52.5</v>
      </c>
      <c r="AQ184" s="10">
        <f t="shared" si="155"/>
        <v>0.95200495585328582</v>
      </c>
      <c r="AR184" s="77">
        <f t="shared" si="156"/>
        <v>14.337946625537299</v>
      </c>
      <c r="AS184" s="77">
        <f t="shared" si="157"/>
        <v>10.597944866772222</v>
      </c>
      <c r="AT184" s="10"/>
      <c r="AU184">
        <f t="shared" si="158"/>
        <v>95.200495585328582</v>
      </c>
    </row>
    <row r="185" spans="7:47" x14ac:dyDescent="0.15">
      <c r="G185">
        <v>176</v>
      </c>
      <c r="H185">
        <f t="shared" si="120"/>
        <v>10.56</v>
      </c>
      <c r="I185" s="463">
        <f t="shared" si="136"/>
        <v>0.42617066666666664</v>
      </c>
      <c r="J185" s="464">
        <f t="shared" si="121"/>
        <v>3.6159935353535353</v>
      </c>
      <c r="K185" s="464">
        <f t="shared" si="131"/>
        <v>12.367996767676768</v>
      </c>
      <c r="L185" s="464">
        <f t="shared" si="137"/>
        <v>8.7520032323232329</v>
      </c>
      <c r="M185" s="77">
        <f t="shared" si="122"/>
        <v>0</v>
      </c>
      <c r="N185" s="463">
        <f t="shared" si="138"/>
        <v>10.611466318907576</v>
      </c>
      <c r="O185" s="463">
        <f t="shared" si="139"/>
        <v>0.81566646621110062</v>
      </c>
      <c r="P185">
        <f t="shared" si="123"/>
        <v>0.4</v>
      </c>
      <c r="Q185" s="463">
        <f t="shared" si="132"/>
        <v>1.2156664662111005</v>
      </c>
      <c r="R185" s="9">
        <f t="shared" si="140"/>
        <v>1.0438474205121551</v>
      </c>
      <c r="S185" s="9">
        <f t="shared" si="141"/>
        <v>2.1792348746197598E-3</v>
      </c>
      <c r="T185" s="9">
        <f t="shared" si="142"/>
        <v>2.1792348746197598E-3</v>
      </c>
      <c r="U185" s="463">
        <f t="shared" si="143"/>
        <v>6.9273507377690917</v>
      </c>
      <c r="V185" s="465">
        <f t="shared" si="144"/>
        <v>1.5836102120543094E-2</v>
      </c>
      <c r="W185" s="463">
        <f t="shared" si="145"/>
        <v>1.5836102120543094E-2</v>
      </c>
      <c r="X185" s="463">
        <f t="shared" si="146"/>
        <v>6.9273507377690917</v>
      </c>
      <c r="Y185" s="463">
        <f t="shared" si="147"/>
        <v>0.19195275297627992</v>
      </c>
      <c r="Z185" s="463">
        <f t="shared" si="124"/>
        <v>0.34468559384629771</v>
      </c>
      <c r="AA185" s="463">
        <f t="shared" si="125"/>
        <v>3.0000000000000002E-2</v>
      </c>
      <c r="AB185" s="463">
        <f t="shared" si="126"/>
        <v>0</v>
      </c>
      <c r="AC185" s="463">
        <f t="shared" si="148"/>
        <v>0.57772799472853853</v>
      </c>
      <c r="AD185" s="463">
        <f t="shared" si="149"/>
        <v>8.0383474168040241</v>
      </c>
      <c r="AE185" s="463">
        <f t="shared" si="150"/>
        <v>0.25846011677295977</v>
      </c>
      <c r="AF185" s="463">
        <f t="shared" si="127"/>
        <v>0.15840000000000001</v>
      </c>
      <c r="AG185" s="463">
        <f t="shared" si="151"/>
        <v>0.42792014585980237</v>
      </c>
      <c r="AH185" s="463">
        <f t="shared" si="152"/>
        <v>0</v>
      </c>
      <c r="AI185">
        <f t="shared" si="128"/>
        <v>0</v>
      </c>
      <c r="AJ185" s="464">
        <f t="shared" si="129"/>
        <v>0.11957760000000001</v>
      </c>
      <c r="AK185">
        <f t="shared" si="133"/>
        <v>3.6000000000000004E-2</v>
      </c>
      <c r="AL185" s="464">
        <f t="shared" si="134"/>
        <v>0.27</v>
      </c>
      <c r="AM185" s="464">
        <f t="shared" si="135"/>
        <v>0.17963774597495527</v>
      </c>
      <c r="AN185" s="464">
        <f t="shared" si="153"/>
        <v>0.30600000000000005</v>
      </c>
      <c r="AO185" s="464">
        <f t="shared" si="154"/>
        <v>2.6649075437946044</v>
      </c>
      <c r="AP185" s="100">
        <f t="shared" si="130"/>
        <v>52.800000000000004</v>
      </c>
      <c r="AQ185" s="10">
        <f t="shared" si="155"/>
        <v>0.95195326807873215</v>
      </c>
      <c r="AR185" s="77">
        <f t="shared" si="156"/>
        <v>14.443199868213464</v>
      </c>
      <c r="AS185" s="77">
        <f t="shared" si="157"/>
        <v>10.69800364649506</v>
      </c>
      <c r="AT185" s="10"/>
      <c r="AU185">
        <f t="shared" si="158"/>
        <v>95.195326807873215</v>
      </c>
    </row>
    <row r="186" spans="7:47" x14ac:dyDescent="0.15">
      <c r="G186">
        <v>177</v>
      </c>
      <c r="H186">
        <f t="shared" si="120"/>
        <v>10.620000000000001</v>
      </c>
      <c r="I186" s="463">
        <f t="shared" si="136"/>
        <v>0.4262246666666667</v>
      </c>
      <c r="J186" s="464">
        <f t="shared" si="121"/>
        <v>3.6164517171717177</v>
      </c>
      <c r="K186" s="464">
        <f t="shared" si="131"/>
        <v>12.42822585858586</v>
      </c>
      <c r="L186" s="464">
        <f t="shared" si="137"/>
        <v>8.8117741414141424</v>
      </c>
      <c r="M186" s="77">
        <f t="shared" si="122"/>
        <v>0</v>
      </c>
      <c r="N186" s="463">
        <f t="shared" si="138"/>
        <v>10.671189886100779</v>
      </c>
      <c r="O186" s="463">
        <f t="shared" si="139"/>
        <v>0.82548182739909737</v>
      </c>
      <c r="P186">
        <f t="shared" si="123"/>
        <v>0.4</v>
      </c>
      <c r="Q186" s="463">
        <f t="shared" si="132"/>
        <v>1.2254818273990975</v>
      </c>
      <c r="R186" s="9">
        <f t="shared" si="140"/>
        <v>1.0439796862101878</v>
      </c>
      <c r="S186" s="9">
        <f t="shared" si="141"/>
        <v>2.1797871704390443E-3</v>
      </c>
      <c r="T186" s="9">
        <f t="shared" si="142"/>
        <v>2.1797871704390443E-3</v>
      </c>
      <c r="U186" s="463">
        <f t="shared" si="143"/>
        <v>6.9667806643572714</v>
      </c>
      <c r="V186" s="465">
        <f t="shared" si="144"/>
        <v>1.6016890832336574E-2</v>
      </c>
      <c r="W186" s="463">
        <f t="shared" si="145"/>
        <v>1.6016890832336574E-2</v>
      </c>
      <c r="X186" s="463">
        <f t="shared" si="146"/>
        <v>6.9667806643572714</v>
      </c>
      <c r="Y186" s="463">
        <f t="shared" si="147"/>
        <v>0.19414413130104938</v>
      </c>
      <c r="Z186" s="463">
        <f t="shared" si="124"/>
        <v>0.34651140781838163</v>
      </c>
      <c r="AA186" s="463">
        <f t="shared" si="125"/>
        <v>3.0000000000000002E-2</v>
      </c>
      <c r="AB186" s="463">
        <f t="shared" si="126"/>
        <v>0</v>
      </c>
      <c r="AC186" s="463">
        <f t="shared" si="148"/>
        <v>0.58195383122141087</v>
      </c>
      <c r="AD186" s="463">
        <f t="shared" si="149"/>
        <v>8.0832085683815684</v>
      </c>
      <c r="AE186" s="463">
        <f t="shared" si="150"/>
        <v>0.26135304303982881</v>
      </c>
      <c r="AF186" s="463">
        <f t="shared" si="127"/>
        <v>0.1593</v>
      </c>
      <c r="AG186" s="463">
        <f t="shared" si="151"/>
        <v>0.43194197807857676</v>
      </c>
      <c r="AH186" s="463">
        <f t="shared" si="152"/>
        <v>0</v>
      </c>
      <c r="AI186">
        <f t="shared" si="128"/>
        <v>0</v>
      </c>
      <c r="AJ186" s="464">
        <f t="shared" si="129"/>
        <v>0.11957520000000001</v>
      </c>
      <c r="AK186">
        <f t="shared" si="133"/>
        <v>3.6000000000000004E-2</v>
      </c>
      <c r="AL186" s="464">
        <f t="shared" si="134"/>
        <v>0.27</v>
      </c>
      <c r="AM186" s="464">
        <f t="shared" si="135"/>
        <v>0.17963774597495527</v>
      </c>
      <c r="AN186" s="464">
        <f t="shared" si="153"/>
        <v>0.30600000000000005</v>
      </c>
      <c r="AO186" s="464">
        <f t="shared" si="154"/>
        <v>2.6831495147018609</v>
      </c>
      <c r="AP186" s="100">
        <f t="shared" si="130"/>
        <v>53.100000000000009</v>
      </c>
      <c r="AQ186" s="10">
        <f t="shared" si="155"/>
        <v>0.95190035811809615</v>
      </c>
      <c r="AR186" s="77">
        <f t="shared" si="156"/>
        <v>14.548845780535272</v>
      </c>
      <c r="AS186" s="77">
        <f t="shared" si="157"/>
        <v>10.798549451964419</v>
      </c>
      <c r="AT186" s="10"/>
      <c r="AU186">
        <f t="shared" si="158"/>
        <v>95.190035811809608</v>
      </c>
    </row>
    <row r="187" spans="7:47" x14ac:dyDescent="0.15">
      <c r="G187">
        <v>178</v>
      </c>
      <c r="H187">
        <f t="shared" si="120"/>
        <v>10.68</v>
      </c>
      <c r="I187" s="463">
        <f t="shared" si="136"/>
        <v>0.42627866666666669</v>
      </c>
      <c r="J187" s="464">
        <f t="shared" si="121"/>
        <v>3.6169098989898996</v>
      </c>
      <c r="K187" s="464">
        <f t="shared" si="131"/>
        <v>12.488454949494949</v>
      </c>
      <c r="L187" s="464">
        <f t="shared" si="137"/>
        <v>8.8715450505050502</v>
      </c>
      <c r="M187" s="77">
        <f t="shared" si="122"/>
        <v>0</v>
      </c>
      <c r="N187" s="463">
        <f t="shared" si="138"/>
        <v>10.730916539052831</v>
      </c>
      <c r="O187" s="463">
        <f t="shared" si="139"/>
        <v>0.83536739226774603</v>
      </c>
      <c r="P187">
        <f t="shared" si="123"/>
        <v>0.4</v>
      </c>
      <c r="Q187" s="463">
        <f t="shared" si="132"/>
        <v>1.2353673922677459</v>
      </c>
      <c r="R187" s="9">
        <f t="shared" si="140"/>
        <v>1.0441119519082205</v>
      </c>
      <c r="S187" s="9">
        <f t="shared" si="141"/>
        <v>2.1803395362351885E-3</v>
      </c>
      <c r="T187" s="9">
        <f t="shared" si="142"/>
        <v>2.1803395362351885E-3</v>
      </c>
      <c r="U187" s="463">
        <f t="shared" si="143"/>
        <v>7.0062175176048802</v>
      </c>
      <c r="V187" s="465">
        <f t="shared" si="144"/>
        <v>1.6198737688317852E-2</v>
      </c>
      <c r="W187" s="463">
        <f t="shared" si="145"/>
        <v>1.6198737688317852E-2</v>
      </c>
      <c r="X187" s="463">
        <f t="shared" si="146"/>
        <v>7.0062175176048802</v>
      </c>
      <c r="Y187" s="463">
        <f t="shared" si="147"/>
        <v>0.19634833561597395</v>
      </c>
      <c r="Z187" s="463">
        <f t="shared" si="124"/>
        <v>0.34833722179046556</v>
      </c>
      <c r="AA187" s="463">
        <f t="shared" si="125"/>
        <v>3.0000000000000002E-2</v>
      </c>
      <c r="AB187" s="463">
        <f t="shared" si="126"/>
        <v>0</v>
      </c>
      <c r="AC187" s="463">
        <f t="shared" si="148"/>
        <v>0.58619540665059688</v>
      </c>
      <c r="AD187" s="463">
        <f t="shared" si="149"/>
        <v>8.1280677817131988</v>
      </c>
      <c r="AE187" s="463">
        <f t="shared" si="150"/>
        <v>0.26426194345649645</v>
      </c>
      <c r="AF187" s="463">
        <f t="shared" si="127"/>
        <v>0.16019999999999998</v>
      </c>
      <c r="AG187" s="463">
        <f t="shared" si="151"/>
        <v>0.43598332349462771</v>
      </c>
      <c r="AH187" s="463">
        <f t="shared" si="152"/>
        <v>0</v>
      </c>
      <c r="AI187">
        <f t="shared" si="128"/>
        <v>0</v>
      </c>
      <c r="AJ187" s="464">
        <f t="shared" si="129"/>
        <v>0.11957280000000001</v>
      </c>
      <c r="AK187">
        <f t="shared" si="133"/>
        <v>3.6000000000000004E-2</v>
      </c>
      <c r="AL187" s="464">
        <f t="shared" si="134"/>
        <v>0.27</v>
      </c>
      <c r="AM187" s="464">
        <f t="shared" si="135"/>
        <v>0.17963774597495527</v>
      </c>
      <c r="AN187" s="464">
        <f t="shared" si="153"/>
        <v>0.30600000000000005</v>
      </c>
      <c r="AO187" s="464">
        <f t="shared" si="154"/>
        <v>2.7014979996375237</v>
      </c>
      <c r="AP187" s="100">
        <f t="shared" si="130"/>
        <v>53.4</v>
      </c>
      <c r="AQ187" s="10">
        <f t="shared" si="155"/>
        <v>0.95184624125981487</v>
      </c>
      <c r="AR187" s="77">
        <f t="shared" si="156"/>
        <v>14.654885166264922</v>
      </c>
      <c r="AS187" s="77">
        <f t="shared" si="157"/>
        <v>10.899583087365693</v>
      </c>
      <c r="AT187" s="10"/>
      <c r="AU187">
        <f t="shared" si="158"/>
        <v>95.184624125981486</v>
      </c>
    </row>
    <row r="188" spans="7:47" x14ac:dyDescent="0.15">
      <c r="G188">
        <v>179</v>
      </c>
      <c r="H188">
        <f t="shared" si="120"/>
        <v>10.74</v>
      </c>
      <c r="I188" s="463">
        <f t="shared" si="136"/>
        <v>0.42633266666666669</v>
      </c>
      <c r="J188" s="464">
        <f t="shared" si="121"/>
        <v>3.617368080808081</v>
      </c>
      <c r="K188" s="464">
        <f t="shared" si="131"/>
        <v>12.548684040404041</v>
      </c>
      <c r="L188" s="464">
        <f t="shared" si="137"/>
        <v>8.9313159595959597</v>
      </c>
      <c r="M188" s="77">
        <f t="shared" si="122"/>
        <v>0</v>
      </c>
      <c r="N188" s="463">
        <f t="shared" si="138"/>
        <v>10.790646226524345</v>
      </c>
      <c r="O188" s="463">
        <f t="shared" si="139"/>
        <v>0.84532344119170644</v>
      </c>
      <c r="P188">
        <f t="shared" si="123"/>
        <v>0.4</v>
      </c>
      <c r="Q188" s="463">
        <f t="shared" si="132"/>
        <v>1.2453234411917065</v>
      </c>
      <c r="R188" s="9">
        <f t="shared" si="140"/>
        <v>1.0442442176062527</v>
      </c>
      <c r="S188" s="9">
        <f t="shared" si="141"/>
        <v>2.18089197200819E-3</v>
      </c>
      <c r="T188" s="9">
        <f t="shared" si="142"/>
        <v>2.18089197200819E-3</v>
      </c>
      <c r="U188" s="463">
        <f t="shared" si="143"/>
        <v>7.045661263974381</v>
      </c>
      <c r="V188" s="465">
        <f t="shared" si="144"/>
        <v>1.6381643073400794E-2</v>
      </c>
      <c r="W188" s="463">
        <f t="shared" si="145"/>
        <v>1.6381643073400794E-2</v>
      </c>
      <c r="X188" s="463">
        <f t="shared" si="146"/>
        <v>7.045661263974381</v>
      </c>
      <c r="Y188" s="463">
        <f t="shared" si="147"/>
        <v>0.19856537058667631</v>
      </c>
      <c r="Z188" s="463">
        <f t="shared" si="124"/>
        <v>0.35016303576254942</v>
      </c>
      <c r="AA188" s="463">
        <f t="shared" si="125"/>
        <v>3.0000000000000002E-2</v>
      </c>
      <c r="AB188" s="463">
        <f t="shared" si="126"/>
        <v>0</v>
      </c>
      <c r="AC188" s="463">
        <f t="shared" si="148"/>
        <v>0.59045275332705682</v>
      </c>
      <c r="AD188" s="463">
        <f t="shared" si="149"/>
        <v>8.1729250173566985</v>
      </c>
      <c r="AE188" s="463">
        <f t="shared" si="150"/>
        <v>0.26718681335734001</v>
      </c>
      <c r="AF188" s="463">
        <f t="shared" si="127"/>
        <v>0.16109999999999999</v>
      </c>
      <c r="AG188" s="463">
        <f t="shared" si="151"/>
        <v>0.4400442144981494</v>
      </c>
      <c r="AH188" s="463">
        <f t="shared" si="152"/>
        <v>0</v>
      </c>
      <c r="AI188">
        <f t="shared" si="128"/>
        <v>0</v>
      </c>
      <c r="AJ188" s="464">
        <f t="shared" si="129"/>
        <v>0.11957039999999999</v>
      </c>
      <c r="AK188">
        <f t="shared" si="133"/>
        <v>3.6000000000000004E-2</v>
      </c>
      <c r="AL188" s="464">
        <f t="shared" si="134"/>
        <v>0.27</v>
      </c>
      <c r="AM188" s="464">
        <f t="shared" si="135"/>
        <v>0.17963774597495527</v>
      </c>
      <c r="AN188" s="464">
        <f t="shared" si="153"/>
        <v>0.30600000000000005</v>
      </c>
      <c r="AO188" s="464">
        <f t="shared" si="154"/>
        <v>2.7199533440623216</v>
      </c>
      <c r="AP188" s="100">
        <f t="shared" si="130"/>
        <v>53.7</v>
      </c>
      <c r="AQ188" s="10">
        <f t="shared" si="155"/>
        <v>0.95179093241223733</v>
      </c>
      <c r="AR188" s="77">
        <f t="shared" si="156"/>
        <v>14.761318833176421</v>
      </c>
      <c r="AS188" s="77">
        <f t="shared" si="157"/>
        <v>11.001105362453735</v>
      </c>
      <c r="AT188" s="10"/>
      <c r="AU188">
        <f t="shared" si="158"/>
        <v>95.17909324122374</v>
      </c>
    </row>
    <row r="189" spans="7:47" x14ac:dyDescent="0.15">
      <c r="G189">
        <v>180</v>
      </c>
      <c r="H189">
        <f t="shared" si="120"/>
        <v>10.8</v>
      </c>
      <c r="I189" s="463">
        <f t="shared" si="136"/>
        <v>0.42638666666666664</v>
      </c>
      <c r="J189" s="464">
        <f t="shared" si="121"/>
        <v>3.6178262626262625</v>
      </c>
      <c r="K189" s="464">
        <f t="shared" si="131"/>
        <v>12.608913131313132</v>
      </c>
      <c r="L189" s="464">
        <f t="shared" si="137"/>
        <v>8.9910868686868692</v>
      </c>
      <c r="M189" s="77">
        <f t="shared" si="122"/>
        <v>0</v>
      </c>
      <c r="N189" s="463">
        <f t="shared" si="138"/>
        <v>10.850378898401615</v>
      </c>
      <c r="O189" s="463">
        <f t="shared" si="139"/>
        <v>0.85535025715100743</v>
      </c>
      <c r="P189">
        <f t="shared" si="123"/>
        <v>0.4</v>
      </c>
      <c r="Q189" s="463">
        <f t="shared" si="132"/>
        <v>1.2553502571510076</v>
      </c>
      <c r="R189" s="9">
        <f t="shared" si="140"/>
        <v>1.0443764833042852</v>
      </c>
      <c r="S189" s="9">
        <f t="shared" si="141"/>
        <v>2.1814444777580517E-3</v>
      </c>
      <c r="T189" s="9">
        <f t="shared" si="142"/>
        <v>2.1814444777580517E-3</v>
      </c>
      <c r="U189" s="463">
        <f t="shared" si="143"/>
        <v>7.0851118706548908</v>
      </c>
      <c r="V189" s="465">
        <f t="shared" si="144"/>
        <v>1.6565607372499298E-2</v>
      </c>
      <c r="W189" s="463">
        <f t="shared" si="145"/>
        <v>1.6565607372499298E-2</v>
      </c>
      <c r="X189" s="463">
        <f t="shared" si="146"/>
        <v>7.0851118706548908</v>
      </c>
      <c r="Y189" s="463">
        <f t="shared" si="147"/>
        <v>0.2007952408787794</v>
      </c>
      <c r="Z189" s="463">
        <f t="shared" si="124"/>
        <v>0.35198884973463335</v>
      </c>
      <c r="AA189" s="463">
        <f t="shared" si="125"/>
        <v>3.0000000000000002E-2</v>
      </c>
      <c r="AB189" s="463">
        <f t="shared" si="126"/>
        <v>0</v>
      </c>
      <c r="AC189" s="463">
        <f t="shared" si="148"/>
        <v>0.59472590372290168</v>
      </c>
      <c r="AD189" s="463">
        <f t="shared" si="149"/>
        <v>8.2177802367296362</v>
      </c>
      <c r="AE189" s="463">
        <f t="shared" si="150"/>
        <v>0.27012764807673678</v>
      </c>
      <c r="AF189" s="463">
        <f t="shared" si="127"/>
        <v>0.16200000000000001</v>
      </c>
      <c r="AG189" s="463">
        <f t="shared" si="151"/>
        <v>0.44412468370288527</v>
      </c>
      <c r="AH189" s="463">
        <f t="shared" si="152"/>
        <v>0</v>
      </c>
      <c r="AI189">
        <f t="shared" si="128"/>
        <v>0</v>
      </c>
      <c r="AJ189" s="464">
        <f t="shared" si="129"/>
        <v>0.11956799999999999</v>
      </c>
      <c r="AK189">
        <f t="shared" si="133"/>
        <v>3.6000000000000004E-2</v>
      </c>
      <c r="AL189" s="464">
        <f t="shared" si="134"/>
        <v>0.27</v>
      </c>
      <c r="AM189" s="464">
        <f t="shared" si="135"/>
        <v>0.17963774597495527</v>
      </c>
      <c r="AN189" s="464">
        <f t="shared" si="153"/>
        <v>0.30600000000000005</v>
      </c>
      <c r="AO189" s="464">
        <f t="shared" si="154"/>
        <v>2.7385158964270517</v>
      </c>
      <c r="AP189" s="100">
        <f t="shared" si="130"/>
        <v>54</v>
      </c>
      <c r="AQ189" s="10">
        <f t="shared" si="155"/>
        <v>0.95173444611371116</v>
      </c>
      <c r="AR189" s="77">
        <f t="shared" si="156"/>
        <v>14.868147593072543</v>
      </c>
      <c r="AS189" s="77">
        <f t="shared" si="157"/>
        <v>11.103117092572132</v>
      </c>
      <c r="AT189" s="10"/>
      <c r="AU189">
        <f t="shared" si="158"/>
        <v>95.17344461137111</v>
      </c>
    </row>
    <row r="190" spans="7:47" x14ac:dyDescent="0.15">
      <c r="G190">
        <v>181</v>
      </c>
      <c r="H190">
        <f t="shared" si="120"/>
        <v>10.86</v>
      </c>
      <c r="I190" s="463">
        <f t="shared" si="136"/>
        <v>0.42644066666666669</v>
      </c>
      <c r="J190" s="464">
        <f t="shared" si="121"/>
        <v>3.6182844444444449</v>
      </c>
      <c r="K190" s="464">
        <f t="shared" si="131"/>
        <v>12.669142222222222</v>
      </c>
      <c r="L190" s="464">
        <f t="shared" si="137"/>
        <v>9.050857777777777</v>
      </c>
      <c r="M190" s="77">
        <f t="shared" si="122"/>
        <v>0</v>
      </c>
      <c r="N190" s="463">
        <f t="shared" si="138"/>
        <v>10.910114505665941</v>
      </c>
      <c r="O190" s="463">
        <f t="shared" si="139"/>
        <v>0.86544812575263608</v>
      </c>
      <c r="P190">
        <f t="shared" si="123"/>
        <v>0.4</v>
      </c>
      <c r="Q190" s="463">
        <f t="shared" si="132"/>
        <v>1.265448125752636</v>
      </c>
      <c r="R190" s="9">
        <f t="shared" si="140"/>
        <v>1.0445087490023179</v>
      </c>
      <c r="S190" s="9">
        <f t="shared" si="141"/>
        <v>2.1819970534847745E-3</v>
      </c>
      <c r="T190" s="9">
        <f t="shared" si="142"/>
        <v>2.1819970534847745E-3</v>
      </c>
      <c r="U190" s="463">
        <f t="shared" si="143"/>
        <v>7.1245693055423622</v>
      </c>
      <c r="V190" s="465">
        <f t="shared" si="144"/>
        <v>1.6750630970527203E-2</v>
      </c>
      <c r="W190" s="463">
        <f t="shared" si="145"/>
        <v>1.6750630970527203E-2</v>
      </c>
      <c r="X190" s="463">
        <f t="shared" si="146"/>
        <v>7.1245693055423622</v>
      </c>
      <c r="Y190" s="463">
        <f t="shared" si="147"/>
        <v>0.20303795115790549</v>
      </c>
      <c r="Z190" s="463">
        <f t="shared" si="124"/>
        <v>0.35381466370671721</v>
      </c>
      <c r="AA190" s="463">
        <f t="shared" si="125"/>
        <v>3.0000000000000002E-2</v>
      </c>
      <c r="AB190" s="463">
        <f t="shared" si="126"/>
        <v>0</v>
      </c>
      <c r="AC190" s="463">
        <f t="shared" si="148"/>
        <v>0.59901489047207546</v>
      </c>
      <c r="AD190" s="463">
        <f t="shared" si="149"/>
        <v>8.2626334020859229</v>
      </c>
      <c r="AE190" s="463">
        <f t="shared" si="150"/>
        <v>0.27308444294906392</v>
      </c>
      <c r="AF190" s="463">
        <f t="shared" si="127"/>
        <v>0.16289999999999999</v>
      </c>
      <c r="AG190" s="463">
        <f t="shared" si="151"/>
        <v>0.44822476394690558</v>
      </c>
      <c r="AH190" s="463">
        <f t="shared" si="152"/>
        <v>0</v>
      </c>
      <c r="AI190">
        <f t="shared" si="128"/>
        <v>0</v>
      </c>
      <c r="AJ190" s="464">
        <f t="shared" si="129"/>
        <v>0.11956559999999999</v>
      </c>
      <c r="AK190">
        <f t="shared" si="133"/>
        <v>3.6000000000000004E-2</v>
      </c>
      <c r="AL190" s="464">
        <f t="shared" si="134"/>
        <v>0.27</v>
      </c>
      <c r="AM190" s="464">
        <f t="shared" si="135"/>
        <v>0.17963774597495527</v>
      </c>
      <c r="AN190" s="464">
        <f t="shared" si="153"/>
        <v>0.30600000000000005</v>
      </c>
      <c r="AO190" s="464">
        <f t="shared" si="154"/>
        <v>2.757186008195629</v>
      </c>
      <c r="AP190" s="100">
        <f t="shared" si="130"/>
        <v>54.3</v>
      </c>
      <c r="AQ190" s="10">
        <f t="shared" si="155"/>
        <v>0.95167679654233928</v>
      </c>
      <c r="AR190" s="77">
        <f t="shared" si="156"/>
        <v>14.975372261801887</v>
      </c>
      <c r="AS190" s="77">
        <f t="shared" si="157"/>
        <v>11.20561909867264</v>
      </c>
      <c r="AT190" s="10"/>
      <c r="AU190">
        <f t="shared" si="158"/>
        <v>95.167679654233922</v>
      </c>
    </row>
    <row r="191" spans="7:47" x14ac:dyDescent="0.15">
      <c r="G191">
        <v>182</v>
      </c>
      <c r="H191">
        <f t="shared" si="120"/>
        <v>10.92</v>
      </c>
      <c r="I191" s="463">
        <f t="shared" si="136"/>
        <v>0.42649466666666669</v>
      </c>
      <c r="J191" s="464">
        <f t="shared" si="121"/>
        <v>3.6187426262626268</v>
      </c>
      <c r="K191" s="464">
        <f t="shared" si="131"/>
        <v>12.729371313131313</v>
      </c>
      <c r="L191" s="464">
        <f t="shared" si="137"/>
        <v>9.1106286868686865</v>
      </c>
      <c r="M191" s="77">
        <f t="shared" si="122"/>
        <v>0</v>
      </c>
      <c r="N191" s="463">
        <f t="shared" si="138"/>
        <v>10.96985300036396</v>
      </c>
      <c r="O191" s="463">
        <f t="shared" si="139"/>
        <v>0.87561733525239571</v>
      </c>
      <c r="P191">
        <f t="shared" si="123"/>
        <v>0.4</v>
      </c>
      <c r="Q191" s="463">
        <f t="shared" si="132"/>
        <v>1.2756173352523956</v>
      </c>
      <c r="R191" s="9">
        <f t="shared" si="140"/>
        <v>1.0446410147003504</v>
      </c>
      <c r="S191" s="9">
        <f t="shared" si="141"/>
        <v>2.1825496991883554E-3</v>
      </c>
      <c r="T191" s="9">
        <f t="shared" si="142"/>
        <v>2.1825496991883554E-3</v>
      </c>
      <c r="U191" s="463">
        <f t="shared" si="143"/>
        <v>7.1640335372204529</v>
      </c>
      <c r="V191" s="465">
        <f t="shared" si="144"/>
        <v>1.6936714252398399E-2</v>
      </c>
      <c r="W191" s="463">
        <f t="shared" si="145"/>
        <v>1.6936714252398399E-2</v>
      </c>
      <c r="X191" s="463">
        <f t="shared" si="146"/>
        <v>7.1640335372204529</v>
      </c>
      <c r="Y191" s="463">
        <f t="shared" si="147"/>
        <v>0.20529350608967759</v>
      </c>
      <c r="Z191" s="463">
        <f t="shared" si="124"/>
        <v>0.35564047767880108</v>
      </c>
      <c r="AA191" s="463">
        <f t="shared" si="125"/>
        <v>3.0000000000000002E-2</v>
      </c>
      <c r="AB191" s="463">
        <f t="shared" si="126"/>
        <v>0</v>
      </c>
      <c r="AC191" s="463">
        <f t="shared" si="148"/>
        <v>0.60331974637104335</v>
      </c>
      <c r="AD191" s="463">
        <f t="shared" si="149"/>
        <v>8.3074844764931566</v>
      </c>
      <c r="AE191" s="463">
        <f t="shared" si="150"/>
        <v>0.2760571933086991</v>
      </c>
      <c r="AF191" s="463">
        <f t="shared" si="127"/>
        <v>0.1638</v>
      </c>
      <c r="AG191" s="463">
        <f t="shared" si="151"/>
        <v>0.45234448829339247</v>
      </c>
      <c r="AH191" s="463">
        <f t="shared" si="152"/>
        <v>0</v>
      </c>
      <c r="AI191">
        <f t="shared" si="128"/>
        <v>0</v>
      </c>
      <c r="AJ191" s="464">
        <f t="shared" si="129"/>
        <v>0.11956319999999999</v>
      </c>
      <c r="AK191">
        <f t="shared" si="133"/>
        <v>3.6000000000000004E-2</v>
      </c>
      <c r="AL191" s="464">
        <f t="shared" si="134"/>
        <v>0.27</v>
      </c>
      <c r="AM191" s="464">
        <f t="shared" si="135"/>
        <v>0.17963774597495527</v>
      </c>
      <c r="AN191" s="464">
        <f t="shared" si="153"/>
        <v>0.30600000000000005</v>
      </c>
      <c r="AO191" s="464">
        <f t="shared" si="154"/>
        <v>2.7759640338684184</v>
      </c>
      <c r="AP191" s="100">
        <f t="shared" si="130"/>
        <v>54.6</v>
      </c>
      <c r="AQ191" s="10">
        <f t="shared" si="155"/>
        <v>0.95161799752541332</v>
      </c>
      <c r="AR191" s="77">
        <f t="shared" si="156"/>
        <v>15.082993659276084</v>
      </c>
      <c r="AS191" s="77">
        <f t="shared" si="157"/>
        <v>11.308612207334811</v>
      </c>
      <c r="AT191" s="10"/>
      <c r="AU191">
        <f t="shared" si="158"/>
        <v>95.161799752541327</v>
      </c>
    </row>
    <row r="192" spans="7:47" x14ac:dyDescent="0.15">
      <c r="G192">
        <v>183</v>
      </c>
      <c r="H192">
        <f t="shared" si="120"/>
        <v>10.98</v>
      </c>
      <c r="I192" s="463">
        <f t="shared" si="136"/>
        <v>0.42654866666666669</v>
      </c>
      <c r="J192" s="464">
        <f t="shared" si="121"/>
        <v>3.6192008080808082</v>
      </c>
      <c r="K192" s="464">
        <f t="shared" si="131"/>
        <v>12.789600404040405</v>
      </c>
      <c r="L192" s="464">
        <f t="shared" si="137"/>
        <v>9.1703995959595961</v>
      </c>
      <c r="M192" s="77">
        <f t="shared" si="122"/>
        <v>0</v>
      </c>
      <c r="N192" s="463">
        <f t="shared" si="138"/>
        <v>11.029594335578912</v>
      </c>
      <c r="O192" s="463">
        <f t="shared" si="139"/>
        <v>0.88585817657702193</v>
      </c>
      <c r="P192">
        <f t="shared" si="123"/>
        <v>0.4</v>
      </c>
      <c r="Q192" s="463">
        <f t="shared" si="132"/>
        <v>1.2858581765770221</v>
      </c>
      <c r="R192" s="9">
        <f t="shared" si="140"/>
        <v>1.0447732803983829</v>
      </c>
      <c r="S192" s="9">
        <f t="shared" si="141"/>
        <v>2.1831024148687961E-3</v>
      </c>
      <c r="T192" s="9">
        <f t="shared" si="142"/>
        <v>2.1831024148687961E-3</v>
      </c>
      <c r="U192" s="463">
        <f t="shared" si="143"/>
        <v>7.2035045349419713</v>
      </c>
      <c r="V192" s="465">
        <f t="shared" si="144"/>
        <v>1.7123857603026753E-2</v>
      </c>
      <c r="W192" s="463">
        <f t="shared" si="145"/>
        <v>1.7123857603026753E-2</v>
      </c>
      <c r="X192" s="463">
        <f t="shared" si="146"/>
        <v>7.2035045349419713</v>
      </c>
      <c r="Y192" s="463">
        <f t="shared" si="147"/>
        <v>0.20756191033971819</v>
      </c>
      <c r="Z192" s="463">
        <f t="shared" si="124"/>
        <v>0.35746629165088495</v>
      </c>
      <c r="AA192" s="463">
        <f t="shared" si="125"/>
        <v>3.0000000000000002E-2</v>
      </c>
      <c r="AB192" s="463">
        <f t="shared" si="126"/>
        <v>0</v>
      </c>
      <c r="AC192" s="463">
        <f t="shared" si="148"/>
        <v>0.60764050437948269</v>
      </c>
      <c r="AD192" s="463">
        <f t="shared" si="149"/>
        <v>8.3523334238106699</v>
      </c>
      <c r="AE192" s="463">
        <f t="shared" si="150"/>
        <v>0.27904589449001949</v>
      </c>
      <c r="AF192" s="463">
        <f t="shared" si="127"/>
        <v>0.16470000000000001</v>
      </c>
      <c r="AG192" s="463">
        <f t="shared" si="151"/>
        <v>0.45648389003142992</v>
      </c>
      <c r="AH192" s="463">
        <f t="shared" si="152"/>
        <v>0</v>
      </c>
      <c r="AI192">
        <f t="shared" si="128"/>
        <v>0</v>
      </c>
      <c r="AJ192" s="464">
        <f t="shared" si="129"/>
        <v>0.11956080000000001</v>
      </c>
      <c r="AK192">
        <f t="shared" si="133"/>
        <v>3.6000000000000004E-2</v>
      </c>
      <c r="AL192" s="464">
        <f t="shared" si="134"/>
        <v>0.27</v>
      </c>
      <c r="AM192" s="464">
        <f t="shared" si="135"/>
        <v>0.17963774597495527</v>
      </c>
      <c r="AN192" s="464">
        <f t="shared" si="153"/>
        <v>0.30600000000000005</v>
      </c>
      <c r="AO192" s="464">
        <f t="shared" si="154"/>
        <v>2.7948503310058301</v>
      </c>
      <c r="AP192" s="100">
        <f t="shared" si="130"/>
        <v>54.900000000000006</v>
      </c>
      <c r="AQ192" s="10">
        <f t="shared" si="155"/>
        <v>0.95155806254854169</v>
      </c>
      <c r="AR192" s="77">
        <f t="shared" si="156"/>
        <v>15.191012609487068</v>
      </c>
      <c r="AS192" s="77">
        <f t="shared" si="157"/>
        <v>11.412097250785749</v>
      </c>
      <c r="AT192" s="10"/>
      <c r="AU192">
        <f t="shared" si="158"/>
        <v>95.15580625485417</v>
      </c>
    </row>
    <row r="193" spans="7:47" x14ac:dyDescent="0.15">
      <c r="G193">
        <v>184</v>
      </c>
      <c r="H193">
        <f t="shared" si="120"/>
        <v>11.040000000000001</v>
      </c>
      <c r="I193" s="463">
        <f t="shared" si="136"/>
        <v>0.42660266666666663</v>
      </c>
      <c r="J193" s="464">
        <f t="shared" si="121"/>
        <v>3.6196589898989897</v>
      </c>
      <c r="K193" s="464">
        <f t="shared" si="131"/>
        <v>12.849829494949496</v>
      </c>
      <c r="L193" s="464">
        <f t="shared" si="137"/>
        <v>9.2301705050505056</v>
      </c>
      <c r="M193" s="77">
        <f t="shared" si="122"/>
        <v>0</v>
      </c>
      <c r="N193" s="463">
        <f t="shared" si="138"/>
        <v>11.089338465402843</v>
      </c>
      <c r="O193" s="463">
        <f t="shared" si="139"/>
        <v>0.89617094334657343</v>
      </c>
      <c r="P193">
        <f t="shared" si="123"/>
        <v>0.4</v>
      </c>
      <c r="Q193" s="463">
        <f t="shared" si="132"/>
        <v>1.2961709433465733</v>
      </c>
      <c r="R193" s="9">
        <f t="shared" si="140"/>
        <v>1.0449055460964154</v>
      </c>
      <c r="S193" s="9">
        <f t="shared" si="141"/>
        <v>2.1836552005260962E-3</v>
      </c>
      <c r="T193" s="9">
        <f t="shared" si="142"/>
        <v>2.1836552005260962E-3</v>
      </c>
      <c r="U193" s="463">
        <f t="shared" si="143"/>
        <v>7.2429822686109411</v>
      </c>
      <c r="V193" s="465">
        <f t="shared" si="144"/>
        <v>1.7312061407326124E-2</v>
      </c>
      <c r="W193" s="463">
        <f t="shared" si="145"/>
        <v>1.7312061407326124E-2</v>
      </c>
      <c r="X193" s="463">
        <f t="shared" si="146"/>
        <v>7.2429822686109411</v>
      </c>
      <c r="Y193" s="463">
        <f t="shared" si="147"/>
        <v>0.20984316857364999</v>
      </c>
      <c r="Z193" s="463">
        <f t="shared" si="124"/>
        <v>0.35929210562296893</v>
      </c>
      <c r="AA193" s="463">
        <f t="shared" si="125"/>
        <v>3.0000000000000002E-2</v>
      </c>
      <c r="AB193" s="463">
        <f t="shared" si="126"/>
        <v>0</v>
      </c>
      <c r="AC193" s="463">
        <f t="shared" si="148"/>
        <v>0.61197719762097991</v>
      </c>
      <c r="AD193" s="463">
        <f t="shared" si="149"/>
        <v>8.3971802086682992</v>
      </c>
      <c r="AE193" s="463">
        <f t="shared" si="150"/>
        <v>0.2820505418274023</v>
      </c>
      <c r="AF193" s="463">
        <f t="shared" si="127"/>
        <v>0.1656</v>
      </c>
      <c r="AG193" s="463">
        <f t="shared" si="151"/>
        <v>0.46064300267680158</v>
      </c>
      <c r="AH193" s="463">
        <f t="shared" si="152"/>
        <v>0</v>
      </c>
      <c r="AI193">
        <f t="shared" si="128"/>
        <v>0</v>
      </c>
      <c r="AJ193" s="464">
        <f t="shared" si="129"/>
        <v>0.11955840000000001</v>
      </c>
      <c r="AK193">
        <f t="shared" si="133"/>
        <v>3.6000000000000004E-2</v>
      </c>
      <c r="AL193" s="464">
        <f t="shared" si="134"/>
        <v>0.27</v>
      </c>
      <c r="AM193" s="464">
        <f t="shared" si="135"/>
        <v>0.17963774597495527</v>
      </c>
      <c r="AN193" s="464">
        <f t="shared" si="153"/>
        <v>0.30600000000000005</v>
      </c>
      <c r="AO193" s="464">
        <f t="shared" si="154"/>
        <v>2.813845260252207</v>
      </c>
      <c r="AP193" s="100">
        <f t="shared" si="130"/>
        <v>55.2</v>
      </c>
      <c r="AQ193" s="10">
        <f t="shared" si="155"/>
        <v>0.95149700476447996</v>
      </c>
      <c r="AR193" s="77">
        <f t="shared" si="156"/>
        <v>15.299429940524497</v>
      </c>
      <c r="AS193" s="77">
        <f t="shared" si="157"/>
        <v>11.51607506692004</v>
      </c>
      <c r="AT193" s="10"/>
      <c r="AU193">
        <f t="shared" si="158"/>
        <v>95.14970047644799</v>
      </c>
    </row>
    <row r="194" spans="7:47" x14ac:dyDescent="0.15">
      <c r="G194">
        <v>185</v>
      </c>
      <c r="H194">
        <f t="shared" si="120"/>
        <v>11.100000000000001</v>
      </c>
      <c r="I194" s="463">
        <f t="shared" si="136"/>
        <v>0.42665666666666668</v>
      </c>
      <c r="J194" s="464">
        <f t="shared" si="121"/>
        <v>3.6201171717171721</v>
      </c>
      <c r="K194" s="464">
        <f t="shared" si="131"/>
        <v>12.910058585858588</v>
      </c>
      <c r="L194" s="464">
        <f t="shared" si="137"/>
        <v>9.2899414141414152</v>
      </c>
      <c r="M194" s="77">
        <f t="shared" si="122"/>
        <v>0</v>
      </c>
      <c r="N194" s="463">
        <f t="shared" si="138"/>
        <v>11.149085344909697</v>
      </c>
      <c r="O194" s="463">
        <f t="shared" si="139"/>
        <v>0.90655593189709138</v>
      </c>
      <c r="P194">
        <f t="shared" si="123"/>
        <v>0.4</v>
      </c>
      <c r="Q194" s="463">
        <f t="shared" si="132"/>
        <v>1.3065559318970914</v>
      </c>
      <c r="R194" s="9">
        <f t="shared" si="140"/>
        <v>1.0450378117944481</v>
      </c>
      <c r="S194" s="9">
        <f t="shared" si="141"/>
        <v>2.184208056160257E-3</v>
      </c>
      <c r="T194" s="9">
        <f t="shared" si="142"/>
        <v>2.184208056160257E-3</v>
      </c>
      <c r="U194" s="463">
        <f t="shared" si="143"/>
        <v>7.2824667087652326</v>
      </c>
      <c r="V194" s="465">
        <f t="shared" si="144"/>
        <v>1.7501326050210392E-2</v>
      </c>
      <c r="W194" s="463">
        <f t="shared" si="145"/>
        <v>1.7501326050210392E-2</v>
      </c>
      <c r="X194" s="463">
        <f t="shared" si="146"/>
        <v>7.2824667087652326</v>
      </c>
      <c r="Y194" s="463">
        <f t="shared" si="147"/>
        <v>0.2121372854570957</v>
      </c>
      <c r="Z194" s="463">
        <f t="shared" si="124"/>
        <v>0.36111791959505285</v>
      </c>
      <c r="AA194" s="463">
        <f t="shared" si="125"/>
        <v>3.0000000000000002E-2</v>
      </c>
      <c r="AB194" s="463">
        <f t="shared" si="126"/>
        <v>0</v>
      </c>
      <c r="AC194" s="463">
        <f t="shared" si="148"/>
        <v>0.61632985938373042</v>
      </c>
      <c r="AD194" s="463">
        <f t="shared" si="149"/>
        <v>8.4420247964458284</v>
      </c>
      <c r="AE194" s="463">
        <f t="shared" si="150"/>
        <v>0.28507113065522494</v>
      </c>
      <c r="AF194" s="463">
        <f t="shared" si="127"/>
        <v>0.16650000000000001</v>
      </c>
      <c r="AG194" s="463">
        <f t="shared" si="151"/>
        <v>0.46482185997279585</v>
      </c>
      <c r="AH194" s="463">
        <f t="shared" si="152"/>
        <v>0</v>
      </c>
      <c r="AI194">
        <f t="shared" si="128"/>
        <v>0</v>
      </c>
      <c r="AJ194" s="464">
        <f t="shared" si="129"/>
        <v>0.11955600000000001</v>
      </c>
      <c r="AK194">
        <f t="shared" si="133"/>
        <v>3.6000000000000004E-2</v>
      </c>
      <c r="AL194" s="464">
        <f t="shared" si="134"/>
        <v>0.27</v>
      </c>
      <c r="AM194" s="464">
        <f t="shared" si="135"/>
        <v>0.17963774597495527</v>
      </c>
      <c r="AN194" s="464">
        <f t="shared" si="153"/>
        <v>0.30600000000000005</v>
      </c>
      <c r="AO194" s="464">
        <f t="shared" si="154"/>
        <v>2.8329491853599884</v>
      </c>
      <c r="AP194" s="100">
        <f t="shared" si="130"/>
        <v>55.500000000000007</v>
      </c>
      <c r="AQ194" s="10">
        <f t="shared" si="155"/>
        <v>0.95143483700167553</v>
      </c>
      <c r="AR194" s="77">
        <f t="shared" si="156"/>
        <v>15.40824648459326</v>
      </c>
      <c r="AS194" s="77">
        <f t="shared" si="157"/>
        <v>11.620546499319897</v>
      </c>
      <c r="AT194" s="10"/>
      <c r="AU194">
        <f t="shared" si="158"/>
        <v>95.14348370016755</v>
      </c>
    </row>
    <row r="195" spans="7:47" x14ac:dyDescent="0.15">
      <c r="G195">
        <v>186</v>
      </c>
      <c r="H195">
        <f t="shared" si="120"/>
        <v>11.16</v>
      </c>
      <c r="I195" s="463">
        <f t="shared" si="136"/>
        <v>0.42671066666666668</v>
      </c>
      <c r="J195" s="464">
        <f t="shared" si="121"/>
        <v>3.620575353535354</v>
      </c>
      <c r="K195" s="464">
        <f t="shared" si="131"/>
        <v>12.970287676767677</v>
      </c>
      <c r="L195" s="464">
        <f t="shared" si="137"/>
        <v>9.3497123232323229</v>
      </c>
      <c r="M195" s="77">
        <f t="shared" si="122"/>
        <v>0</v>
      </c>
      <c r="N195" s="463">
        <f t="shared" si="138"/>
        <v>11.208834930129251</v>
      </c>
      <c r="O195" s="463">
        <f t="shared" si="139"/>
        <v>0.91701344130353757</v>
      </c>
      <c r="P195">
        <f t="shared" si="123"/>
        <v>0.4</v>
      </c>
      <c r="Q195" s="463">
        <f t="shared" si="132"/>
        <v>1.3170134413035375</v>
      </c>
      <c r="R195" s="9">
        <f t="shared" si="140"/>
        <v>1.0451700774924806</v>
      </c>
      <c r="S195" s="9">
        <f t="shared" si="141"/>
        <v>2.1847609817712758E-3</v>
      </c>
      <c r="T195" s="9">
        <f t="shared" si="142"/>
        <v>2.1847609817712758E-3</v>
      </c>
      <c r="U195" s="463">
        <f t="shared" si="143"/>
        <v>7.3219578265597418</v>
      </c>
      <c r="V195" s="465">
        <f t="shared" si="144"/>
        <v>1.7691651916593422E-2</v>
      </c>
      <c r="W195" s="463">
        <f t="shared" si="145"/>
        <v>1.7691651916593422E-2</v>
      </c>
      <c r="X195" s="463">
        <f t="shared" si="146"/>
        <v>7.3219578265597418</v>
      </c>
      <c r="Y195" s="463">
        <f t="shared" si="147"/>
        <v>0.21444426565567784</v>
      </c>
      <c r="Z195" s="463">
        <f t="shared" si="124"/>
        <v>0.36294373356713672</v>
      </c>
      <c r="AA195" s="463">
        <f t="shared" si="125"/>
        <v>3.0000000000000002E-2</v>
      </c>
      <c r="AB195" s="463">
        <f t="shared" si="126"/>
        <v>0</v>
      </c>
      <c r="AC195" s="463">
        <f t="shared" si="148"/>
        <v>0.62069852312124452</v>
      </c>
      <c r="AD195" s="463">
        <f t="shared" si="149"/>
        <v>8.4868671532530868</v>
      </c>
      <c r="AE195" s="463">
        <f t="shared" si="150"/>
        <v>0.28810765630786461</v>
      </c>
      <c r="AF195" s="463">
        <f t="shared" si="127"/>
        <v>0.16739999999999999</v>
      </c>
      <c r="AG195" s="463">
        <f t="shared" si="151"/>
        <v>0.46902049589101591</v>
      </c>
      <c r="AH195" s="463">
        <f t="shared" si="152"/>
        <v>0</v>
      </c>
      <c r="AI195">
        <f t="shared" si="128"/>
        <v>0</v>
      </c>
      <c r="AJ195" s="464">
        <f t="shared" si="129"/>
        <v>0.11955360000000001</v>
      </c>
      <c r="AK195">
        <f t="shared" si="133"/>
        <v>3.6000000000000004E-2</v>
      </c>
      <c r="AL195" s="464">
        <f t="shared" si="134"/>
        <v>0.27</v>
      </c>
      <c r="AM195" s="464">
        <f t="shared" si="135"/>
        <v>0.17963774597495527</v>
      </c>
      <c r="AN195" s="464">
        <f t="shared" si="153"/>
        <v>0.30600000000000005</v>
      </c>
      <c r="AO195" s="464">
        <f t="shared" si="154"/>
        <v>2.8521624732141628</v>
      </c>
      <c r="AP195" s="100">
        <f t="shared" si="130"/>
        <v>55.8</v>
      </c>
      <c r="AQ195" s="10">
        <f t="shared" si="155"/>
        <v>0.95137157177253751</v>
      </c>
      <c r="AR195" s="77">
        <f t="shared" si="156"/>
        <v>15.517463078031113</v>
      </c>
      <c r="AS195" s="77">
        <f t="shared" si="157"/>
        <v>11.725512397275399</v>
      </c>
      <c r="AT195" s="10"/>
      <c r="AU195">
        <f t="shared" si="158"/>
        <v>95.137157177253755</v>
      </c>
    </row>
    <row r="196" spans="7:47" x14ac:dyDescent="0.15">
      <c r="G196">
        <v>187</v>
      </c>
      <c r="H196">
        <f t="shared" si="120"/>
        <v>11.22</v>
      </c>
      <c r="I196" s="463">
        <f t="shared" si="136"/>
        <v>0.42676466666666668</v>
      </c>
      <c r="J196" s="464">
        <f t="shared" si="121"/>
        <v>3.6210335353535354</v>
      </c>
      <c r="K196" s="464">
        <f t="shared" si="131"/>
        <v>13.030516767676769</v>
      </c>
      <c r="L196" s="464">
        <f t="shared" si="137"/>
        <v>9.4094832323232325</v>
      </c>
      <c r="M196" s="77">
        <f t="shared" si="122"/>
        <v>0</v>
      </c>
      <c r="N196" s="463">
        <f t="shared" si="138"/>
        <v>11.268587178021901</v>
      </c>
      <c r="O196" s="463">
        <f t="shared" si="139"/>
        <v>0.92754377340301186</v>
      </c>
      <c r="P196">
        <f t="shared" si="123"/>
        <v>0.4</v>
      </c>
      <c r="Q196" s="463">
        <f t="shared" si="132"/>
        <v>1.3275437734030118</v>
      </c>
      <c r="R196" s="9">
        <f t="shared" si="140"/>
        <v>1.0453023431905131</v>
      </c>
      <c r="S196" s="9">
        <f t="shared" si="141"/>
        <v>2.1853139773591545E-3</v>
      </c>
      <c r="T196" s="9">
        <f t="shared" si="142"/>
        <v>2.1853139773591545E-3</v>
      </c>
      <c r="U196" s="463">
        <f t="shared" si="143"/>
        <v>7.3614555937501152</v>
      </c>
      <c r="V196" s="465">
        <f t="shared" si="144"/>
        <v>1.7883039391389102E-2</v>
      </c>
      <c r="W196" s="463">
        <f t="shared" si="145"/>
        <v>1.7883039391389102E-2</v>
      </c>
      <c r="X196" s="463">
        <f t="shared" si="146"/>
        <v>7.3614555937501152</v>
      </c>
      <c r="Y196" s="463">
        <f t="shared" si="147"/>
        <v>0.21676411383501942</v>
      </c>
      <c r="Z196" s="463">
        <f t="shared" si="124"/>
        <v>0.36476954753922058</v>
      </c>
      <c r="AA196" s="463">
        <f t="shared" si="125"/>
        <v>3.0000000000000002E-2</v>
      </c>
      <c r="AB196" s="463">
        <f t="shared" si="126"/>
        <v>0</v>
      </c>
      <c r="AC196" s="463">
        <f t="shared" si="148"/>
        <v>0.62508322245305759</v>
      </c>
      <c r="AD196" s="463">
        <f t="shared" si="149"/>
        <v>8.5317072459106775</v>
      </c>
      <c r="AE196" s="463">
        <f t="shared" si="150"/>
        <v>0.291160114119699</v>
      </c>
      <c r="AF196" s="463">
        <f t="shared" si="127"/>
        <v>0.16830000000000001</v>
      </c>
      <c r="AG196" s="463">
        <f t="shared" si="151"/>
        <v>0.47323894463219873</v>
      </c>
      <c r="AH196" s="463">
        <f t="shared" si="152"/>
        <v>0</v>
      </c>
      <c r="AI196">
        <f t="shared" si="128"/>
        <v>0</v>
      </c>
      <c r="AJ196" s="464">
        <f t="shared" si="129"/>
        <v>0.11955120000000001</v>
      </c>
      <c r="AK196">
        <f t="shared" si="133"/>
        <v>3.6000000000000004E-2</v>
      </c>
      <c r="AL196" s="464">
        <f t="shared" si="134"/>
        <v>0.27</v>
      </c>
      <c r="AM196" s="464">
        <f t="shared" si="135"/>
        <v>0.17963774597495527</v>
      </c>
      <c r="AN196" s="464">
        <f t="shared" si="153"/>
        <v>0.30600000000000005</v>
      </c>
      <c r="AO196" s="464">
        <f t="shared" si="154"/>
        <v>2.8714854938570165</v>
      </c>
      <c r="AP196" s="100">
        <f t="shared" si="130"/>
        <v>56.1</v>
      </c>
      <c r="AQ196" s="10">
        <f t="shared" si="155"/>
        <v>0.95130722128144229</v>
      </c>
      <c r="AR196" s="77">
        <f t="shared" si="156"/>
        <v>15.627080561326439</v>
      </c>
      <c r="AS196" s="77">
        <f t="shared" si="157"/>
        <v>11.830973615804968</v>
      </c>
      <c r="AT196" s="10"/>
      <c r="AU196">
        <f t="shared" si="158"/>
        <v>95.130722128144228</v>
      </c>
    </row>
    <row r="197" spans="7:47" x14ac:dyDescent="0.15">
      <c r="G197">
        <v>188</v>
      </c>
      <c r="H197">
        <f t="shared" si="120"/>
        <v>11.28</v>
      </c>
      <c r="I197" s="463">
        <f t="shared" si="136"/>
        <v>0.42681866666666668</v>
      </c>
      <c r="J197" s="464">
        <f t="shared" si="121"/>
        <v>3.6214917171717174</v>
      </c>
      <c r="K197" s="464">
        <f t="shared" si="131"/>
        <v>13.090745858585858</v>
      </c>
      <c r="L197" s="464">
        <f t="shared" si="137"/>
        <v>9.4692541414141402</v>
      </c>
      <c r="M197" s="77">
        <f t="shared" si="122"/>
        <v>0</v>
      </c>
      <c r="N197" s="463">
        <f t="shared" si="138"/>
        <v>11.328342046454191</v>
      </c>
      <c r="O197" s="463">
        <f t="shared" si="139"/>
        <v>0.93814723281824819</v>
      </c>
      <c r="P197">
        <f t="shared" si="123"/>
        <v>0.4</v>
      </c>
      <c r="Q197" s="463">
        <f t="shared" si="132"/>
        <v>1.3381472328182482</v>
      </c>
      <c r="R197" s="9">
        <f t="shared" si="140"/>
        <v>1.0454346088885456</v>
      </c>
      <c r="S197" s="9">
        <f t="shared" si="141"/>
        <v>2.1858670429238925E-3</v>
      </c>
      <c r="T197" s="9">
        <f t="shared" si="142"/>
        <v>2.1858670429238925E-3</v>
      </c>
      <c r="U197" s="463">
        <f t="shared" si="143"/>
        <v>7.4009599826769561</v>
      </c>
      <c r="V197" s="465">
        <f t="shared" si="144"/>
        <v>1.8075488859511279E-2</v>
      </c>
      <c r="W197" s="463">
        <f t="shared" si="145"/>
        <v>1.8075488859511279E-2</v>
      </c>
      <c r="X197" s="463">
        <f t="shared" si="146"/>
        <v>7.4009599826769561</v>
      </c>
      <c r="Y197" s="463">
        <f t="shared" si="147"/>
        <v>0.21909683466074276</v>
      </c>
      <c r="Z197" s="463">
        <f t="shared" si="124"/>
        <v>0.3665953615113044</v>
      </c>
      <c r="AA197" s="463">
        <f t="shared" si="125"/>
        <v>3.0000000000000002E-2</v>
      </c>
      <c r="AB197" s="463">
        <f t="shared" si="126"/>
        <v>0</v>
      </c>
      <c r="AC197" s="463">
        <f t="shared" si="148"/>
        <v>0.62948399116544307</v>
      </c>
      <c r="AD197" s="463">
        <f t="shared" si="149"/>
        <v>8.5765450419312934</v>
      </c>
      <c r="AE197" s="463">
        <f t="shared" si="150"/>
        <v>0.29422849942510498</v>
      </c>
      <c r="AF197" s="463">
        <f t="shared" si="127"/>
        <v>0.16919999999999999</v>
      </c>
      <c r="AG197" s="463">
        <f t="shared" si="151"/>
        <v>0.47747724062703834</v>
      </c>
      <c r="AH197" s="463">
        <f t="shared" si="152"/>
        <v>0</v>
      </c>
      <c r="AI197">
        <f t="shared" si="128"/>
        <v>0</v>
      </c>
      <c r="AJ197" s="464">
        <f t="shared" si="129"/>
        <v>0.1195488</v>
      </c>
      <c r="AK197">
        <f t="shared" si="133"/>
        <v>3.6000000000000004E-2</v>
      </c>
      <c r="AL197" s="464">
        <f t="shared" si="134"/>
        <v>0.27</v>
      </c>
      <c r="AM197" s="464">
        <f t="shared" si="135"/>
        <v>0.17963774597495527</v>
      </c>
      <c r="AN197" s="464">
        <f t="shared" si="153"/>
        <v>0.30600000000000005</v>
      </c>
      <c r="AO197" s="464">
        <f t="shared" si="154"/>
        <v>2.8909186205131645</v>
      </c>
      <c r="AP197" s="100">
        <f t="shared" si="130"/>
        <v>56.4</v>
      </c>
      <c r="AQ197" s="10">
        <f t="shared" si="155"/>
        <v>0.95124179743248272</v>
      </c>
      <c r="AR197" s="77">
        <f t="shared" si="156"/>
        <v>15.737099779136077</v>
      </c>
      <c r="AS197" s="77">
        <f t="shared" si="157"/>
        <v>11.936931015675958</v>
      </c>
      <c r="AT197" s="10"/>
      <c r="AU197">
        <f t="shared" si="158"/>
        <v>95.124179743248277</v>
      </c>
    </row>
    <row r="198" spans="7:47" x14ac:dyDescent="0.15">
      <c r="G198">
        <v>189</v>
      </c>
      <c r="H198">
        <f t="shared" si="120"/>
        <v>11.34</v>
      </c>
      <c r="I198" s="463">
        <f t="shared" si="136"/>
        <v>0.42687266666666662</v>
      </c>
      <c r="J198" s="464">
        <f t="shared" si="121"/>
        <v>3.6219498989898988</v>
      </c>
      <c r="K198" s="464">
        <f t="shared" si="131"/>
        <v>13.15097494949495</v>
      </c>
      <c r="L198" s="464">
        <f t="shared" si="137"/>
        <v>9.5290250505050498</v>
      </c>
      <c r="M198" s="77">
        <f t="shared" si="122"/>
        <v>0</v>
      </c>
      <c r="N198" s="463">
        <f t="shared" si="138"/>
        <v>11.388099494175169</v>
      </c>
      <c r="O198" s="463">
        <f t="shared" si="139"/>
        <v>0.94882412698140495</v>
      </c>
      <c r="P198">
        <f t="shared" si="123"/>
        <v>0.4</v>
      </c>
      <c r="Q198" s="463">
        <f t="shared" si="132"/>
        <v>1.348824126981405</v>
      </c>
      <c r="R198" s="9">
        <f t="shared" si="140"/>
        <v>1.045566874586578</v>
      </c>
      <c r="S198" s="9">
        <f t="shared" si="141"/>
        <v>2.1864201784654899E-3</v>
      </c>
      <c r="T198" s="9">
        <f t="shared" si="142"/>
        <v>2.1864201784654899E-3</v>
      </c>
      <c r="U198" s="463">
        <f t="shared" si="143"/>
        <v>7.4404709662505688</v>
      </c>
      <c r="V198" s="465">
        <f t="shared" si="144"/>
        <v>1.8269000705873832E-2</v>
      </c>
      <c r="W198" s="463">
        <f t="shared" si="145"/>
        <v>1.8269000705873832E-2</v>
      </c>
      <c r="X198" s="463">
        <f t="shared" si="146"/>
        <v>7.4404709662505688</v>
      </c>
      <c r="Y198" s="463">
        <f t="shared" si="147"/>
        <v>0.2214424327984707</v>
      </c>
      <c r="Z198" s="463">
        <f t="shared" si="124"/>
        <v>0.36842117548338837</v>
      </c>
      <c r="AA198" s="463">
        <f t="shared" si="125"/>
        <v>3.0000000000000002E-2</v>
      </c>
      <c r="AB198" s="463">
        <f t="shared" si="126"/>
        <v>0</v>
      </c>
      <c r="AC198" s="463">
        <f t="shared" si="148"/>
        <v>0.63390086321213368</v>
      </c>
      <c r="AD198" s="463">
        <f t="shared" si="149"/>
        <v>8.6213805095016571</v>
      </c>
      <c r="AE198" s="463">
        <f t="shared" si="150"/>
        <v>0.29731280755846023</v>
      </c>
      <c r="AF198" s="463">
        <f t="shared" si="127"/>
        <v>0.1701</v>
      </c>
      <c r="AG198" s="463">
        <f t="shared" si="151"/>
        <v>0.4817354185370194</v>
      </c>
      <c r="AH198" s="463">
        <f t="shared" si="152"/>
        <v>0</v>
      </c>
      <c r="AI198">
        <f t="shared" si="128"/>
        <v>0</v>
      </c>
      <c r="AJ198" s="464">
        <f t="shared" si="129"/>
        <v>0.1195464</v>
      </c>
      <c r="AK198">
        <f t="shared" si="133"/>
        <v>3.6000000000000004E-2</v>
      </c>
      <c r="AL198" s="464">
        <f t="shared" si="134"/>
        <v>0.27</v>
      </c>
      <c r="AM198" s="464">
        <f t="shared" si="135"/>
        <v>0.17963774597495527</v>
      </c>
      <c r="AN198" s="464">
        <f t="shared" si="153"/>
        <v>0.30600000000000005</v>
      </c>
      <c r="AO198" s="464">
        <f t="shared" si="154"/>
        <v>2.9104622296148972</v>
      </c>
      <c r="AP198" s="100">
        <f t="shared" si="130"/>
        <v>56.7</v>
      </c>
      <c r="AQ198" s="10">
        <f t="shared" si="155"/>
        <v>0.95117531183697213</v>
      </c>
      <c r="AR198" s="77">
        <f t="shared" si="156"/>
        <v>15.847521580303342</v>
      </c>
      <c r="AS198" s="77">
        <f t="shared" si="157"/>
        <v>12.043385463425485</v>
      </c>
      <c r="AT198" s="10"/>
      <c r="AU198">
        <f t="shared" si="158"/>
        <v>95.11753118369721</v>
      </c>
    </row>
    <row r="199" spans="7:47" x14ac:dyDescent="0.15">
      <c r="G199">
        <v>190</v>
      </c>
      <c r="H199">
        <f t="shared" si="120"/>
        <v>11.399999999999999</v>
      </c>
      <c r="I199" s="463">
        <f t="shared" si="136"/>
        <v>0.42692666666666668</v>
      </c>
      <c r="J199" s="464">
        <f t="shared" si="121"/>
        <v>3.6224080808080812</v>
      </c>
      <c r="K199" s="464">
        <f t="shared" si="131"/>
        <v>13.21120404040404</v>
      </c>
      <c r="L199" s="464">
        <f t="shared" si="137"/>
        <v>9.5887959595959575</v>
      </c>
      <c r="M199" s="77">
        <f t="shared" si="122"/>
        <v>0</v>
      </c>
      <c r="N199" s="463">
        <f t="shared" si="138"/>
        <v>11.447859480793428</v>
      </c>
      <c r="O199" s="463">
        <f t="shared" si="139"/>
        <v>0.95957476615813753</v>
      </c>
      <c r="P199">
        <f t="shared" si="123"/>
        <v>0.4</v>
      </c>
      <c r="Q199" s="463">
        <f t="shared" si="132"/>
        <v>1.3595747661581377</v>
      </c>
      <c r="R199" s="9">
        <f t="shared" si="140"/>
        <v>1.0456991402846108</v>
      </c>
      <c r="S199" s="9">
        <f t="shared" si="141"/>
        <v>2.1869733839839484E-3</v>
      </c>
      <c r="T199" s="9">
        <f t="shared" si="142"/>
        <v>2.1869733839839484E-3</v>
      </c>
      <c r="U199" s="463">
        <f t="shared" si="143"/>
        <v>7.4799885179361398</v>
      </c>
      <c r="V199" s="465">
        <f t="shared" si="144"/>
        <v>1.846357531539064E-2</v>
      </c>
      <c r="W199" s="463">
        <f t="shared" si="145"/>
        <v>1.846357531539064E-2</v>
      </c>
      <c r="X199" s="463">
        <f t="shared" si="146"/>
        <v>7.4799885179361398</v>
      </c>
      <c r="Y199" s="463">
        <f t="shared" si="147"/>
        <v>0.22380091291382595</v>
      </c>
      <c r="Z199" s="463">
        <f t="shared" si="124"/>
        <v>0.37024698945547219</v>
      </c>
      <c r="AA199" s="463">
        <f t="shared" si="125"/>
        <v>3.0000000000000002E-2</v>
      </c>
      <c r="AB199" s="463">
        <f t="shared" si="126"/>
        <v>0</v>
      </c>
      <c r="AC199" s="463">
        <f t="shared" si="148"/>
        <v>0.63833387271504272</v>
      </c>
      <c r="AD199" s="463">
        <f t="shared" si="149"/>
        <v>8.6662136174649813</v>
      </c>
      <c r="AE199" s="463">
        <f t="shared" si="150"/>
        <v>0.30041303385414192</v>
      </c>
      <c r="AF199" s="463">
        <f t="shared" si="127"/>
        <v>0.17099999999999999</v>
      </c>
      <c r="AG199" s="463">
        <f t="shared" si="151"/>
        <v>0.48601351325525405</v>
      </c>
      <c r="AH199" s="463">
        <f t="shared" si="152"/>
        <v>0</v>
      </c>
      <c r="AI199">
        <f t="shared" si="128"/>
        <v>0</v>
      </c>
      <c r="AJ199" s="464">
        <f t="shared" si="129"/>
        <v>0.119544</v>
      </c>
      <c r="AK199">
        <f t="shared" si="133"/>
        <v>3.6000000000000004E-2</v>
      </c>
      <c r="AL199" s="464">
        <f t="shared" si="134"/>
        <v>0.27</v>
      </c>
      <c r="AM199" s="464">
        <f t="shared" si="135"/>
        <v>0.17963774597495527</v>
      </c>
      <c r="AN199" s="464">
        <f t="shared" si="153"/>
        <v>0.30600000000000005</v>
      </c>
      <c r="AO199" s="464">
        <f t="shared" si="154"/>
        <v>2.9301167008278086</v>
      </c>
      <c r="AP199" s="100">
        <f t="shared" si="130"/>
        <v>56.999999999999993</v>
      </c>
      <c r="AQ199" s="10">
        <f t="shared" si="155"/>
        <v>0.95110777582071127</v>
      </c>
      <c r="AR199" s="77">
        <f t="shared" si="156"/>
        <v>15.958346817876068</v>
      </c>
      <c r="AS199" s="77">
        <f t="shared" si="157"/>
        <v>12.150337831381352</v>
      </c>
      <c r="AT199" s="10"/>
      <c r="AU199">
        <f t="shared" si="158"/>
        <v>95.110777582071123</v>
      </c>
    </row>
    <row r="200" spans="7:47" x14ac:dyDescent="0.15">
      <c r="G200">
        <v>191</v>
      </c>
      <c r="H200">
        <f t="shared" si="120"/>
        <v>11.459999999999999</v>
      </c>
      <c r="I200" s="463">
        <f t="shared" si="136"/>
        <v>0.42698066666666668</v>
      </c>
      <c r="J200" s="464">
        <f t="shared" si="121"/>
        <v>3.6228662626262631</v>
      </c>
      <c r="K200" s="464">
        <f t="shared" si="131"/>
        <v>13.271433131313131</v>
      </c>
      <c r="L200" s="464">
        <f t="shared" si="137"/>
        <v>9.6485668686868671</v>
      </c>
      <c r="M200" s="77">
        <f t="shared" si="122"/>
        <v>0</v>
      </c>
      <c r="N200" s="463">
        <f t="shared" si="138"/>
        <v>11.507621966754886</v>
      </c>
      <c r="O200" s="463">
        <f t="shared" si="139"/>
        <v>0.97039946347197059</v>
      </c>
      <c r="P200">
        <f t="shared" si="123"/>
        <v>0.4</v>
      </c>
      <c r="Q200" s="463">
        <f t="shared" si="132"/>
        <v>1.3703994634719705</v>
      </c>
      <c r="R200" s="9">
        <f t="shared" si="140"/>
        <v>1.0458314059826432</v>
      </c>
      <c r="S200" s="9">
        <f t="shared" si="141"/>
        <v>2.1875266594792646E-3</v>
      </c>
      <c r="T200" s="9">
        <f t="shared" si="142"/>
        <v>2.1875266594792646E-3</v>
      </c>
      <c r="U200" s="463">
        <f t="shared" si="143"/>
        <v>7.5195126117393913</v>
      </c>
      <c r="V200" s="465">
        <f t="shared" si="144"/>
        <v>1.8659213072975561E-2</v>
      </c>
      <c r="W200" s="463">
        <f t="shared" si="145"/>
        <v>1.8659213072975561E-2</v>
      </c>
      <c r="X200" s="463">
        <f t="shared" si="146"/>
        <v>7.5195126117393913</v>
      </c>
      <c r="Y200" s="463">
        <f t="shared" si="147"/>
        <v>0.22617227967243106</v>
      </c>
      <c r="Z200" s="463">
        <f t="shared" si="124"/>
        <v>0.37207280342755611</v>
      </c>
      <c r="AA200" s="463">
        <f t="shared" si="125"/>
        <v>3.0000000000000002E-2</v>
      </c>
      <c r="AB200" s="463">
        <f t="shared" si="126"/>
        <v>0</v>
      </c>
      <c r="AC200" s="463">
        <f t="shared" si="148"/>
        <v>0.64278305396499413</v>
      </c>
      <c r="AD200" s="463">
        <f t="shared" si="149"/>
        <v>8.7110443353039955</v>
      </c>
      <c r="AE200" s="463">
        <f t="shared" si="150"/>
        <v>0.30352917364652737</v>
      </c>
      <c r="AF200" s="463">
        <f t="shared" si="127"/>
        <v>0.17189999999999997</v>
      </c>
      <c r="AG200" s="463">
        <f t="shared" si="151"/>
        <v>0.4903115599073285</v>
      </c>
      <c r="AH200" s="463">
        <f t="shared" si="152"/>
        <v>0</v>
      </c>
      <c r="AI200">
        <f t="shared" si="128"/>
        <v>0</v>
      </c>
      <c r="AJ200" s="464">
        <f t="shared" si="129"/>
        <v>0.1195416</v>
      </c>
      <c r="AK200">
        <f t="shared" si="133"/>
        <v>3.6000000000000004E-2</v>
      </c>
      <c r="AL200" s="464">
        <f t="shared" si="134"/>
        <v>0.27</v>
      </c>
      <c r="AM200" s="464">
        <f t="shared" si="135"/>
        <v>0.17963774597495527</v>
      </c>
      <c r="AN200" s="464">
        <f t="shared" si="153"/>
        <v>0.30600000000000005</v>
      </c>
      <c r="AO200" s="464">
        <f t="shared" si="154"/>
        <v>2.9498824170767479</v>
      </c>
      <c r="AP200" s="100">
        <f t="shared" si="130"/>
        <v>57.3</v>
      </c>
      <c r="AQ200" s="10">
        <f t="shared" si="155"/>
        <v>0.95103920043102597</v>
      </c>
      <c r="AR200" s="77">
        <f t="shared" si="156"/>
        <v>16.069576349124855</v>
      </c>
      <c r="AS200" s="77">
        <f t="shared" si="157"/>
        <v>12.257788997683212</v>
      </c>
      <c r="AT200" s="10"/>
      <c r="AU200">
        <f t="shared" si="158"/>
        <v>95.10392004310259</v>
      </c>
    </row>
    <row r="201" spans="7:47" x14ac:dyDescent="0.15">
      <c r="G201">
        <v>192</v>
      </c>
      <c r="H201">
        <f t="shared" ref="H201:H209" si="159">Iout*(G201/200)</f>
        <v>11.52</v>
      </c>
      <c r="I201" s="463">
        <f t="shared" si="136"/>
        <v>0.42703466666666667</v>
      </c>
      <c r="J201" s="464">
        <f t="shared" ref="J201:J209" si="160">(Vin-Vout)*I201/(Fsw*Lout2)</f>
        <v>3.6233244444444446</v>
      </c>
      <c r="K201" s="464">
        <f t="shared" si="131"/>
        <v>13.331662222222223</v>
      </c>
      <c r="L201" s="464">
        <f t="shared" si="137"/>
        <v>9.7083377777777766</v>
      </c>
      <c r="M201" s="77">
        <f t="shared" ref="M201:M209" si="161">IF(MIN(Vin, -L201/(CossTop+CossBot)*0.00000002)&lt;0, 0, MIN(Vin, -L201/(CossTop+CossBot)*0.00000002))</f>
        <v>0</v>
      </c>
      <c r="N201" s="463">
        <f t="shared" si="138"/>
        <v>11.567386913321249</v>
      </c>
      <c r="O201" s="463">
        <f t="shared" si="139"/>
        <v>0.98129853492896735</v>
      </c>
      <c r="P201">
        <f t="shared" ref="P201:P209" si="162">Core_Loss</f>
        <v>0.4</v>
      </c>
      <c r="Q201" s="463">
        <f t="shared" si="132"/>
        <v>1.3812985349289675</v>
      </c>
      <c r="R201" s="9">
        <f t="shared" si="140"/>
        <v>1.0459636716806757</v>
      </c>
      <c r="S201" s="9">
        <f t="shared" si="141"/>
        <v>2.188080004951441E-3</v>
      </c>
      <c r="T201" s="9">
        <f t="shared" si="142"/>
        <v>2.188080004951441E-3</v>
      </c>
      <c r="U201" s="463">
        <f t="shared" si="143"/>
        <v>7.5590432221926864</v>
      </c>
      <c r="V201" s="465">
        <f t="shared" si="144"/>
        <v>1.8855914363542475E-2</v>
      </c>
      <c r="W201" s="463">
        <f t="shared" si="145"/>
        <v>1.8855914363542475E-2</v>
      </c>
      <c r="X201" s="463">
        <f t="shared" si="146"/>
        <v>7.5590432221926864</v>
      </c>
      <c r="Y201" s="463">
        <f t="shared" si="147"/>
        <v>0.22855653773990878</v>
      </c>
      <c r="Z201" s="463">
        <f t="shared" ref="Z201:Z209" si="163">IF(L201&lt;0, (Vin*K201*Tf/2)*Fsw, (Vin*L201*Tr/2+Vin*K201*Tf/2)*Fsw)</f>
        <v>0.37389861739963998</v>
      </c>
      <c r="AA201" s="463">
        <f t="shared" ref="AA201:AA209" si="164">(0.5*CossTop*(Vin-M201)^2-0.5*CossBot*(Vin-M201)^2+(QossBot*(Vin-M201)/Vin)*Vin)*Fsw</f>
        <v>3.0000000000000002E-2</v>
      </c>
      <c r="AB201" s="463">
        <f t="shared" ref="AB201:AB209" si="165">IF(L201&gt;0,0,-L201*VsdTop*Deadtime*Fsw)</f>
        <v>0</v>
      </c>
      <c r="AC201" s="463">
        <f t="shared" si="148"/>
        <v>0.64724844142245563</v>
      </c>
      <c r="AD201" s="463">
        <f t="shared" si="149"/>
        <v>8.7558726331244952</v>
      </c>
      <c r="AE201" s="463">
        <f t="shared" si="150"/>
        <v>0.30666122226999393</v>
      </c>
      <c r="AF201" s="463">
        <f t="shared" ref="AF201:AF209" si="166">IF(L201&lt;0, Deadtime*Fsw*IF(VfdSky&gt;0,0,VsdBot)*K201, Deadtime*Fsw*IF(VfdSky&gt;0,0,VsdBot)*(K201+L201))</f>
        <v>0.17279999999999998</v>
      </c>
      <c r="AG201" s="463">
        <f t="shared" si="151"/>
        <v>0.49462959385215516</v>
      </c>
      <c r="AH201" s="463">
        <f t="shared" si="152"/>
        <v>0</v>
      </c>
      <c r="AI201">
        <f t="shared" ref="AI201:AI209" si="167">2*Deadtime*Fsw*IF(VfdSky&gt;0,VfdSky,0)*H201</f>
        <v>0</v>
      </c>
      <c r="AJ201" s="464">
        <f t="shared" ref="AJ201:AJ209" si="168">IF(QrrSky&gt;0,QrrSky,QrrBot)*Fsw*(Vin-H201*RdsonTop)</f>
        <v>0.1195392</v>
      </c>
      <c r="AK201">
        <f t="shared" si="133"/>
        <v>3.6000000000000004E-2</v>
      </c>
      <c r="AL201" s="464">
        <f t="shared" si="134"/>
        <v>0.27</v>
      </c>
      <c r="AM201" s="464">
        <f t="shared" si="135"/>
        <v>0.17963774597495527</v>
      </c>
      <c r="AN201" s="464">
        <f t="shared" si="153"/>
        <v>0.30600000000000005</v>
      </c>
      <c r="AO201" s="464">
        <f t="shared" si="154"/>
        <v>2.9697597645720726</v>
      </c>
      <c r="AP201" s="100">
        <f t="shared" ref="AP201:AP209" si="169">Vout*H201</f>
        <v>57.599999999999994</v>
      </c>
      <c r="AQ201" s="10">
        <f t="shared" si="155"/>
        <v>0.95096959644358503</v>
      </c>
      <c r="AR201" s="77">
        <f t="shared" si="156"/>
        <v>16.18121103556139</v>
      </c>
      <c r="AS201" s="77">
        <f t="shared" si="157"/>
        <v>12.365739846303878</v>
      </c>
      <c r="AT201" s="10"/>
      <c r="AU201">
        <f t="shared" si="158"/>
        <v>95.096959644358506</v>
      </c>
    </row>
    <row r="202" spans="7:47" x14ac:dyDescent="0.15">
      <c r="G202">
        <v>193</v>
      </c>
      <c r="H202">
        <f t="shared" si="159"/>
        <v>11.58</v>
      </c>
      <c r="I202" s="463">
        <f t="shared" si="136"/>
        <v>0.42708866666666667</v>
      </c>
      <c r="J202" s="464">
        <f t="shared" si="160"/>
        <v>3.6237826262626265</v>
      </c>
      <c r="K202" s="464">
        <f t="shared" ref="K202:K209" si="170">H202+J202/2</f>
        <v>13.391891313131314</v>
      </c>
      <c r="L202" s="464">
        <f t="shared" si="137"/>
        <v>9.7681086868686862</v>
      </c>
      <c r="M202" s="77">
        <f t="shared" si="161"/>
        <v>0</v>
      </c>
      <c r="N202" s="463">
        <f t="shared" si="138"/>
        <v>11.627154282549116</v>
      </c>
      <c r="O202" s="463">
        <f t="shared" si="139"/>
        <v>0.99227229944269668</v>
      </c>
      <c r="P202">
        <f t="shared" si="162"/>
        <v>0.4</v>
      </c>
      <c r="Q202" s="463">
        <f t="shared" ref="Q202:Q209" si="171">O202+P202</f>
        <v>1.3922722994426966</v>
      </c>
      <c r="R202" s="9">
        <f t="shared" si="140"/>
        <v>1.0460959373787082</v>
      </c>
      <c r="S202" s="9">
        <f t="shared" si="141"/>
        <v>2.1886334204004767E-3</v>
      </c>
      <c r="T202" s="9">
        <f t="shared" si="142"/>
        <v>2.1886334204004767E-3</v>
      </c>
      <c r="U202" s="463">
        <f t="shared" si="143"/>
        <v>7.5985803243415457</v>
      </c>
      <c r="V202" s="465">
        <f t="shared" si="144"/>
        <v>1.9053679572005253E-2</v>
      </c>
      <c r="W202" s="463">
        <f t="shared" si="145"/>
        <v>1.9053679572005253E-2</v>
      </c>
      <c r="X202" s="463">
        <f t="shared" si="146"/>
        <v>7.5985803243415457</v>
      </c>
      <c r="Y202" s="463">
        <f t="shared" si="147"/>
        <v>0.23095369178188188</v>
      </c>
      <c r="Z202" s="463">
        <f t="shared" si="163"/>
        <v>0.3757244313717239</v>
      </c>
      <c r="AA202" s="463">
        <f t="shared" si="164"/>
        <v>3.0000000000000002E-2</v>
      </c>
      <c r="AB202" s="463">
        <f t="shared" si="165"/>
        <v>0</v>
      </c>
      <c r="AC202" s="463">
        <f t="shared" si="148"/>
        <v>0.65173006971827574</v>
      </c>
      <c r="AD202" s="463">
        <f t="shared" si="149"/>
        <v>8.800698481639385</v>
      </c>
      <c r="AE202" s="463">
        <f t="shared" si="150"/>
        <v>0.30980917505891908</v>
      </c>
      <c r="AF202" s="463">
        <f t="shared" si="166"/>
        <v>0.17369999999999999</v>
      </c>
      <c r="AG202" s="463">
        <f t="shared" si="151"/>
        <v>0.49896765068283266</v>
      </c>
      <c r="AH202" s="463">
        <f t="shared" si="152"/>
        <v>0</v>
      </c>
      <c r="AI202">
        <f t="shared" si="167"/>
        <v>0</v>
      </c>
      <c r="AJ202" s="464">
        <f t="shared" si="168"/>
        <v>0.1195368</v>
      </c>
      <c r="AK202">
        <f t="shared" ref="AK202:AK209" si="172">Iq*Vin</f>
        <v>3.6000000000000004E-2</v>
      </c>
      <c r="AL202" s="464">
        <f t="shared" ref="AL202:AL209" si="173">Vin*(QgTop+QgBot)*Fsw</f>
        <v>0.27</v>
      </c>
      <c r="AM202" s="464">
        <f t="shared" ref="AM202:AM209" si="174">(Vin-Vdd)*Fsw*(QgTop+QgBot)+(RdsonDRT+RdsonDRT2)*Fsw*QgTop*Vdd/(RdsonDRT+2*RGateTop+RdsonDRT2)+(RdsonDRB+RdsonDRB2)*Fsw*QgBot*Vdd/(RdsonDRB+2*RGateBot+RdsonDRB2)</f>
        <v>0.17963774597495527</v>
      </c>
      <c r="AN202" s="464">
        <f t="shared" si="153"/>
        <v>0.30600000000000005</v>
      </c>
      <c r="AO202" s="464">
        <f t="shared" si="154"/>
        <v>2.9897491328362111</v>
      </c>
      <c r="AP202" s="100">
        <f t="shared" si="169"/>
        <v>57.9</v>
      </c>
      <c r="AQ202" s="10">
        <f t="shared" si="155"/>
        <v>0.95089897436900561</v>
      </c>
      <c r="AR202" s="77">
        <f t="shared" si="156"/>
        <v>16.293251742956894</v>
      </c>
      <c r="AS202" s="77">
        <f t="shared" si="157"/>
        <v>12.474191267070816</v>
      </c>
      <c r="AT202" s="10"/>
      <c r="AU202">
        <f t="shared" si="158"/>
        <v>95.089897436900557</v>
      </c>
    </row>
    <row r="203" spans="7:47" x14ac:dyDescent="0.15">
      <c r="G203">
        <v>194</v>
      </c>
      <c r="H203">
        <f t="shared" si="159"/>
        <v>11.64</v>
      </c>
      <c r="I203" s="463">
        <f t="shared" si="136"/>
        <v>0.42714266666666667</v>
      </c>
      <c r="J203" s="464">
        <f t="shared" si="160"/>
        <v>3.6242408080808084</v>
      </c>
      <c r="K203" s="464">
        <f t="shared" si="170"/>
        <v>13.452120404040405</v>
      </c>
      <c r="L203" s="464">
        <f t="shared" si="137"/>
        <v>9.8278795959595957</v>
      </c>
      <c r="M203" s="77">
        <f t="shared" si="161"/>
        <v>0</v>
      </c>
      <c r="N203" s="463">
        <f t="shared" si="138"/>
        <v>11.686924037269739</v>
      </c>
      <c r="O203" s="463">
        <f t="shared" si="139"/>
        <v>1.0033210788595111</v>
      </c>
      <c r="P203">
        <f t="shared" si="162"/>
        <v>0.4</v>
      </c>
      <c r="Q203" s="463">
        <f t="shared" si="171"/>
        <v>1.403321078859511</v>
      </c>
      <c r="R203" s="9">
        <f t="shared" si="140"/>
        <v>1.0462282030767409</v>
      </c>
      <c r="S203" s="9">
        <f t="shared" si="141"/>
        <v>2.1891869058263723E-3</v>
      </c>
      <c r="T203" s="9">
        <f t="shared" si="142"/>
        <v>2.1891869058263723E-3</v>
      </c>
      <c r="U203" s="463">
        <f t="shared" si="143"/>
        <v>7.638123893731577</v>
      </c>
      <c r="V203" s="465">
        <f t="shared" si="144"/>
        <v>1.9252509083277764E-2</v>
      </c>
      <c r="W203" s="463">
        <f t="shared" si="145"/>
        <v>1.9252509083277764E-2</v>
      </c>
      <c r="X203" s="463">
        <f t="shared" si="146"/>
        <v>7.638123893731577</v>
      </c>
      <c r="Y203" s="463">
        <f t="shared" si="147"/>
        <v>0.23336374646397293</v>
      </c>
      <c r="Z203" s="463">
        <f t="shared" si="163"/>
        <v>0.37755024534380777</v>
      </c>
      <c r="AA203" s="463">
        <f t="shared" si="164"/>
        <v>3.0000000000000002E-2</v>
      </c>
      <c r="AB203" s="463">
        <f t="shared" si="165"/>
        <v>0</v>
      </c>
      <c r="AC203" s="463">
        <f t="shared" si="148"/>
        <v>0.65622797365442653</v>
      </c>
      <c r="AD203" s="463">
        <f t="shared" si="149"/>
        <v>8.8455218521532117</v>
      </c>
      <c r="AE203" s="463">
        <f t="shared" si="150"/>
        <v>0.31297302734767996</v>
      </c>
      <c r="AF203" s="463">
        <f t="shared" si="166"/>
        <v>0.17460000000000001</v>
      </c>
      <c r="AG203" s="463">
        <f t="shared" si="151"/>
        <v>0.50332576622751146</v>
      </c>
      <c r="AH203" s="463">
        <f t="shared" si="152"/>
        <v>0</v>
      </c>
      <c r="AI203">
        <f t="shared" si="167"/>
        <v>0</v>
      </c>
      <c r="AJ203" s="464">
        <f t="shared" si="168"/>
        <v>0.11953440000000001</v>
      </c>
      <c r="AK203">
        <f t="shared" si="172"/>
        <v>3.6000000000000004E-2</v>
      </c>
      <c r="AL203" s="464">
        <f t="shared" si="173"/>
        <v>0.27</v>
      </c>
      <c r="AM203" s="464">
        <f t="shared" si="174"/>
        <v>0.17963774597495527</v>
      </c>
      <c r="AN203" s="464">
        <f t="shared" si="153"/>
        <v>0.30600000000000005</v>
      </c>
      <c r="AO203" s="464">
        <f t="shared" si="154"/>
        <v>3.0098509147305532</v>
      </c>
      <c r="AP203" s="100">
        <f t="shared" si="169"/>
        <v>58.2</v>
      </c>
      <c r="AQ203" s="10">
        <f t="shared" si="155"/>
        <v>0.95082734445925243</v>
      </c>
      <c r="AR203" s="77">
        <f t="shared" si="156"/>
        <v>16.405699341360663</v>
      </c>
      <c r="AS203" s="77">
        <f t="shared" si="157"/>
        <v>12.583144155687787</v>
      </c>
      <c r="AT203" s="10"/>
      <c r="AU203">
        <f t="shared" si="158"/>
        <v>95.08273444592524</v>
      </c>
    </row>
    <row r="204" spans="7:47" x14ac:dyDescent="0.15">
      <c r="G204">
        <v>195</v>
      </c>
      <c r="H204">
        <f t="shared" si="159"/>
        <v>11.7</v>
      </c>
      <c r="I204" s="463">
        <f t="shared" si="136"/>
        <v>0.42719666666666667</v>
      </c>
      <c r="J204" s="464">
        <f t="shared" si="160"/>
        <v>3.6246989898989903</v>
      </c>
      <c r="K204" s="464">
        <f t="shared" si="170"/>
        <v>13.512349494949495</v>
      </c>
      <c r="L204" s="464">
        <f t="shared" si="137"/>
        <v>9.8876505050505035</v>
      </c>
      <c r="M204" s="77">
        <f t="shared" si="161"/>
        <v>0</v>
      </c>
      <c r="N204" s="463">
        <f t="shared" si="138"/>
        <v>11.746696141069393</v>
      </c>
      <c r="O204" s="463">
        <f t="shared" si="139"/>
        <v>1.01444519798413</v>
      </c>
      <c r="P204">
        <f t="shared" si="162"/>
        <v>0.4</v>
      </c>
      <c r="Q204" s="463">
        <f t="shared" si="171"/>
        <v>1.4144451979841302</v>
      </c>
      <c r="R204" s="9">
        <f t="shared" si="140"/>
        <v>1.0463604687747734</v>
      </c>
      <c r="S204" s="9">
        <f t="shared" si="141"/>
        <v>2.1897404612291269E-3</v>
      </c>
      <c r="T204" s="9">
        <f t="shared" si="142"/>
        <v>2.1897404612291269E-3</v>
      </c>
      <c r="U204" s="463">
        <f t="shared" si="143"/>
        <v>7.6776739063958104</v>
      </c>
      <c r="V204" s="465">
        <f t="shared" si="144"/>
        <v>1.9452403282273864E-2</v>
      </c>
      <c r="W204" s="463">
        <f t="shared" si="145"/>
        <v>1.9452403282273864E-2</v>
      </c>
      <c r="X204" s="463">
        <f t="shared" si="146"/>
        <v>7.6776739063958104</v>
      </c>
      <c r="Y204" s="463">
        <f t="shared" si="147"/>
        <v>0.23578670645180441</v>
      </c>
      <c r="Z204" s="463">
        <f t="shared" si="163"/>
        <v>0.37937605931589163</v>
      </c>
      <c r="AA204" s="463">
        <f t="shared" si="164"/>
        <v>3.0000000000000002E-2</v>
      </c>
      <c r="AB204" s="463">
        <f t="shared" si="165"/>
        <v>0</v>
      </c>
      <c r="AC204" s="463">
        <f t="shared" si="148"/>
        <v>0.66074218820475172</v>
      </c>
      <c r="AD204" s="463">
        <f t="shared" si="149"/>
        <v>8.8903427165471776</v>
      </c>
      <c r="AE204" s="463">
        <f t="shared" si="150"/>
        <v>0.31615277447065382</v>
      </c>
      <c r="AF204" s="463">
        <f t="shared" si="166"/>
        <v>0.17549999999999999</v>
      </c>
      <c r="AG204" s="463">
        <f t="shared" si="151"/>
        <v>0.50770397655026889</v>
      </c>
      <c r="AH204" s="463">
        <f t="shared" si="152"/>
        <v>0</v>
      </c>
      <c r="AI204">
        <f t="shared" si="167"/>
        <v>0</v>
      </c>
      <c r="AJ204" s="464">
        <f t="shared" si="168"/>
        <v>0.11953200000000001</v>
      </c>
      <c r="AK204">
        <f t="shared" si="172"/>
        <v>3.6000000000000004E-2</v>
      </c>
      <c r="AL204" s="464">
        <f t="shared" si="173"/>
        <v>0.27</v>
      </c>
      <c r="AM204" s="464">
        <f t="shared" si="174"/>
        <v>0.17963774597495527</v>
      </c>
      <c r="AN204" s="464">
        <f t="shared" si="153"/>
        <v>0.30600000000000005</v>
      </c>
      <c r="AO204" s="464">
        <f t="shared" si="154"/>
        <v>3.0300655064826536</v>
      </c>
      <c r="AP204" s="100">
        <f t="shared" si="169"/>
        <v>58.5</v>
      </c>
      <c r="AQ204" s="10">
        <f t="shared" si="155"/>
        <v>0.95075471671384104</v>
      </c>
      <c r="AR204" s="77">
        <f t="shared" si="156"/>
        <v>16.518554705118792</v>
      </c>
      <c r="AS204" s="77">
        <f t="shared" si="157"/>
        <v>12.692599413756723</v>
      </c>
      <c r="AT204" s="10"/>
      <c r="AU204">
        <f t="shared" si="158"/>
        <v>95.075471671384108</v>
      </c>
    </row>
    <row r="205" spans="7:47" x14ac:dyDescent="0.15">
      <c r="G205">
        <v>196</v>
      </c>
      <c r="H205">
        <f t="shared" si="159"/>
        <v>11.76</v>
      </c>
      <c r="I205" s="463">
        <f t="shared" si="136"/>
        <v>0.42725066666666667</v>
      </c>
      <c r="J205" s="464">
        <f t="shared" si="160"/>
        <v>3.6251571717171718</v>
      </c>
      <c r="K205" s="464">
        <f t="shared" si="170"/>
        <v>13.572578585858587</v>
      </c>
      <c r="L205" s="464">
        <f t="shared" si="137"/>
        <v>9.947421414141413</v>
      </c>
      <c r="M205" s="77">
        <f t="shared" si="161"/>
        <v>0</v>
      </c>
      <c r="N205" s="463">
        <f t="shared" si="138"/>
        <v>11.806470558270339</v>
      </c>
      <c r="O205" s="463">
        <f t="shared" si="139"/>
        <v>1.025644984605542</v>
      </c>
      <c r="P205">
        <f t="shared" si="162"/>
        <v>0.4</v>
      </c>
      <c r="Q205" s="463">
        <f t="shared" si="171"/>
        <v>1.4256449846055421</v>
      </c>
      <c r="R205" s="9">
        <f t="shared" si="140"/>
        <v>1.0464927344728059</v>
      </c>
      <c r="S205" s="9">
        <f t="shared" si="141"/>
        <v>2.1902940866087412E-3</v>
      </c>
      <c r="T205" s="9">
        <f t="shared" si="142"/>
        <v>2.1902940866087412E-3</v>
      </c>
      <c r="U205" s="463">
        <f t="shared" si="143"/>
        <v>7.7172303388424144</v>
      </c>
      <c r="V205" s="465">
        <f t="shared" si="144"/>
        <v>1.9653362553907434E-2</v>
      </c>
      <c r="W205" s="463">
        <f t="shared" si="145"/>
        <v>1.9653362553907434E-2</v>
      </c>
      <c r="X205" s="463">
        <f t="shared" si="146"/>
        <v>7.7172303388424144</v>
      </c>
      <c r="Y205" s="463">
        <f t="shared" si="147"/>
        <v>0.23822257641099923</v>
      </c>
      <c r="Z205" s="463">
        <f t="shared" si="163"/>
        <v>0.38120187328797556</v>
      </c>
      <c r="AA205" s="463">
        <f t="shared" si="164"/>
        <v>3.0000000000000002E-2</v>
      </c>
      <c r="AB205" s="463">
        <f t="shared" si="165"/>
        <v>0</v>
      </c>
      <c r="AC205" s="463">
        <f t="shared" si="148"/>
        <v>0.66527274851571894</v>
      </c>
      <c r="AD205" s="463">
        <f t="shared" si="149"/>
        <v>8.9351610472645948</v>
      </c>
      <c r="AE205" s="463">
        <f t="shared" si="150"/>
        <v>0.31934841176221812</v>
      </c>
      <c r="AF205" s="463">
        <f t="shared" si="166"/>
        <v>0.1764</v>
      </c>
      <c r="AG205" s="463">
        <f t="shared" si="151"/>
        <v>0.51210231795199002</v>
      </c>
      <c r="AH205" s="463">
        <f t="shared" si="152"/>
        <v>0</v>
      </c>
      <c r="AI205">
        <f t="shared" si="167"/>
        <v>0</v>
      </c>
      <c r="AJ205" s="464">
        <f t="shared" si="168"/>
        <v>0.1195296</v>
      </c>
      <c r="AK205">
        <f t="shared" si="172"/>
        <v>3.6000000000000004E-2</v>
      </c>
      <c r="AL205" s="464">
        <f t="shared" si="173"/>
        <v>0.27</v>
      </c>
      <c r="AM205" s="464">
        <f t="shared" si="174"/>
        <v>0.17963774597495527</v>
      </c>
      <c r="AN205" s="464">
        <f t="shared" si="153"/>
        <v>0.30600000000000005</v>
      </c>
      <c r="AO205" s="464">
        <f t="shared" si="154"/>
        <v>3.0503933077137675</v>
      </c>
      <c r="AP205" s="100">
        <f t="shared" si="169"/>
        <v>58.8</v>
      </c>
      <c r="AQ205" s="10">
        <f t="shared" si="155"/>
        <v>0.95068110088584779</v>
      </c>
      <c r="AR205" s="77">
        <f t="shared" si="156"/>
        <v>16.631818712892972</v>
      </c>
      <c r="AS205" s="77">
        <f t="shared" si="157"/>
        <v>12.80255794879975</v>
      </c>
      <c r="AT205" s="10"/>
      <c r="AU205">
        <f t="shared" si="158"/>
        <v>95.068110088584774</v>
      </c>
    </row>
    <row r="206" spans="7:47" x14ac:dyDescent="0.15">
      <c r="G206">
        <v>197</v>
      </c>
      <c r="H206">
        <f t="shared" si="159"/>
        <v>11.82</v>
      </c>
      <c r="I206" s="463">
        <f t="shared" si="136"/>
        <v>0.42730466666666667</v>
      </c>
      <c r="J206" s="464">
        <f t="shared" si="160"/>
        <v>3.6256153535353537</v>
      </c>
      <c r="K206" s="464">
        <f t="shared" si="170"/>
        <v>13.632807676767676</v>
      </c>
      <c r="L206" s="464">
        <f t="shared" si="137"/>
        <v>10.007192323232324</v>
      </c>
      <c r="M206" s="77">
        <f t="shared" si="161"/>
        <v>0</v>
      </c>
      <c r="N206" s="463">
        <f t="shared" si="138"/>
        <v>11.866247253912359</v>
      </c>
      <c r="O206" s="463">
        <f t="shared" si="139"/>
        <v>1.0369207695232181</v>
      </c>
      <c r="P206">
        <f t="shared" si="162"/>
        <v>0.4</v>
      </c>
      <c r="Q206" s="463">
        <f t="shared" si="171"/>
        <v>1.4369207695232182</v>
      </c>
      <c r="R206" s="9">
        <f t="shared" si="140"/>
        <v>1.0466250001708384</v>
      </c>
      <c r="S206" s="9">
        <f t="shared" si="141"/>
        <v>2.1908477819652149E-3</v>
      </c>
      <c r="T206" s="9">
        <f t="shared" si="142"/>
        <v>2.1908477819652149E-3</v>
      </c>
      <c r="U206" s="463">
        <f t="shared" si="143"/>
        <v>7.7567931680427717</v>
      </c>
      <c r="V206" s="465">
        <f t="shared" si="144"/>
        <v>1.9855387283092357E-2</v>
      </c>
      <c r="W206" s="463">
        <f t="shared" si="145"/>
        <v>1.9855387283092357E-2</v>
      </c>
      <c r="X206" s="463">
        <f t="shared" si="146"/>
        <v>7.7567931680427717</v>
      </c>
      <c r="Y206" s="463">
        <f t="shared" si="147"/>
        <v>0.24067136100718009</v>
      </c>
      <c r="Z206" s="463">
        <f t="shared" si="163"/>
        <v>0.38302768726005942</v>
      </c>
      <c r="AA206" s="463">
        <f t="shared" si="164"/>
        <v>3.0000000000000002E-2</v>
      </c>
      <c r="AB206" s="463">
        <f t="shared" si="165"/>
        <v>0</v>
      </c>
      <c r="AC206" s="463">
        <f t="shared" si="148"/>
        <v>0.66981968990717633</v>
      </c>
      <c r="AD206" s="463">
        <f t="shared" si="149"/>
        <v>8.9799768172967784</v>
      </c>
      <c r="AE206" s="463">
        <f t="shared" si="150"/>
        <v>0.32255993455675031</v>
      </c>
      <c r="AF206" s="463">
        <f t="shared" si="166"/>
        <v>0.17729999999999999</v>
      </c>
      <c r="AG206" s="463">
        <f t="shared" si="151"/>
        <v>0.5165208269712549</v>
      </c>
      <c r="AH206" s="463">
        <f t="shared" si="152"/>
        <v>0</v>
      </c>
      <c r="AI206">
        <f t="shared" si="167"/>
        <v>0</v>
      </c>
      <c r="AJ206" s="464">
        <f t="shared" si="168"/>
        <v>0.1195272</v>
      </c>
      <c r="AK206">
        <f t="shared" si="172"/>
        <v>3.6000000000000004E-2</v>
      </c>
      <c r="AL206" s="464">
        <f t="shared" si="173"/>
        <v>0.27</v>
      </c>
      <c r="AM206" s="464">
        <f t="shared" si="174"/>
        <v>0.17963774597495527</v>
      </c>
      <c r="AN206" s="464">
        <f t="shared" si="153"/>
        <v>0.30600000000000005</v>
      </c>
      <c r="AO206" s="464">
        <f t="shared" si="154"/>
        <v>3.0708347214667069</v>
      </c>
      <c r="AP206" s="100">
        <f t="shared" si="169"/>
        <v>59.1</v>
      </c>
      <c r="AQ206" s="10">
        <f t="shared" si="155"/>
        <v>0.95060650648773748</v>
      </c>
      <c r="AR206" s="77">
        <f t="shared" si="156"/>
        <v>16.745492247679408</v>
      </c>
      <c r="AS206" s="77">
        <f t="shared" si="157"/>
        <v>12.913020674281373</v>
      </c>
      <c r="AT206" s="10"/>
      <c r="AU206">
        <f t="shared" si="158"/>
        <v>95.060650648773745</v>
      </c>
    </row>
    <row r="207" spans="7:47" x14ac:dyDescent="0.15">
      <c r="G207">
        <v>198</v>
      </c>
      <c r="H207">
        <f t="shared" si="159"/>
        <v>11.879999999999999</v>
      </c>
      <c r="I207" s="463">
        <f t="shared" si="136"/>
        <v>0.42735866666666666</v>
      </c>
      <c r="J207" s="464">
        <f t="shared" si="160"/>
        <v>3.6260735353535356</v>
      </c>
      <c r="K207" s="464">
        <f t="shared" si="170"/>
        <v>13.693036767676766</v>
      </c>
      <c r="L207" s="464">
        <f t="shared" si="137"/>
        <v>10.066963232323232</v>
      </c>
      <c r="M207" s="77">
        <f t="shared" si="161"/>
        <v>0</v>
      </c>
      <c r="N207" s="463">
        <f t="shared" si="138"/>
        <v>11.926026193734829</v>
      </c>
      <c r="O207" s="463">
        <f t="shared" si="139"/>
        <v>1.0482728865736513</v>
      </c>
      <c r="P207">
        <f t="shared" si="162"/>
        <v>0.4</v>
      </c>
      <c r="Q207" s="463">
        <f t="shared" si="171"/>
        <v>1.4482728865736512</v>
      </c>
      <c r="R207" s="9">
        <f t="shared" si="140"/>
        <v>1.0467572658688709</v>
      </c>
      <c r="S207" s="9">
        <f t="shared" si="141"/>
        <v>2.1914015472985484E-3</v>
      </c>
      <c r="T207" s="9">
        <f t="shared" si="142"/>
        <v>2.1914015472985484E-3</v>
      </c>
      <c r="U207" s="463">
        <f t="shared" si="143"/>
        <v>7.7963623714199155</v>
      </c>
      <c r="V207" s="465">
        <f t="shared" si="144"/>
        <v>2.005847785474248E-2</v>
      </c>
      <c r="W207" s="463">
        <f t="shared" si="145"/>
        <v>2.005847785474248E-2</v>
      </c>
      <c r="X207" s="463">
        <f t="shared" si="146"/>
        <v>7.7963623714199155</v>
      </c>
      <c r="Y207" s="463">
        <f t="shared" si="147"/>
        <v>0.24313306490596948</v>
      </c>
      <c r="Z207" s="463">
        <f t="shared" si="163"/>
        <v>0.38485350123214329</v>
      </c>
      <c r="AA207" s="463">
        <f t="shared" si="164"/>
        <v>3.0000000000000002E-2</v>
      </c>
      <c r="AB207" s="463">
        <f t="shared" si="165"/>
        <v>0</v>
      </c>
      <c r="AC207" s="463">
        <f t="shared" si="148"/>
        <v>0.67438304787311476</v>
      </c>
      <c r="AD207" s="463">
        <f t="shared" si="149"/>
        <v>9.0247900001693591</v>
      </c>
      <c r="AE207" s="463">
        <f t="shared" si="150"/>
        <v>0.32578733818862743</v>
      </c>
      <c r="AF207" s="463">
        <f t="shared" si="166"/>
        <v>0.17819999999999997</v>
      </c>
      <c r="AG207" s="463">
        <f t="shared" si="151"/>
        <v>0.52095954038523506</v>
      </c>
      <c r="AH207" s="463">
        <f t="shared" si="152"/>
        <v>0</v>
      </c>
      <c r="AI207">
        <f t="shared" si="167"/>
        <v>0</v>
      </c>
      <c r="AJ207" s="464">
        <f t="shared" si="168"/>
        <v>0.1195248</v>
      </c>
      <c r="AK207">
        <f t="shared" si="172"/>
        <v>3.6000000000000004E-2</v>
      </c>
      <c r="AL207" s="464">
        <f t="shared" si="173"/>
        <v>0.27</v>
      </c>
      <c r="AM207" s="464">
        <f t="shared" si="174"/>
        <v>0.17963774597495527</v>
      </c>
      <c r="AN207" s="464">
        <f t="shared" si="153"/>
        <v>0.30600000000000005</v>
      </c>
      <c r="AO207" s="464">
        <f t="shared" si="154"/>
        <v>3.0913901542340425</v>
      </c>
      <c r="AP207" s="100">
        <f t="shared" si="169"/>
        <v>59.399999999999991</v>
      </c>
      <c r="AQ207" s="10">
        <f t="shared" si="155"/>
        <v>0.950530942797012</v>
      </c>
      <c r="AR207" s="77">
        <f t="shared" si="156"/>
        <v>16.85957619682787</v>
      </c>
      <c r="AS207" s="77">
        <f t="shared" si="157"/>
        <v>13.023988509630877</v>
      </c>
      <c r="AT207" s="10"/>
      <c r="AU207">
        <f t="shared" si="158"/>
        <v>95.053094279701199</v>
      </c>
    </row>
    <row r="208" spans="7:47" x14ac:dyDescent="0.15">
      <c r="G208">
        <v>199</v>
      </c>
      <c r="H208">
        <f t="shared" si="159"/>
        <v>11.94</v>
      </c>
      <c r="I208" s="463">
        <f t="shared" si="136"/>
        <v>0.42741266666666666</v>
      </c>
      <c r="J208" s="464">
        <f t="shared" si="160"/>
        <v>3.6265317171717175</v>
      </c>
      <c r="K208" s="464">
        <f t="shared" si="170"/>
        <v>13.753265858585859</v>
      </c>
      <c r="L208" s="464">
        <f t="shared" si="137"/>
        <v>10.12673414141414</v>
      </c>
      <c r="M208" s="77">
        <f t="shared" si="161"/>
        <v>0</v>
      </c>
      <c r="N208" s="463">
        <f t="shared" si="138"/>
        <v>11.985807344159356</v>
      </c>
      <c r="O208" s="463">
        <f t="shared" si="139"/>
        <v>1.0597016726572213</v>
      </c>
      <c r="P208">
        <f t="shared" si="162"/>
        <v>0.4</v>
      </c>
      <c r="Q208" s="463">
        <f t="shared" si="171"/>
        <v>1.4597016726572214</v>
      </c>
      <c r="R208" s="9">
        <f t="shared" si="140"/>
        <v>1.0468895315669036</v>
      </c>
      <c r="S208" s="9">
        <f t="shared" si="141"/>
        <v>2.1919553826087418E-3</v>
      </c>
      <c r="T208" s="9">
        <f t="shared" si="142"/>
        <v>2.1919553826087418E-3</v>
      </c>
      <c r="U208" s="463">
        <f t="shared" si="143"/>
        <v>7.8359379268373219</v>
      </c>
      <c r="V208" s="465">
        <f t="shared" si="144"/>
        <v>2.0262634653771702E-2</v>
      </c>
      <c r="W208" s="463">
        <f t="shared" si="145"/>
        <v>2.0262634653771702E-2</v>
      </c>
      <c r="X208" s="463">
        <f t="shared" si="146"/>
        <v>7.8359379268373219</v>
      </c>
      <c r="Y208" s="463">
        <f t="shared" si="147"/>
        <v>0.24560769277299033</v>
      </c>
      <c r="Z208" s="463">
        <f t="shared" si="163"/>
        <v>0.38667931520422716</v>
      </c>
      <c r="AA208" s="463">
        <f t="shared" si="164"/>
        <v>3.0000000000000002E-2</v>
      </c>
      <c r="AB208" s="463">
        <f t="shared" si="165"/>
        <v>0</v>
      </c>
      <c r="AC208" s="463">
        <f t="shared" si="148"/>
        <v>0.67896285808243573</v>
      </c>
      <c r="AD208" s="463">
        <f t="shared" si="149"/>
        <v>9.069600569929019</v>
      </c>
      <c r="AE208" s="463">
        <f t="shared" si="150"/>
        <v>0.3290306179922271</v>
      </c>
      <c r="AF208" s="463">
        <f t="shared" si="166"/>
        <v>0.17909999999999998</v>
      </c>
      <c r="AG208" s="463">
        <f t="shared" si="151"/>
        <v>0.52541849521059603</v>
      </c>
      <c r="AH208" s="463">
        <f t="shared" si="152"/>
        <v>0</v>
      </c>
      <c r="AI208">
        <f t="shared" si="167"/>
        <v>0</v>
      </c>
      <c r="AJ208" s="464">
        <f t="shared" si="168"/>
        <v>0.1195224</v>
      </c>
      <c r="AK208">
        <f t="shared" si="172"/>
        <v>3.6000000000000004E-2</v>
      </c>
      <c r="AL208" s="464">
        <f t="shared" si="173"/>
        <v>0.27</v>
      </c>
      <c r="AM208" s="464">
        <f t="shared" si="174"/>
        <v>0.17963774597495527</v>
      </c>
      <c r="AN208" s="464">
        <f t="shared" si="153"/>
        <v>0.30600000000000005</v>
      </c>
      <c r="AO208" s="464">
        <f t="shared" si="154"/>
        <v>3.1120600159866338</v>
      </c>
      <c r="AP208" s="100">
        <f t="shared" si="169"/>
        <v>59.699999999999996</v>
      </c>
      <c r="AQ208" s="10">
        <f t="shared" si="155"/>
        <v>0.95045441886168724</v>
      </c>
      <c r="AR208" s="77">
        <f t="shared" si="156"/>
        <v>16.974071452060894</v>
      </c>
      <c r="AS208" s="77">
        <f t="shared" si="157"/>
        <v>13.135462380264901</v>
      </c>
      <c r="AT208" s="10"/>
      <c r="AU208">
        <f t="shared" si="158"/>
        <v>95.045441886168732</v>
      </c>
    </row>
    <row r="209" spans="7:47" x14ac:dyDescent="0.15">
      <c r="G209">
        <v>200</v>
      </c>
      <c r="H209">
        <f t="shared" si="159"/>
        <v>12</v>
      </c>
      <c r="I209" s="463">
        <f t="shared" si="136"/>
        <v>0.42746666666666666</v>
      </c>
      <c r="J209" s="464">
        <f t="shared" si="160"/>
        <v>3.626989898989899</v>
      </c>
      <c r="K209" s="464">
        <f t="shared" si="170"/>
        <v>13.813494949494949</v>
      </c>
      <c r="L209" s="464">
        <f t="shared" si="137"/>
        <v>10.186505050505051</v>
      </c>
      <c r="M209" s="77">
        <f t="shared" si="161"/>
        <v>0</v>
      </c>
      <c r="N209" s="463">
        <f t="shared" si="138"/>
        <v>12.045590672272901</v>
      </c>
      <c r="O209" s="463">
        <f t="shared" si="139"/>
        <v>1.0712074677653918</v>
      </c>
      <c r="P209">
        <f t="shared" si="162"/>
        <v>0.4</v>
      </c>
      <c r="Q209" s="463">
        <f t="shared" si="171"/>
        <v>1.4712074677653919</v>
      </c>
      <c r="R209" s="9">
        <f t="shared" si="140"/>
        <v>1.0470217972649358</v>
      </c>
      <c r="S209" s="9">
        <f t="shared" si="141"/>
        <v>2.1925092878957927E-3</v>
      </c>
      <c r="T209" s="9">
        <f t="shared" si="142"/>
        <v>2.1925092878957927E-3</v>
      </c>
      <c r="U209" s="463">
        <f t="shared" si="143"/>
        <v>7.875519812588009</v>
      </c>
      <c r="V209" s="465">
        <f t="shared" si="144"/>
        <v>2.046785806509387E-2</v>
      </c>
      <c r="W209" s="463">
        <f t="shared" si="145"/>
        <v>2.046785806509387E-2</v>
      </c>
      <c r="X209" s="463">
        <f t="shared" si="146"/>
        <v>7.875519812588009</v>
      </c>
      <c r="Y209" s="463">
        <f t="shared" si="147"/>
        <v>0.24809524927386509</v>
      </c>
      <c r="Z209" s="463">
        <f t="shared" si="163"/>
        <v>0.38850512917631108</v>
      </c>
      <c r="AA209" s="463">
        <f t="shared" si="164"/>
        <v>3.0000000000000002E-2</v>
      </c>
      <c r="AB209" s="463">
        <f t="shared" si="165"/>
        <v>0</v>
      </c>
      <c r="AC209" s="463">
        <f t="shared" si="148"/>
        <v>0.6835591563797222</v>
      </c>
      <c r="AD209" s="463">
        <f t="shared" si="149"/>
        <v>9.114408501130594</v>
      </c>
      <c r="AE209" s="463">
        <f t="shared" si="150"/>
        <v>0.33228976930192661</v>
      </c>
      <c r="AF209" s="463">
        <f t="shared" si="166"/>
        <v>0.18</v>
      </c>
      <c r="AG209" s="463">
        <f t="shared" si="151"/>
        <v>0.52989772870440688</v>
      </c>
      <c r="AH209" s="463">
        <f t="shared" si="152"/>
        <v>0</v>
      </c>
      <c r="AI209">
        <f t="shared" si="167"/>
        <v>0</v>
      </c>
      <c r="AJ209" s="464">
        <f t="shared" si="168"/>
        <v>0.11952</v>
      </c>
      <c r="AK209">
        <f t="shared" si="172"/>
        <v>3.6000000000000004E-2</v>
      </c>
      <c r="AL209" s="464">
        <f t="shared" si="173"/>
        <v>0.27</v>
      </c>
      <c r="AM209" s="464">
        <f t="shared" si="174"/>
        <v>0.17963774597495527</v>
      </c>
      <c r="AN209" s="464">
        <f t="shared" si="153"/>
        <v>0.30600000000000005</v>
      </c>
      <c r="AO209" s="464">
        <f t="shared" si="154"/>
        <v>3.1328447202025105</v>
      </c>
      <c r="AP209" s="100">
        <f t="shared" si="169"/>
        <v>60</v>
      </c>
      <c r="AQ209" s="10">
        <f t="shared" si="155"/>
        <v>0.95037694350560442</v>
      </c>
      <c r="AR209" s="77">
        <f t="shared" si="156"/>
        <v>17.088978909493054</v>
      </c>
      <c r="AS209" s="77">
        <f t="shared" si="157"/>
        <v>13.247443217610172</v>
      </c>
      <c r="AT209" s="10"/>
      <c r="AU209">
        <f t="shared" si="158"/>
        <v>95.037694350560443</v>
      </c>
    </row>
  </sheetData>
  <sheetProtection selectLockedCells="1"/>
  <mergeCells count="2">
    <mergeCell ref="A1:D4"/>
    <mergeCell ref="A6:D7"/>
  </mergeCells>
  <phoneticPr fontId="5"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E7"/>
  <sheetViews>
    <sheetView workbookViewId="0">
      <selection activeCell="M42" sqref="M42"/>
    </sheetView>
  </sheetViews>
  <sheetFormatPr defaultRowHeight="12.75" x14ac:dyDescent="0.15"/>
  <cols>
    <col min="1" max="1" width="18.609375" customWidth="1"/>
    <col min="2" max="2" width="9.3046875" customWidth="1"/>
    <col min="4" max="4" width="11.19140625" customWidth="1"/>
  </cols>
  <sheetData>
    <row r="1" spans="1:5" x14ac:dyDescent="0.15">
      <c r="C1" t="s">
        <v>350</v>
      </c>
      <c r="D1" t="s">
        <v>349</v>
      </c>
    </row>
    <row r="2" spans="1:5" x14ac:dyDescent="0.15">
      <c r="A2" t="s">
        <v>347</v>
      </c>
      <c r="B2" s="76">
        <v>85</v>
      </c>
      <c r="C2" t="s">
        <v>348</v>
      </c>
      <c r="D2">
        <f>B2*1000000</f>
        <v>85000000</v>
      </c>
      <c r="E2" t="s">
        <v>10</v>
      </c>
    </row>
    <row r="3" spans="1:5" x14ac:dyDescent="0.15">
      <c r="A3" t="s">
        <v>351</v>
      </c>
      <c r="B3" s="76">
        <v>3000</v>
      </c>
      <c r="C3" t="s">
        <v>53</v>
      </c>
      <c r="D3">
        <f>B3*0.000000000001</f>
        <v>3E-9</v>
      </c>
      <c r="E3" t="s">
        <v>34</v>
      </c>
    </row>
    <row r="4" spans="1:5" x14ac:dyDescent="0.15">
      <c r="A4" t="s">
        <v>353</v>
      </c>
      <c r="B4" s="77">
        <f>1000000000*1/((D2*2*3.14159)^2*D3)</f>
        <v>1.1686430773614742</v>
      </c>
      <c r="C4" t="s">
        <v>354</v>
      </c>
      <c r="D4">
        <f>B4/1000000000</f>
        <v>1.1686430773614743E-9</v>
      </c>
      <c r="E4" t="s">
        <v>24</v>
      </c>
    </row>
    <row r="5" spans="1:5" x14ac:dyDescent="0.15">
      <c r="A5" t="s">
        <v>352</v>
      </c>
      <c r="B5">
        <f>4*B3</f>
        <v>12000</v>
      </c>
      <c r="C5" t="s">
        <v>53</v>
      </c>
      <c r="D5">
        <f>B5*0.000000000001</f>
        <v>1.2E-8</v>
      </c>
      <c r="E5" t="s">
        <v>34</v>
      </c>
    </row>
    <row r="6" spans="1:5" x14ac:dyDescent="0.15">
      <c r="A6" t="s">
        <v>355</v>
      </c>
      <c r="B6" s="4">
        <f>SQRT(D4/D3)</f>
        <v>0.62413755891936573</v>
      </c>
      <c r="C6" s="4" t="s">
        <v>274</v>
      </c>
      <c r="D6" s="4">
        <f>B6</f>
        <v>0.62413755891936573</v>
      </c>
      <c r="E6" t="s">
        <v>274</v>
      </c>
    </row>
    <row r="7" spans="1:5" x14ac:dyDescent="0.15">
      <c r="B7" s="4"/>
      <c r="C7" s="4"/>
      <c r="D7" s="4"/>
    </row>
  </sheetData>
  <phoneticPr fontId="5"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3:E16"/>
  <sheetViews>
    <sheetView workbookViewId="0">
      <selection activeCell="E30" sqref="E30"/>
    </sheetView>
  </sheetViews>
  <sheetFormatPr defaultRowHeight="12.75" x14ac:dyDescent="0.15"/>
  <sheetData>
    <row r="3" spans="1:5" x14ac:dyDescent="0.15">
      <c r="A3" t="s">
        <v>299</v>
      </c>
      <c r="B3">
        <f>Iripple1</f>
        <v>3.626989898989899</v>
      </c>
    </row>
    <row r="4" spans="1:5" x14ac:dyDescent="0.15">
      <c r="A4" t="s">
        <v>7</v>
      </c>
      <c r="B4">
        <f>Fsw</f>
        <v>250000</v>
      </c>
    </row>
    <row r="6" spans="1:5" x14ac:dyDescent="0.15">
      <c r="A6" t="s">
        <v>279</v>
      </c>
      <c r="B6" s="61">
        <v>0.5</v>
      </c>
      <c r="C6" t="s">
        <v>134</v>
      </c>
      <c r="D6">
        <f>B6/1000</f>
        <v>5.0000000000000001E-4</v>
      </c>
      <c r="E6" t="s">
        <v>25</v>
      </c>
    </row>
    <row r="7" spans="1:5" x14ac:dyDescent="0.15">
      <c r="A7" t="s">
        <v>297</v>
      </c>
      <c r="B7" s="61">
        <v>20</v>
      </c>
      <c r="C7" t="s">
        <v>30</v>
      </c>
      <c r="D7">
        <f>B7/1000000</f>
        <v>2.0000000000000002E-5</v>
      </c>
      <c r="E7" t="s">
        <v>34</v>
      </c>
    </row>
    <row r="9" spans="1:5" x14ac:dyDescent="0.15">
      <c r="A9" t="s">
        <v>280</v>
      </c>
      <c r="B9" s="61">
        <v>20</v>
      </c>
      <c r="C9" t="s">
        <v>134</v>
      </c>
      <c r="D9">
        <f>B9/1000</f>
        <v>0.02</v>
      </c>
      <c r="E9" t="s">
        <v>25</v>
      </c>
    </row>
    <row r="10" spans="1:5" x14ac:dyDescent="0.15">
      <c r="A10" t="s">
        <v>298</v>
      </c>
      <c r="B10" s="61">
        <v>68</v>
      </c>
      <c r="C10" t="s">
        <v>30</v>
      </c>
      <c r="D10">
        <f>B10/1000000</f>
        <v>6.7999999999999999E-5</v>
      </c>
      <c r="E10" t="s">
        <v>34</v>
      </c>
    </row>
    <row r="12" spans="1:5" x14ac:dyDescent="0.15">
      <c r="A12" t="s">
        <v>301</v>
      </c>
      <c r="B12">
        <f>(D7/(D7+D10))*SQRT((D9*D10*B4)^2+1)/SQRT((((D6+D9)*D7*D10/(D10+D7))*B4)^2+1)</f>
        <v>0.23930049040395651</v>
      </c>
      <c r="C12" t="s">
        <v>300</v>
      </c>
    </row>
    <row r="13" spans="1:5" x14ac:dyDescent="0.15">
      <c r="A13" t="s">
        <v>302</v>
      </c>
      <c r="B13">
        <f>1-B12</f>
        <v>0.76069950959604349</v>
      </c>
      <c r="C13" t="s">
        <v>300</v>
      </c>
    </row>
    <row r="15" spans="1:5" x14ac:dyDescent="0.15">
      <c r="A15" t="s">
        <v>301</v>
      </c>
      <c r="B15">
        <f>B12*(Iripple1/(2*SQRT(3)))</f>
        <v>0.25055282954913105</v>
      </c>
      <c r="C15" t="s">
        <v>2</v>
      </c>
    </row>
    <row r="16" spans="1:5" x14ac:dyDescent="0.15">
      <c r="A16" t="s">
        <v>302</v>
      </c>
      <c r="B16">
        <f>B13*(Iripple1/(2*SQRT(3)))</f>
        <v>0.79646896771580478</v>
      </c>
      <c r="C16" t="s">
        <v>2</v>
      </c>
    </row>
  </sheetData>
  <phoneticPr fontId="5"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10</vt:i4>
      </vt:variant>
      <vt:variant>
        <vt:lpstr>Named Ranges</vt:lpstr>
      </vt:variant>
      <vt:variant>
        <vt:i4>149</vt:i4>
      </vt:variant>
    </vt:vector>
  </HeadingPairs>
  <TitlesOfParts>
    <vt:vector size="159" baseType="lpstr">
      <vt:lpstr>Design Regulator</vt:lpstr>
      <vt:lpstr>Schematic &amp; BOM</vt:lpstr>
      <vt:lpstr>EVMs</vt:lpstr>
      <vt:lpstr>Variable Management</vt:lpstr>
      <vt:lpstr>Standard Value Calculator</vt:lpstr>
      <vt:lpstr>Bode Plots Calculations</vt:lpstr>
      <vt:lpstr>Schematic Management</vt:lpstr>
      <vt:lpstr>Power Calculations</vt:lpstr>
      <vt:lpstr>Snubber</vt:lpstr>
      <vt:lpstr>Parallel Output Caps</vt:lpstr>
      <vt:lpstr>_Don1</vt:lpstr>
      <vt:lpstr>_Don2</vt:lpstr>
      <vt:lpstr>_Ren1</vt:lpstr>
      <vt:lpstr>_Rfb1</vt:lpstr>
      <vt:lpstr>_Rfb2</vt:lpstr>
      <vt:lpstr>_Rs1</vt:lpstr>
      <vt:lpstr>_Rs2</vt:lpstr>
      <vt:lpstr>_Rs3</vt:lpstr>
      <vt:lpstr>Cb</vt:lpstr>
      <vt:lpstr>Cby</vt:lpstr>
      <vt:lpstr>Cc1ea</vt:lpstr>
      <vt:lpstr>Cc1ea_u</vt:lpstr>
      <vt:lpstr>Cc2ea</vt:lpstr>
      <vt:lpstr>Cc2ea_u</vt:lpstr>
      <vt:lpstr>Cc3ea</vt:lpstr>
      <vt:lpstr>Cc3ea_u</vt:lpstr>
      <vt:lpstr>Cdd</vt:lpstr>
      <vt:lpstr>Cilim</vt:lpstr>
      <vt:lpstr>Cilim_ideal</vt:lpstr>
      <vt:lpstr>Cin</vt:lpstr>
      <vt:lpstr>Cin_Voltage_Rating</vt:lpstr>
      <vt:lpstr>CinEsrMax</vt:lpstr>
      <vt:lpstr>Core_Loss</vt:lpstr>
      <vt:lpstr>CossBot</vt:lpstr>
      <vt:lpstr>CossTop</vt:lpstr>
      <vt:lpstr>Cout</vt:lpstr>
      <vt:lpstr>Cout_Voltage_Rating</vt:lpstr>
      <vt:lpstr>CoutEsr</vt:lpstr>
      <vt:lpstr>Coutmin</vt:lpstr>
      <vt:lpstr>Csb</vt:lpstr>
      <vt:lpstr>Csby</vt:lpstr>
      <vt:lpstr>Css</vt:lpstr>
      <vt:lpstr>Css_u</vt:lpstr>
      <vt:lpstr>DC_Current_Limit_Setpoint</vt:lpstr>
      <vt:lpstr>Deadtime</vt:lpstr>
      <vt:lpstr>Doff1</vt:lpstr>
      <vt:lpstr>Doff2</vt:lpstr>
      <vt:lpstr>Don_Vinmax</vt:lpstr>
      <vt:lpstr>Eadcg</vt:lpstr>
      <vt:lpstr>Fcross</vt:lpstr>
      <vt:lpstr>Fesr</vt:lpstr>
      <vt:lpstr>Fo</vt:lpstr>
      <vt:lpstr>Fp1_u</vt:lpstr>
      <vt:lpstr>Fp2_u</vt:lpstr>
      <vt:lpstr>Fsw</vt:lpstr>
      <vt:lpstr>Fz1_u</vt:lpstr>
      <vt:lpstr>Fz2_u</vt:lpstr>
      <vt:lpstr>GBP</vt:lpstr>
      <vt:lpstr>GmTop</vt:lpstr>
      <vt:lpstr>Icinrms</vt:lpstr>
      <vt:lpstr>Icoutrms</vt:lpstr>
      <vt:lpstr>Ilim1</vt:lpstr>
      <vt:lpstr>Ilim2</vt:lpstr>
      <vt:lpstr>ILimit</vt:lpstr>
      <vt:lpstr>Ilsat</vt:lpstr>
      <vt:lpstr>Iout</vt:lpstr>
      <vt:lpstr>Ipp</vt:lpstr>
      <vt:lpstr>Iq</vt:lpstr>
      <vt:lpstr>Ireverse</vt:lpstr>
      <vt:lpstr>Iripple1</vt:lpstr>
      <vt:lpstr>Iss</vt:lpstr>
      <vt:lpstr>Iuvlo_hys</vt:lpstr>
      <vt:lpstr>Iuvlo1</vt:lpstr>
      <vt:lpstr>Iuvlo2</vt:lpstr>
      <vt:lpstr>Kmidband</vt:lpstr>
      <vt:lpstr>Lout1</vt:lpstr>
      <vt:lpstr>Lout2</vt:lpstr>
      <vt:lpstr>Ltc</vt:lpstr>
      <vt:lpstr>Pi</vt:lpstr>
      <vt:lpstr>Design Regulator!Print_Area</vt:lpstr>
      <vt:lpstr>Schematic &amp; BOM!Print_Area</vt:lpstr>
      <vt:lpstr>Q</vt:lpstr>
      <vt:lpstr>QgBot</vt:lpstr>
      <vt:lpstr>QgdTop</vt:lpstr>
      <vt:lpstr>QgsTop</vt:lpstr>
      <vt:lpstr>QgTop</vt:lpstr>
      <vt:lpstr>QossBot</vt:lpstr>
      <vt:lpstr>QrrBot</vt:lpstr>
      <vt:lpstr>QrrSky</vt:lpstr>
      <vt:lpstr>Rcea1</vt:lpstr>
      <vt:lpstr>Rcea1_u</vt:lpstr>
      <vt:lpstr>Rcea2</vt:lpstr>
      <vt:lpstr>Rcea2_u</vt:lpstr>
      <vt:lpstr>RCinEsr</vt:lpstr>
      <vt:lpstr>RCoutEsr</vt:lpstr>
      <vt:lpstr>Rdcr</vt:lpstr>
      <vt:lpstr>RDSON_sense</vt:lpstr>
      <vt:lpstr>RdsonBot</vt:lpstr>
      <vt:lpstr>RdsonBotTc</vt:lpstr>
      <vt:lpstr>RdsonDRB</vt:lpstr>
      <vt:lpstr>RdsonDRB2</vt:lpstr>
      <vt:lpstr>RdsonDRT</vt:lpstr>
      <vt:lpstr>RdsonDRT2</vt:lpstr>
      <vt:lpstr>RdsonTop</vt:lpstr>
      <vt:lpstr>RdsonTopTc</vt:lpstr>
      <vt:lpstr>Resrmax</vt:lpstr>
      <vt:lpstr>Rfadj</vt:lpstr>
      <vt:lpstr>Rfb2_u</vt:lpstr>
      <vt:lpstr>Rfets</vt:lpstr>
      <vt:lpstr>RGateBot</vt:lpstr>
      <vt:lpstr>RGateTop</vt:lpstr>
      <vt:lpstr>Rh</vt:lpstr>
      <vt:lpstr>Rilim_Rdson</vt:lpstr>
      <vt:lpstr>Rilim_Rdson_ideal</vt:lpstr>
      <vt:lpstr>Rilim_shunt</vt:lpstr>
      <vt:lpstr>Rilim_shunt_ideal</vt:lpstr>
      <vt:lpstr>Ro</vt:lpstr>
      <vt:lpstr>Rpg</vt:lpstr>
      <vt:lpstr>Rsb</vt:lpstr>
      <vt:lpstr>Rshunt</vt:lpstr>
      <vt:lpstr>Ruvlo1</vt:lpstr>
      <vt:lpstr>Ruvlo2</vt:lpstr>
      <vt:lpstr>SCH_RDSON</vt:lpstr>
      <vt:lpstr>SCH_SHUNT</vt:lpstr>
      <vt:lpstr>Ta</vt:lpstr>
      <vt:lpstr>Tf</vt:lpstr>
      <vt:lpstr>ThetaCa</vt:lpstr>
      <vt:lpstr>ThetaJaBot</vt:lpstr>
      <vt:lpstr>ThetaJaCtrl</vt:lpstr>
      <vt:lpstr>ThetaJaTop</vt:lpstr>
      <vt:lpstr>TL</vt:lpstr>
      <vt:lpstr>Tr</vt:lpstr>
      <vt:lpstr>TrrBot</vt:lpstr>
      <vt:lpstr>Tss</vt:lpstr>
      <vt:lpstr>VARIANT</vt:lpstr>
      <vt:lpstr>Vdd</vt:lpstr>
      <vt:lpstr>VfdSky</vt:lpstr>
      <vt:lpstr>Vin</vt:lpstr>
      <vt:lpstr>VIN_MAX_RATING</vt:lpstr>
      <vt:lpstr>VIN_MIN_RATING</vt:lpstr>
      <vt:lpstr>Vinmax</vt:lpstr>
      <vt:lpstr>Vinmin</vt:lpstr>
      <vt:lpstr>Vinripple1</vt:lpstr>
      <vt:lpstr>Vinripple2</vt:lpstr>
      <vt:lpstr>VINuvlo_off</vt:lpstr>
      <vt:lpstr>VINuvlo_on</vt:lpstr>
      <vt:lpstr>Vout</vt:lpstr>
      <vt:lpstr>VOUT_MAX_RATING</vt:lpstr>
      <vt:lpstr>Vramp</vt:lpstr>
      <vt:lpstr>Vref</vt:lpstr>
      <vt:lpstr>Vripple1</vt:lpstr>
      <vt:lpstr>Vripple2</vt:lpstr>
      <vt:lpstr>VsdBot</vt:lpstr>
      <vt:lpstr>VsdTop</vt:lpstr>
      <vt:lpstr>VspTop</vt:lpstr>
      <vt:lpstr>VthTop</vt:lpstr>
      <vt:lpstr>Vuvlo_hys</vt:lpstr>
      <vt:lpstr>Vuvlo_off</vt:lpstr>
      <vt:lpstr>Vuvlo_on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LM5146-Q1 Design Tool</dc:title>
  <dc:creator>Timothy Hegarty</dc:creator>
  <cp:keywords>LM5146-Q1, PWM controller, synchronous buck, wide Vin</cp:keywords>
  <cp:lastModifiedBy>Malek Hattab</cp:lastModifiedBy>
  <cp:lastPrinted>2017-06-16T22:24:31Z</cp:lastPrinted>
  <dcterms:created xsi:type="dcterms:W3CDTF">1996-10-14T23:33:28Z</dcterms:created>
  <dcterms:modified xsi:type="dcterms:W3CDTF">2024-06-30T06:31:04Z</dcterms:modified>
</cp:coreProperties>
</file>