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Engineering\Engineering_Redesign\Razorback\123.48\"/>
    </mc:Choice>
  </mc:AlternateContent>
  <xr:revisionPtr revIDLastSave="0" documentId="13_ncr:1_{7386F17A-F378-4659-B5B5-423092F5C45A}" xr6:coauthVersionLast="47" xr6:coauthVersionMax="47" xr10:uidLastSave="{00000000-0000-0000-0000-000000000000}"/>
  <bookViews>
    <workbookView xWindow="-120" yWindow="-120" windowWidth="29040" windowHeight="15720" activeTab="1" xr2:uid="{FA350801-E1BD-430E-B617-25CD211D4FCE}"/>
  </bookViews>
  <sheets>
    <sheet name="New" sheetId="1" r:id="rId1"/>
    <sheet name="Reference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0" i="1" l="1"/>
  <c r="C100" i="2"/>
  <c r="C98" i="1"/>
  <c r="C98" i="2"/>
  <c r="C96" i="1"/>
  <c r="C96" i="2"/>
  <c r="C95" i="2"/>
  <c r="C95" i="1"/>
  <c r="C85" i="2"/>
  <c r="C83" i="1"/>
  <c r="C83" i="2"/>
  <c r="C34" i="1"/>
  <c r="C34" i="2"/>
  <c r="D9" i="2"/>
  <c r="C9" i="2"/>
  <c r="B9" i="2"/>
  <c r="C9" i="1"/>
  <c r="C82" i="2"/>
  <c r="C81" i="2"/>
  <c r="C80" i="2"/>
  <c r="C79" i="2"/>
  <c r="C86" i="2" s="1"/>
  <c r="C89" i="2" s="1"/>
  <c r="D70" i="2"/>
  <c r="C70" i="2"/>
  <c r="D69" i="2"/>
  <c r="C69" i="2"/>
  <c r="D68" i="2"/>
  <c r="C68" i="2"/>
  <c r="D67" i="2"/>
  <c r="C67" i="2"/>
  <c r="C65" i="2"/>
  <c r="D64" i="2"/>
  <c r="C64" i="2"/>
  <c r="C57" i="2"/>
  <c r="C58" i="2" s="1"/>
  <c r="B57" i="2"/>
  <c r="B58" i="2" s="1"/>
  <c r="C49" i="2"/>
  <c r="B42" i="2"/>
  <c r="B43" i="2" s="1"/>
  <c r="C36" i="2"/>
  <c r="C27" i="2"/>
  <c r="C22" i="2"/>
  <c r="C90" i="2" s="1"/>
  <c r="D21" i="2"/>
  <c r="B22" i="2" s="1"/>
  <c r="B21" i="2"/>
  <c r="D22" i="2" s="1"/>
  <c r="D65" i="2" s="1"/>
  <c r="D66" i="2" s="1"/>
  <c r="D74" i="2" s="1"/>
  <c r="D76" i="2" s="1"/>
  <c r="C19" i="2"/>
  <c r="C18" i="2"/>
  <c r="D12" i="2"/>
  <c r="B12" i="2"/>
  <c r="D11" i="2"/>
  <c r="B11" i="2"/>
  <c r="D7" i="2"/>
  <c r="B7" i="2"/>
  <c r="D6" i="2"/>
  <c r="B6" i="2"/>
  <c r="C85" i="1"/>
  <c r="C82" i="1"/>
  <c r="C81" i="1"/>
  <c r="C86" i="1" s="1"/>
  <c r="C89" i="1" s="1"/>
  <c r="C80" i="1"/>
  <c r="C79" i="1"/>
  <c r="D70" i="1"/>
  <c r="C70" i="1"/>
  <c r="D69" i="1"/>
  <c r="C69" i="1"/>
  <c r="D68" i="1"/>
  <c r="C68" i="1"/>
  <c r="D67" i="1"/>
  <c r="C67" i="1"/>
  <c r="D64" i="1"/>
  <c r="C64" i="1"/>
  <c r="C57" i="1"/>
  <c r="D57" i="1" s="1"/>
  <c r="D58" i="1" s="1"/>
  <c r="C49" i="1"/>
  <c r="B42" i="1"/>
  <c r="B43" i="1" s="1"/>
  <c r="C36" i="1"/>
  <c r="C27" i="1"/>
  <c r="C22" i="1"/>
  <c r="C24" i="1" s="1"/>
  <c r="D21" i="1"/>
  <c r="B22" i="1" s="1"/>
  <c r="B21" i="1"/>
  <c r="D22" i="1" s="1"/>
  <c r="D65" i="1" s="1"/>
  <c r="D66" i="1" s="1"/>
  <c r="D74" i="1" s="1"/>
  <c r="D76" i="1" s="1"/>
  <c r="C19" i="1"/>
  <c r="C18" i="1"/>
  <c r="B12" i="1"/>
  <c r="B11" i="1"/>
  <c r="D12" i="1"/>
  <c r="D11" i="1"/>
  <c r="D18" i="1" s="1"/>
  <c r="B7" i="1"/>
  <c r="D7" i="1"/>
  <c r="D6" i="1"/>
  <c r="D9" i="1" s="1"/>
  <c r="B6" i="1"/>
  <c r="B9" i="1" s="1"/>
  <c r="D19" i="2" l="1"/>
  <c r="B19" i="2"/>
  <c r="C66" i="2"/>
  <c r="B18" i="2"/>
  <c r="D18" i="2"/>
  <c r="C87" i="2"/>
  <c r="B44" i="2"/>
  <c r="C26" i="2"/>
  <c r="C32" i="2" s="1"/>
  <c r="C28" i="2"/>
  <c r="C84" i="2"/>
  <c r="C92" i="2" s="1"/>
  <c r="C71" i="2"/>
  <c r="D72" i="2" s="1"/>
  <c r="C24" i="2"/>
  <c r="D57" i="2"/>
  <c r="D58" i="2" s="1"/>
  <c r="C84" i="1"/>
  <c r="C92" i="1" s="1"/>
  <c r="C87" i="1"/>
  <c r="C90" i="1"/>
  <c r="C65" i="1"/>
  <c r="C66" i="1" s="1"/>
  <c r="C71" i="1"/>
  <c r="D72" i="1" s="1"/>
  <c r="B44" i="1"/>
  <c r="C58" i="1"/>
  <c r="B57" i="1"/>
  <c r="B58" i="1" s="1"/>
  <c r="C26" i="1"/>
  <c r="C28" i="1" s="1"/>
  <c r="B18" i="1"/>
  <c r="B19" i="1"/>
  <c r="D19" i="1"/>
  <c r="C72" i="2" l="1"/>
  <c r="C72" i="1"/>
  <c r="C32" i="1"/>
</calcChain>
</file>

<file path=xl/sharedStrings.xml><?xml version="1.0" encoding="utf-8"?>
<sst xmlns="http://schemas.openxmlformats.org/spreadsheetml/2006/main" count="326" uniqueCount="105">
  <si>
    <t>Vin</t>
  </si>
  <si>
    <t>Volts</t>
  </si>
  <si>
    <t>Vout</t>
  </si>
  <si>
    <t>Iout</t>
  </si>
  <si>
    <t>Ohms</t>
  </si>
  <si>
    <t>Vref</t>
  </si>
  <si>
    <t>Ruvlo-u</t>
  </si>
  <si>
    <t>Ruvlo-l</t>
  </si>
  <si>
    <t>Rfb-u</t>
  </si>
  <si>
    <t>Rfb-l</t>
  </si>
  <si>
    <t>Vref-on</t>
  </si>
  <si>
    <t>Vref-off</t>
  </si>
  <si>
    <t>Vt+(UVLO)</t>
  </si>
  <si>
    <t>Vt-(UVLO)</t>
  </si>
  <si>
    <t>Iulvo</t>
  </si>
  <si>
    <t>Amps</t>
  </si>
  <si>
    <t>V</t>
  </si>
  <si>
    <t>V-On</t>
  </si>
  <si>
    <t>V-Off</t>
  </si>
  <si>
    <t>F</t>
  </si>
  <si>
    <t>Rrt</t>
  </si>
  <si>
    <t>Hz</t>
  </si>
  <si>
    <t>Lboost</t>
  </si>
  <si>
    <t>H</t>
  </si>
  <si>
    <t>A</t>
  </si>
  <si>
    <t>Lsel</t>
  </si>
  <si>
    <t>Iin avg</t>
  </si>
  <si>
    <t>ILpk-pk</t>
  </si>
  <si>
    <t>IL</t>
  </si>
  <si>
    <t>Vth+</t>
  </si>
  <si>
    <t>Vth-</t>
  </si>
  <si>
    <t>Current Sense</t>
  </si>
  <si>
    <t>Inductor</t>
  </si>
  <si>
    <t>Frequency</t>
  </si>
  <si>
    <t>Under Voltage Lockout</t>
  </si>
  <si>
    <t>Feedback Resistors</t>
  </si>
  <si>
    <t>RCS, calc</t>
  </si>
  <si>
    <t>RCS, sel</t>
  </si>
  <si>
    <t>P RCS(max)</t>
  </si>
  <si>
    <t>W</t>
  </si>
  <si>
    <t>Rslope</t>
  </si>
  <si>
    <t>Output Capacitor</t>
  </si>
  <si>
    <t>Cout</t>
  </si>
  <si>
    <t>ESR</t>
  </si>
  <si>
    <t>Ohm</t>
  </si>
  <si>
    <t># of caps</t>
  </si>
  <si>
    <t>I Cout(rms)</t>
  </si>
  <si>
    <t>Vripple</t>
  </si>
  <si>
    <t>`</t>
  </si>
  <si>
    <t>Boost Mode Ripple Current</t>
  </si>
  <si>
    <t>Part#</t>
  </si>
  <si>
    <t>1500362M0862</t>
  </si>
  <si>
    <t>CL32B106KBJNNNE</t>
  </si>
  <si>
    <t>Vripple(Cout)</t>
  </si>
  <si>
    <t>Input Capacitor</t>
  </si>
  <si>
    <t>D</t>
  </si>
  <si>
    <t>Worst case duty cycle</t>
  </si>
  <si>
    <t>I Cin rms</t>
  </si>
  <si>
    <t>Soft Start Cap</t>
  </si>
  <si>
    <t>Iss</t>
  </si>
  <si>
    <t>s</t>
  </si>
  <si>
    <t>Css</t>
  </si>
  <si>
    <t>Vss</t>
  </si>
  <si>
    <t>Tss sel</t>
  </si>
  <si>
    <t>Tss calc</t>
  </si>
  <si>
    <t>Mosfet Calculations</t>
  </si>
  <si>
    <t>P Cond QH1</t>
  </si>
  <si>
    <t>RDS-on</t>
  </si>
  <si>
    <t>T rise</t>
  </si>
  <si>
    <t>T fall</t>
  </si>
  <si>
    <t>P SW QH1</t>
  </si>
  <si>
    <t>P QH1</t>
  </si>
  <si>
    <t>P Cond QL1</t>
  </si>
  <si>
    <t>P Cond QH2</t>
  </si>
  <si>
    <t>Buck</t>
  </si>
  <si>
    <t>Boost</t>
  </si>
  <si>
    <t>P Cond QL2</t>
  </si>
  <si>
    <t>P SW QL2</t>
  </si>
  <si>
    <t>PQL2</t>
  </si>
  <si>
    <t>T amb</t>
  </si>
  <si>
    <t>C</t>
  </si>
  <si>
    <t>Theta JA</t>
  </si>
  <si>
    <t>C/W</t>
  </si>
  <si>
    <t>Tj</t>
  </si>
  <si>
    <t>Compensation Network</t>
  </si>
  <si>
    <t>1/2pi</t>
  </si>
  <si>
    <t>Rout</t>
  </si>
  <si>
    <t>D Max</t>
  </si>
  <si>
    <t>f P1 Boost</t>
  </si>
  <si>
    <t>f Z1</t>
  </si>
  <si>
    <t>F RHP</t>
  </si>
  <si>
    <t>C out</t>
  </si>
  <si>
    <t>f P1 Buck</t>
  </si>
  <si>
    <t>f Crossover, calc</t>
  </si>
  <si>
    <t>1/3 Boost RHP</t>
  </si>
  <si>
    <t>1/20 F sw</t>
  </si>
  <si>
    <t>f bw</t>
  </si>
  <si>
    <t>f ZC</t>
  </si>
  <si>
    <t>R C1</t>
  </si>
  <si>
    <t>gm EA</t>
  </si>
  <si>
    <t>S</t>
  </si>
  <si>
    <t>C-C1</t>
  </si>
  <si>
    <t>C-C2</t>
  </si>
  <si>
    <t>F pc2</t>
  </si>
  <si>
    <t>A cs?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</si>
</sst>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0.00E+0"/>
    <numFmt numFmtId="165" formatCode="0.000"/>
    <numFmt numFmtId="166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1" fontId="0" fillId="0" borderId="0" xfId="0" applyNumberFormat="1"/>
    <xf numFmtId="48" fontId="0" fillId="0" borderId="0" xfId="0" applyNumberFormat="1"/>
    <xf numFmtId="164" fontId="0" fillId="0" borderId="0" xfId="0" applyNumberFormat="1"/>
    <xf numFmtId="9" fontId="0" fillId="0" borderId="0" xfId="0" applyNumberFormat="1"/>
    <xf numFmtId="165" fontId="0" fillId="0" borderId="0" xfId="0" applyNumberFormat="1"/>
    <xf numFmtId="2" fontId="0" fillId="0" borderId="0" xfId="0" applyNumberFormat="1"/>
    <xf numFmtId="0" fontId="1" fillId="0" borderId="0" xfId="0" applyFont="1"/>
    <xf numFmtId="166" fontId="0" fillId="0" borderId="0" xfId="0" applyNumberForma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323852</xdr:colOff>
      <xdr:row>4</xdr:row>
      <xdr:rowOff>161928</xdr:rowOff>
    </xdr:from>
    <xdr:to>
      <xdr:col>10</xdr:col>
      <xdr:colOff>459466</xdr:colOff>
      <xdr:row>7</xdr:row>
      <xdr:rowOff>90560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03D148-617C-49BB-13CB-B2B28A872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7" y="923928"/>
          <a:ext cx="2574014" cy="500132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571501</xdr:colOff>
      <xdr:row>18</xdr:row>
      <xdr:rowOff>85726</xdr:rowOff>
    </xdr:from>
    <xdr:to>
      <xdr:col>10</xdr:col>
      <xdr:colOff>300341</xdr:colOff>
      <xdr:row>20</xdr:row>
      <xdr:rowOff>138174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637B2F-522B-8355-2B1F-28A44493B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4376" y="3895726"/>
          <a:ext cx="2167240" cy="4334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11</xdr:col>
      <xdr:colOff>68930</xdr:colOff>
      <xdr:row>31</xdr:row>
      <xdr:rowOff>112464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EBFFB4-049D-7403-8E81-EDF159793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62475" y="5905500"/>
          <a:ext cx="2507330" cy="493464"/>
        </a:xfrm>
        <a:prstGeom prst="rect">
          <a:avLst/>
        </a:prstGeom>
      </xdr:spPr>
    </xdr:pic>
    <xdr:clientData/>
  </xdr:twoCellAnchor>
  <xdr:twoCellAnchor editAs="oneCell">
    <xdr:from>
      <xdr:col>6</xdr:col>
      <xdr:colOff>609599</xdr:colOff>
      <xdr:row>23</xdr:row>
      <xdr:rowOff>76198</xdr:rowOff>
    </xdr:from>
    <xdr:to>
      <xdr:col>10</xdr:col>
      <xdr:colOff>545160</xdr:colOff>
      <xdr:row>25</xdr:row>
      <xdr:rowOff>68630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F162B5-ACF8-C7AF-F62F-FF4C9951F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62474" y="4457698"/>
          <a:ext cx="2373961" cy="373432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26</xdr:row>
      <xdr:rowOff>0</xdr:rowOff>
    </xdr:from>
    <xdr:to>
      <xdr:col>10</xdr:col>
      <xdr:colOff>111714</xdr:colOff>
      <xdr:row>27</xdr:row>
      <xdr:rowOff>156258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683EB4C-75C9-E8FE-BD8B-4EA41C266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62476" y="5334000"/>
          <a:ext cx="1940513" cy="346758"/>
        </a:xfrm>
        <a:prstGeom prst="rect">
          <a:avLst/>
        </a:prstGeom>
      </xdr:spPr>
    </xdr:pic>
    <xdr:clientData/>
  </xdr:twoCellAnchor>
  <xdr:twoCellAnchor editAs="oneCell">
    <xdr:from>
      <xdr:col>7</xdr:col>
      <xdr:colOff>38101</xdr:colOff>
      <xdr:row>31</xdr:row>
      <xdr:rowOff>171450</xdr:rowOff>
    </xdr:from>
    <xdr:to>
      <xdr:col>12</xdr:col>
      <xdr:colOff>344322</xdr:colOff>
      <xdr:row>33</xdr:row>
      <xdr:rowOff>163882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A4FC0F-B323-D7DC-294C-C4E43C9AE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00576" y="6076950"/>
          <a:ext cx="3354221" cy="373432"/>
        </a:xfrm>
        <a:prstGeom prst="rect">
          <a:avLst/>
        </a:prstGeom>
      </xdr:spPr>
    </xdr:pic>
    <xdr:clientData/>
  </xdr:twoCellAnchor>
  <xdr:twoCellAnchor editAs="oneCell">
    <xdr:from>
      <xdr:col>6</xdr:col>
      <xdr:colOff>590550</xdr:colOff>
      <xdr:row>34</xdr:row>
      <xdr:rowOff>28575</xdr:rowOff>
    </xdr:from>
    <xdr:to>
      <xdr:col>9</xdr:col>
      <xdr:colOff>162120</xdr:colOff>
      <xdr:row>36</xdr:row>
      <xdr:rowOff>61017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75AD8B9-9900-6C8C-958B-9F282A7FB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43425" y="6505575"/>
          <a:ext cx="1400370" cy="413442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42</xdr:row>
      <xdr:rowOff>28575</xdr:rowOff>
    </xdr:from>
    <xdr:to>
      <xdr:col>10</xdr:col>
      <xdr:colOff>166962</xdr:colOff>
      <xdr:row>43</xdr:row>
      <xdr:rowOff>151491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22229CF-2168-4073-2510-DF524A2F4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91050" y="8029575"/>
          <a:ext cx="1967187" cy="313416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44</xdr:row>
      <xdr:rowOff>19050</xdr:rowOff>
    </xdr:from>
    <xdr:to>
      <xdr:col>10</xdr:col>
      <xdr:colOff>417506</xdr:colOff>
      <xdr:row>46</xdr:row>
      <xdr:rowOff>131514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ACE8365-5732-7501-B2D4-C61FE73B9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581525" y="8401050"/>
          <a:ext cx="2227256" cy="493464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53</xdr:row>
      <xdr:rowOff>0</xdr:rowOff>
    </xdr:from>
    <xdr:to>
      <xdr:col>8</xdr:col>
      <xdr:colOff>237292</xdr:colOff>
      <xdr:row>54</xdr:row>
      <xdr:rowOff>82906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3A30C5D-35DF-4903-89AD-DBE05F0DE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562476" y="10096500"/>
          <a:ext cx="846891" cy="27340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60</xdr:row>
      <xdr:rowOff>1</xdr:rowOff>
    </xdr:from>
    <xdr:to>
      <xdr:col>11</xdr:col>
      <xdr:colOff>8914</xdr:colOff>
      <xdr:row>63</xdr:row>
      <xdr:rowOff>122018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4F919CD-24CC-01DF-0D0F-4CA2C09F7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562475" y="11430001"/>
          <a:ext cx="2447314" cy="69351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64</xdr:row>
      <xdr:rowOff>0</xdr:rowOff>
    </xdr:from>
    <xdr:to>
      <xdr:col>11</xdr:col>
      <xdr:colOff>288988</xdr:colOff>
      <xdr:row>65</xdr:row>
      <xdr:rowOff>156258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07BBF70-CD18-8C68-4F94-C5EC0D8B6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562475" y="12192000"/>
          <a:ext cx="2727388" cy="346758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65</xdr:row>
      <xdr:rowOff>180975</xdr:rowOff>
    </xdr:from>
    <xdr:to>
      <xdr:col>10</xdr:col>
      <xdr:colOff>147912</xdr:colOff>
      <xdr:row>67</xdr:row>
      <xdr:rowOff>140065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87DFE0C-1D88-D51A-C277-B21FBD15C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572000" y="12563475"/>
          <a:ext cx="1967187" cy="34009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68</xdr:row>
      <xdr:rowOff>0</xdr:rowOff>
    </xdr:from>
    <xdr:to>
      <xdr:col>11</xdr:col>
      <xdr:colOff>549058</xdr:colOff>
      <xdr:row>69</xdr:row>
      <xdr:rowOff>109580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F658B2E-C5CF-6919-1A5F-2083BECA5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562476" y="12954000"/>
          <a:ext cx="2987457" cy="30008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12</xdr:col>
      <xdr:colOff>106168</xdr:colOff>
      <xdr:row>73</xdr:row>
      <xdr:rowOff>102011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AE455EA-B1BF-7291-B554-8E87E0290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562475" y="13335000"/>
          <a:ext cx="3154168" cy="673511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77</xdr:row>
      <xdr:rowOff>142876</xdr:rowOff>
    </xdr:from>
    <xdr:to>
      <xdr:col>9</xdr:col>
      <xdr:colOff>383134</xdr:colOff>
      <xdr:row>79</xdr:row>
      <xdr:rowOff>88629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09F4085-043D-10CB-F7E7-4E87255DE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524375" y="14811376"/>
          <a:ext cx="1640434" cy="326753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485776</xdr:colOff>
      <xdr:row>80</xdr:row>
      <xdr:rowOff>28575</xdr:rowOff>
    </xdr:from>
    <xdr:to>
      <xdr:col>9</xdr:col>
      <xdr:colOff>597489</xdr:colOff>
      <xdr:row>82</xdr:row>
      <xdr:rowOff>21007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724C3AD-8BCF-7260-89B8-72FE96C64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438651" y="15268575"/>
          <a:ext cx="1940513" cy="373432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86</xdr:row>
      <xdr:rowOff>38101</xdr:rowOff>
    </xdr:from>
    <xdr:to>
      <xdr:col>9</xdr:col>
      <xdr:colOff>321226</xdr:colOff>
      <xdr:row>87</xdr:row>
      <xdr:rowOff>181022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0F934D0-7DA7-36DE-5043-C80753DEF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429125" y="16230601"/>
          <a:ext cx="1673776" cy="333421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83</xdr:row>
      <xdr:rowOff>19051</xdr:rowOff>
    </xdr:from>
    <xdr:to>
      <xdr:col>9</xdr:col>
      <xdr:colOff>463174</xdr:colOff>
      <xdr:row>86</xdr:row>
      <xdr:rowOff>21036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0315F13-1D02-E92E-02CC-D7ADD7E05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91025" y="15640051"/>
          <a:ext cx="1853824" cy="57348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91</xdr:row>
      <xdr:rowOff>152400</xdr:rowOff>
    </xdr:from>
    <xdr:to>
      <xdr:col>12</xdr:col>
      <xdr:colOff>408158</xdr:colOff>
      <xdr:row>95</xdr:row>
      <xdr:rowOff>10564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913E883-7BDB-1F64-6FEB-BAD7C7B41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524375" y="17487900"/>
          <a:ext cx="3494258" cy="620164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94</xdr:row>
      <xdr:rowOff>142875</xdr:rowOff>
    </xdr:from>
    <xdr:to>
      <xdr:col>12</xdr:col>
      <xdr:colOff>382439</xdr:colOff>
      <xdr:row>96</xdr:row>
      <xdr:rowOff>168649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F6D67D3-62E7-4913-B127-4D102E444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505325" y="18049875"/>
          <a:ext cx="3487589" cy="406774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600076</xdr:colOff>
      <xdr:row>97</xdr:row>
      <xdr:rowOff>38100</xdr:rowOff>
    </xdr:from>
    <xdr:to>
      <xdr:col>8</xdr:col>
      <xdr:colOff>514509</xdr:colOff>
      <xdr:row>99</xdr:row>
      <xdr:rowOff>23864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68B58-41CF-E2A7-B1A9-7C3728648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552951" y="18516600"/>
          <a:ext cx="1133633" cy="36676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8</xdr:col>
      <xdr:colOff>537370</xdr:colOff>
      <xdr:row>100</xdr:row>
      <xdr:rowOff>169595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CB9AB0CE-A387-4543-A70A-A87D7A730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62475" y="18859500"/>
          <a:ext cx="1146970" cy="360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323852</xdr:colOff>
      <xdr:row>4</xdr:row>
      <xdr:rowOff>161928</xdr:rowOff>
    </xdr:from>
    <xdr:to>
      <xdr:col>10</xdr:col>
      <xdr:colOff>459466</xdr:colOff>
      <xdr:row>7</xdr:row>
      <xdr:rowOff>90560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ACB813-3E6C-4FE6-9745-E759C53E7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7" y="923928"/>
          <a:ext cx="2574014" cy="500132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571501</xdr:colOff>
      <xdr:row>18</xdr:row>
      <xdr:rowOff>85726</xdr:rowOff>
    </xdr:from>
    <xdr:to>
      <xdr:col>10</xdr:col>
      <xdr:colOff>300341</xdr:colOff>
      <xdr:row>20</xdr:row>
      <xdr:rowOff>138174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ECD446-93D6-4EC3-9530-B33AEAA8B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4376" y="3514726"/>
          <a:ext cx="2167240" cy="4334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11</xdr:col>
      <xdr:colOff>68930</xdr:colOff>
      <xdr:row>31</xdr:row>
      <xdr:rowOff>112464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6FD79C-3237-487B-9592-76A796EF8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62475" y="5524500"/>
          <a:ext cx="2507330" cy="493464"/>
        </a:xfrm>
        <a:prstGeom prst="rect">
          <a:avLst/>
        </a:prstGeom>
      </xdr:spPr>
    </xdr:pic>
    <xdr:clientData/>
  </xdr:twoCellAnchor>
  <xdr:twoCellAnchor editAs="oneCell">
    <xdr:from>
      <xdr:col>6</xdr:col>
      <xdr:colOff>609599</xdr:colOff>
      <xdr:row>23</xdr:row>
      <xdr:rowOff>76198</xdr:rowOff>
    </xdr:from>
    <xdr:to>
      <xdr:col>10</xdr:col>
      <xdr:colOff>545160</xdr:colOff>
      <xdr:row>25</xdr:row>
      <xdr:rowOff>68630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2922430-21E1-4C4C-B5CF-57173E220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62474" y="4457698"/>
          <a:ext cx="2373961" cy="373432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26</xdr:row>
      <xdr:rowOff>0</xdr:rowOff>
    </xdr:from>
    <xdr:to>
      <xdr:col>10</xdr:col>
      <xdr:colOff>111714</xdr:colOff>
      <xdr:row>27</xdr:row>
      <xdr:rowOff>156258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E3BCE2-CFA9-4D8E-8727-0F3DEF57C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62476" y="4953000"/>
          <a:ext cx="1940513" cy="346758"/>
        </a:xfrm>
        <a:prstGeom prst="rect">
          <a:avLst/>
        </a:prstGeom>
      </xdr:spPr>
    </xdr:pic>
    <xdr:clientData/>
  </xdr:twoCellAnchor>
  <xdr:twoCellAnchor editAs="oneCell">
    <xdr:from>
      <xdr:col>7</xdr:col>
      <xdr:colOff>38101</xdr:colOff>
      <xdr:row>31</xdr:row>
      <xdr:rowOff>171450</xdr:rowOff>
    </xdr:from>
    <xdr:to>
      <xdr:col>12</xdr:col>
      <xdr:colOff>344322</xdr:colOff>
      <xdr:row>33</xdr:row>
      <xdr:rowOff>163882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EFBB136-70AE-4140-952F-1199FBD33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00576" y="6076950"/>
          <a:ext cx="3354221" cy="373432"/>
        </a:xfrm>
        <a:prstGeom prst="rect">
          <a:avLst/>
        </a:prstGeom>
      </xdr:spPr>
    </xdr:pic>
    <xdr:clientData/>
  </xdr:twoCellAnchor>
  <xdr:twoCellAnchor editAs="oneCell">
    <xdr:from>
      <xdr:col>6</xdr:col>
      <xdr:colOff>590550</xdr:colOff>
      <xdr:row>34</xdr:row>
      <xdr:rowOff>28575</xdr:rowOff>
    </xdr:from>
    <xdr:to>
      <xdr:col>9</xdr:col>
      <xdr:colOff>162120</xdr:colOff>
      <xdr:row>36</xdr:row>
      <xdr:rowOff>61017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F4D21A4-29FD-4FE3-819F-65A149478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43425" y="6505575"/>
          <a:ext cx="1400370" cy="413442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42</xdr:row>
      <xdr:rowOff>28575</xdr:rowOff>
    </xdr:from>
    <xdr:to>
      <xdr:col>10</xdr:col>
      <xdr:colOff>166962</xdr:colOff>
      <xdr:row>43</xdr:row>
      <xdr:rowOff>151491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A24D0B9-51C8-4EE7-95C4-283E0D367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91050" y="8029575"/>
          <a:ext cx="1967187" cy="313416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44</xdr:row>
      <xdr:rowOff>19050</xdr:rowOff>
    </xdr:from>
    <xdr:to>
      <xdr:col>10</xdr:col>
      <xdr:colOff>417506</xdr:colOff>
      <xdr:row>46</xdr:row>
      <xdr:rowOff>131514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0E4B769-580E-45EC-9B49-0A1CC37A5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581525" y="8401050"/>
          <a:ext cx="2227256" cy="493464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53</xdr:row>
      <xdr:rowOff>0</xdr:rowOff>
    </xdr:from>
    <xdr:to>
      <xdr:col>8</xdr:col>
      <xdr:colOff>237292</xdr:colOff>
      <xdr:row>54</xdr:row>
      <xdr:rowOff>82906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F6D80B5-D587-41E9-84B6-91172EA14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562476" y="10096500"/>
          <a:ext cx="846891" cy="27340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60</xdr:row>
      <xdr:rowOff>1</xdr:rowOff>
    </xdr:from>
    <xdr:to>
      <xdr:col>11</xdr:col>
      <xdr:colOff>8914</xdr:colOff>
      <xdr:row>63</xdr:row>
      <xdr:rowOff>122018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33F3436-9A72-4345-9EE7-AA75CD704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562475" y="11430001"/>
          <a:ext cx="2447314" cy="69351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64</xdr:row>
      <xdr:rowOff>0</xdr:rowOff>
    </xdr:from>
    <xdr:to>
      <xdr:col>11</xdr:col>
      <xdr:colOff>288988</xdr:colOff>
      <xdr:row>65</xdr:row>
      <xdr:rowOff>156258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3B39C32-3366-4283-868C-F8AD38647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562475" y="12192000"/>
          <a:ext cx="2727388" cy="346758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65</xdr:row>
      <xdr:rowOff>180975</xdr:rowOff>
    </xdr:from>
    <xdr:to>
      <xdr:col>10</xdr:col>
      <xdr:colOff>147912</xdr:colOff>
      <xdr:row>67</xdr:row>
      <xdr:rowOff>140065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5BCF1FD-2441-46DA-A4A7-DD6992668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572000" y="12563475"/>
          <a:ext cx="1967187" cy="34009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68</xdr:row>
      <xdr:rowOff>0</xdr:rowOff>
    </xdr:from>
    <xdr:to>
      <xdr:col>11</xdr:col>
      <xdr:colOff>549058</xdr:colOff>
      <xdr:row>69</xdr:row>
      <xdr:rowOff>109580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54E2862-8E92-40BF-8854-AC427F255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562476" y="12954000"/>
          <a:ext cx="2987457" cy="30008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12</xdr:col>
      <xdr:colOff>106168</xdr:colOff>
      <xdr:row>73</xdr:row>
      <xdr:rowOff>102011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539DA15-9581-421D-9984-E88F9FB2A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562475" y="13335000"/>
          <a:ext cx="3154168" cy="673511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77</xdr:row>
      <xdr:rowOff>142876</xdr:rowOff>
    </xdr:from>
    <xdr:to>
      <xdr:col>9</xdr:col>
      <xdr:colOff>383134</xdr:colOff>
      <xdr:row>79</xdr:row>
      <xdr:rowOff>88629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88F9A36-9CE2-429E-9F8A-A02BC98F3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524375" y="14811376"/>
          <a:ext cx="1640434" cy="326753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485776</xdr:colOff>
      <xdr:row>80</xdr:row>
      <xdr:rowOff>28575</xdr:rowOff>
    </xdr:from>
    <xdr:to>
      <xdr:col>9</xdr:col>
      <xdr:colOff>597489</xdr:colOff>
      <xdr:row>82</xdr:row>
      <xdr:rowOff>21007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2D881C1-EA40-4B39-AD8E-43439CD83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438651" y="15268575"/>
          <a:ext cx="1940513" cy="373432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86</xdr:row>
      <xdr:rowOff>38101</xdr:rowOff>
    </xdr:from>
    <xdr:to>
      <xdr:col>9</xdr:col>
      <xdr:colOff>321226</xdr:colOff>
      <xdr:row>87</xdr:row>
      <xdr:rowOff>181022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29FC497-1E39-42AB-A923-7344094D7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429125" y="16421101"/>
          <a:ext cx="1673776" cy="333421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83</xdr:row>
      <xdr:rowOff>19051</xdr:rowOff>
    </xdr:from>
    <xdr:to>
      <xdr:col>9</xdr:col>
      <xdr:colOff>463174</xdr:colOff>
      <xdr:row>86</xdr:row>
      <xdr:rowOff>21036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16EBBAF-4E48-4370-B857-44C3A0FCC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91025" y="15830551"/>
          <a:ext cx="1853824" cy="573485"/>
        </a:xfrm>
        <a:prstGeom prst="rect">
          <a:avLst/>
        </a:prstGeom>
      </xdr:spPr>
    </xdr:pic>
    <xdr:clientData/>
  </xdr:twoCellAnchor>
  <xdr:twoCellAnchor editAs="oneCell">
    <xdr:from>
      <xdr:col>6</xdr:col>
      <xdr:colOff>590550</xdr:colOff>
      <xdr:row>90</xdr:row>
      <xdr:rowOff>76200</xdr:rowOff>
    </xdr:from>
    <xdr:to>
      <xdr:col>12</xdr:col>
      <xdr:colOff>427208</xdr:colOff>
      <xdr:row>93</xdr:row>
      <xdr:rowOff>124864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EA78C75-2DAF-481C-A557-11C2D4148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543425" y="17221200"/>
          <a:ext cx="3494258" cy="620164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94</xdr:row>
      <xdr:rowOff>0</xdr:rowOff>
    </xdr:from>
    <xdr:to>
      <xdr:col>12</xdr:col>
      <xdr:colOff>439590</xdr:colOff>
      <xdr:row>96</xdr:row>
      <xdr:rowOff>25774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D324DE8-5B4E-06B6-94E5-CB576091C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562476" y="17907000"/>
          <a:ext cx="3487589" cy="406774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97</xdr:row>
      <xdr:rowOff>0</xdr:rowOff>
    </xdr:from>
    <xdr:to>
      <xdr:col>8</xdr:col>
      <xdr:colOff>524034</xdr:colOff>
      <xdr:row>98</xdr:row>
      <xdr:rowOff>176264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1C56AE3-4BC2-19B8-53FE-4EA81998F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591051" y="18478500"/>
          <a:ext cx="1133633" cy="36676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99</xdr:row>
      <xdr:rowOff>1</xdr:rowOff>
    </xdr:from>
    <xdr:to>
      <xdr:col>8</xdr:col>
      <xdr:colOff>537370</xdr:colOff>
      <xdr:row>100</xdr:row>
      <xdr:rowOff>169596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CF71429-6C57-10CE-C235-77E4A13CA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91050" y="18859501"/>
          <a:ext cx="1146970" cy="360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38C7F-C4D0-40CD-8AE4-4A4A3BCDF047}">
  <dimension ref="A2:N100"/>
  <sheetViews>
    <sheetView topLeftCell="A70" workbookViewId="0">
      <selection activeCell="D104" sqref="D104"/>
    </sheetView>
  </sheetViews>
  <sheetFormatPr defaultRowHeight="15" x14ac:dyDescent="0.25"/>
  <cols>
    <col min="1" max="1" width="13.5703125" customWidth="1"/>
  </cols>
  <sheetData>
    <row r="2" spans="1:6" x14ac:dyDescent="0.25">
      <c r="A2" t="s">
        <v>0</v>
      </c>
      <c r="B2">
        <v>18</v>
      </c>
      <c r="C2">
        <v>28</v>
      </c>
      <c r="D2">
        <v>36</v>
      </c>
      <c r="E2" t="s">
        <v>1</v>
      </c>
    </row>
    <row r="3" spans="1:6" x14ac:dyDescent="0.25">
      <c r="A3" t="s">
        <v>2</v>
      </c>
      <c r="C3">
        <v>20</v>
      </c>
    </row>
    <row r="4" spans="1:6" x14ac:dyDescent="0.25">
      <c r="A4" t="s">
        <v>3</v>
      </c>
      <c r="C4">
        <v>2.5</v>
      </c>
    </row>
    <row r="5" spans="1:6" x14ac:dyDescent="0.25">
      <c r="A5" s="7" t="s">
        <v>35</v>
      </c>
    </row>
    <row r="6" spans="1:6" x14ac:dyDescent="0.25">
      <c r="A6" t="s">
        <v>8</v>
      </c>
      <c r="B6" s="2">
        <f>C6*(1-F$6)</f>
        <v>70785</v>
      </c>
      <c r="C6" s="2">
        <v>71500</v>
      </c>
      <c r="D6" s="2">
        <f>C6*(1+F$6)</f>
        <v>72215</v>
      </c>
      <c r="E6" t="s">
        <v>4</v>
      </c>
      <c r="F6" s="4">
        <v>0.01</v>
      </c>
    </row>
    <row r="7" spans="1:6" x14ac:dyDescent="0.25">
      <c r="A7" t="s">
        <v>9</v>
      </c>
      <c r="B7" s="3">
        <f>C7*(1-F$6)</f>
        <v>3702.6</v>
      </c>
      <c r="C7" s="3">
        <v>3740</v>
      </c>
      <c r="D7" s="3">
        <f>C7*(1+F$6)</f>
        <v>3777.4</v>
      </c>
      <c r="E7" t="s">
        <v>4</v>
      </c>
    </row>
    <row r="8" spans="1:6" x14ac:dyDescent="0.25">
      <c r="A8" t="s">
        <v>5</v>
      </c>
      <c r="B8">
        <v>0.99</v>
      </c>
      <c r="C8" s="6">
        <v>1</v>
      </c>
      <c r="D8">
        <v>1.01</v>
      </c>
      <c r="E8" t="s">
        <v>1</v>
      </c>
    </row>
    <row r="9" spans="1:6" x14ac:dyDescent="0.25">
      <c r="A9" t="s">
        <v>2</v>
      </c>
      <c r="B9" s="6">
        <f>(B6/D7)*D8+D8</f>
        <v>19.936470588235295</v>
      </c>
      <c r="C9" s="6">
        <f>(C6/C7)*C8+C8</f>
        <v>20.117647058823529</v>
      </c>
      <c r="D9" s="6">
        <f>(D6/B7)*B8+B8</f>
        <v>20.298823529411763</v>
      </c>
      <c r="E9" t="s">
        <v>1</v>
      </c>
    </row>
    <row r="10" spans="1:6" x14ac:dyDescent="0.25">
      <c r="A10" s="7" t="s">
        <v>34</v>
      </c>
    </row>
    <row r="11" spans="1:6" x14ac:dyDescent="0.25">
      <c r="A11" t="s">
        <v>6</v>
      </c>
      <c r="B11" s="2">
        <f>C11*(1-F$6)</f>
        <v>12573</v>
      </c>
      <c r="C11" s="2">
        <v>12700</v>
      </c>
      <c r="D11" s="2">
        <f>C11*(1+F$6)</f>
        <v>12827</v>
      </c>
      <c r="E11" t="s">
        <v>4</v>
      </c>
      <c r="F11" s="4">
        <v>0.01</v>
      </c>
    </row>
    <row r="12" spans="1:6" x14ac:dyDescent="0.25">
      <c r="A12" t="s">
        <v>7</v>
      </c>
      <c r="B12" s="2">
        <f>C12*(1-F$6)</f>
        <v>990</v>
      </c>
      <c r="C12" s="2">
        <v>1000</v>
      </c>
      <c r="D12" s="2">
        <f>C12*(1+F$6)</f>
        <v>1010</v>
      </c>
      <c r="E12" t="s">
        <v>4</v>
      </c>
    </row>
    <row r="13" spans="1:6" x14ac:dyDescent="0.25">
      <c r="A13" t="s">
        <v>10</v>
      </c>
      <c r="B13">
        <v>3.3</v>
      </c>
      <c r="C13">
        <v>3.4</v>
      </c>
      <c r="D13">
        <v>3.55</v>
      </c>
      <c r="E13" t="s">
        <v>1</v>
      </c>
    </row>
    <row r="14" spans="1:6" x14ac:dyDescent="0.25">
      <c r="A14" t="s">
        <v>11</v>
      </c>
      <c r="B14">
        <v>2.6</v>
      </c>
      <c r="C14">
        <v>2.7</v>
      </c>
      <c r="D14">
        <v>2.85</v>
      </c>
      <c r="E14" t="s">
        <v>1</v>
      </c>
    </row>
    <row r="15" spans="1:6" x14ac:dyDescent="0.25">
      <c r="A15" t="s">
        <v>12</v>
      </c>
      <c r="B15">
        <v>1.22</v>
      </c>
      <c r="C15">
        <v>1.25</v>
      </c>
      <c r="D15">
        <v>1.28</v>
      </c>
      <c r="E15" t="s">
        <v>1</v>
      </c>
    </row>
    <row r="16" spans="1:6" x14ac:dyDescent="0.25">
      <c r="A16" t="s">
        <v>13</v>
      </c>
      <c r="B16">
        <v>1.17</v>
      </c>
      <c r="C16">
        <v>1.2</v>
      </c>
      <c r="D16">
        <v>1.23</v>
      </c>
      <c r="E16" t="s">
        <v>1</v>
      </c>
    </row>
    <row r="17" spans="1:14" x14ac:dyDescent="0.25">
      <c r="A17" t="s">
        <v>14</v>
      </c>
      <c r="B17" s="1">
        <v>3.9999999999999998E-6</v>
      </c>
      <c r="C17" s="1">
        <v>5.0000000000000004E-6</v>
      </c>
      <c r="D17" s="1">
        <v>6.0000000000000002E-6</v>
      </c>
      <c r="E17" t="s">
        <v>15</v>
      </c>
    </row>
    <row r="18" spans="1:14" x14ac:dyDescent="0.25">
      <c r="A18" t="s">
        <v>17</v>
      </c>
      <c r="B18" s="2">
        <f>B15*(1+B11/D12)+(B11*B17)</f>
        <v>16.45748011881188</v>
      </c>
      <c r="C18" s="2">
        <f>C15*(1+C11/C12)+(C11*C17)</f>
        <v>17.188500000000001</v>
      </c>
      <c r="D18" s="2">
        <f>D15*(1+D11/B12)+(D2*D17)</f>
        <v>17.864620040404041</v>
      </c>
      <c r="E18" t="s">
        <v>1</v>
      </c>
      <c r="M18" s="2"/>
      <c r="N18" s="2"/>
    </row>
    <row r="19" spans="1:14" x14ac:dyDescent="0.25">
      <c r="A19" t="s">
        <v>18</v>
      </c>
      <c r="B19" s="2">
        <f>B16*(1+B11/D12)+(B11*B17)</f>
        <v>15.785054376237623</v>
      </c>
      <c r="C19" s="2">
        <f>C16*(1+C11/C12)+(C11*C17)</f>
        <v>16.503499999999999</v>
      </c>
      <c r="D19" s="2">
        <f>D16*(1+D11/B12)+(D2*D17)</f>
        <v>17.166791757575758</v>
      </c>
      <c r="E19" t="s">
        <v>1</v>
      </c>
      <c r="M19" s="2"/>
      <c r="N19" s="2"/>
    </row>
    <row r="20" spans="1:14" x14ac:dyDescent="0.25">
      <c r="A20" s="7" t="s">
        <v>33</v>
      </c>
      <c r="M20" s="2"/>
      <c r="N20" s="2"/>
    </row>
    <row r="21" spans="1:14" x14ac:dyDescent="0.25">
      <c r="A21" t="s">
        <v>20</v>
      </c>
      <c r="B21" s="2">
        <f>C21*(1-F$6)</f>
        <v>74250</v>
      </c>
      <c r="C21" s="2">
        <v>75000</v>
      </c>
      <c r="D21" s="2">
        <f>C21*(1+F$6)</f>
        <v>75750</v>
      </c>
      <c r="E21" t="s">
        <v>4</v>
      </c>
      <c r="F21" s="4">
        <v>0.01</v>
      </c>
    </row>
    <row r="22" spans="1:14" x14ac:dyDescent="0.25">
      <c r="A22" t="s">
        <v>19</v>
      </c>
      <c r="B22" s="2">
        <f>1/((D21/30300000000)+0.00000002)</f>
        <v>396825.39682539681</v>
      </c>
      <c r="C22" s="2">
        <f>1/((C21/30300000000)+0.00000002)</f>
        <v>400761.84429807158</v>
      </c>
      <c r="D22" s="2">
        <f>1/((B21/30300000000)+0.00000002)</f>
        <v>404777.1721705675</v>
      </c>
      <c r="E22" t="s">
        <v>21</v>
      </c>
    </row>
    <row r="23" spans="1:14" x14ac:dyDescent="0.25">
      <c r="A23" s="7" t="s">
        <v>32</v>
      </c>
      <c r="F23" t="s">
        <v>50</v>
      </c>
      <c r="G23" t="s">
        <v>51</v>
      </c>
    </row>
    <row r="24" spans="1:14" x14ac:dyDescent="0.25">
      <c r="A24" t="s">
        <v>22</v>
      </c>
      <c r="C24" s="2">
        <f>B2^2*(C3-B2)/(0.2*C4*C22*C3^2)</f>
        <v>8.0846019801980207E-6</v>
      </c>
      <c r="E24" t="s">
        <v>23</v>
      </c>
    </row>
    <row r="25" spans="1:14" x14ac:dyDescent="0.25">
      <c r="A25" t="s">
        <v>25</v>
      </c>
      <c r="C25" s="2">
        <v>1.5E-5</v>
      </c>
    </row>
    <row r="26" spans="1:14" x14ac:dyDescent="0.25">
      <c r="A26" t="s">
        <v>27</v>
      </c>
      <c r="C26" s="6">
        <f>(1-B2/C3)*B2/(C25*C22)</f>
        <v>0.29942970297029697</v>
      </c>
      <c r="E26" t="s">
        <v>24</v>
      </c>
    </row>
    <row r="27" spans="1:14" x14ac:dyDescent="0.25">
      <c r="A27" t="s">
        <v>26</v>
      </c>
      <c r="C27" s="5">
        <f>C3*C4/(0.95*B2)</f>
        <v>2.923976608187135</v>
      </c>
      <c r="E27" t="s">
        <v>24</v>
      </c>
    </row>
    <row r="28" spans="1:14" x14ac:dyDescent="0.25">
      <c r="A28" t="s">
        <v>28</v>
      </c>
      <c r="C28" s="5">
        <f>C27+C26</f>
        <v>3.223406311157432</v>
      </c>
      <c r="E28" t="s">
        <v>24</v>
      </c>
    </row>
    <row r="29" spans="1:14" x14ac:dyDescent="0.25">
      <c r="A29" s="7" t="s">
        <v>31</v>
      </c>
    </row>
    <row r="30" spans="1:14" x14ac:dyDescent="0.25">
      <c r="A30" t="s">
        <v>29</v>
      </c>
      <c r="B30" s="2">
        <v>4.3900000000000002E-2</v>
      </c>
      <c r="C30" s="2">
        <v>0.05</v>
      </c>
      <c r="D30" s="2">
        <v>5.4100000000000002E-2</v>
      </c>
      <c r="E30" t="s">
        <v>16</v>
      </c>
    </row>
    <row r="31" spans="1:14" x14ac:dyDescent="0.25">
      <c r="A31" t="s">
        <v>30</v>
      </c>
      <c r="B31" s="2">
        <v>-5.7500000000000002E-2</v>
      </c>
      <c r="C31" s="2">
        <v>-0.05</v>
      </c>
      <c r="D31" s="2">
        <v>-4.2900000000000001E-2</v>
      </c>
      <c r="E31" t="s">
        <v>16</v>
      </c>
    </row>
    <row r="32" spans="1:14" x14ac:dyDescent="0.25">
      <c r="A32" t="s">
        <v>36</v>
      </c>
      <c r="C32" s="2">
        <f>B30/((C27+C26/2)*1.2)</f>
        <v>1.1902083801616784E-2</v>
      </c>
      <c r="E32" t="s">
        <v>4</v>
      </c>
    </row>
    <row r="33" spans="1:7" x14ac:dyDescent="0.25">
      <c r="A33" t="s">
        <v>37</v>
      </c>
      <c r="C33" s="2">
        <v>1.2E-2</v>
      </c>
      <c r="E33" t="s">
        <v>4</v>
      </c>
    </row>
    <row r="34" spans="1:7" x14ac:dyDescent="0.25">
      <c r="A34" t="s">
        <v>38</v>
      </c>
      <c r="C34" s="5">
        <f>(D30/C33)^2*C33*(1-C3/D2)</f>
        <v>0.10840037037037038</v>
      </c>
      <c r="E34" t="s">
        <v>39</v>
      </c>
    </row>
    <row r="36" spans="1:7" x14ac:dyDescent="0.25">
      <c r="A36" t="s">
        <v>40</v>
      </c>
      <c r="C36" s="2">
        <f>C25/C33*50</f>
        <v>6.25E-2</v>
      </c>
    </row>
    <row r="38" spans="1:7" x14ac:dyDescent="0.25">
      <c r="A38" s="7" t="s">
        <v>41</v>
      </c>
    </row>
    <row r="39" spans="1:7" x14ac:dyDescent="0.25">
      <c r="A39" t="s">
        <v>42</v>
      </c>
      <c r="C39" s="2">
        <v>1.0000000000000001E-5</v>
      </c>
      <c r="E39" t="s">
        <v>19</v>
      </c>
      <c r="F39" t="s">
        <v>50</v>
      </c>
      <c r="G39" t="s">
        <v>52</v>
      </c>
    </row>
    <row r="40" spans="1:7" x14ac:dyDescent="0.25">
      <c r="A40" t="s">
        <v>43</v>
      </c>
      <c r="C40">
        <v>2.4E-2</v>
      </c>
      <c r="E40" t="s">
        <v>44</v>
      </c>
    </row>
    <row r="41" spans="1:7" x14ac:dyDescent="0.25">
      <c r="A41" t="s">
        <v>45</v>
      </c>
      <c r="C41">
        <v>3</v>
      </c>
    </row>
    <row r="42" spans="1:7" x14ac:dyDescent="0.25">
      <c r="A42" t="s">
        <v>46</v>
      </c>
      <c r="B42" s="5">
        <f>C4*(C3/B2-1)^0.5</f>
        <v>0.83333333333333359</v>
      </c>
      <c r="C42" s="5"/>
      <c r="D42" s="5"/>
      <c r="E42" t="s">
        <v>24</v>
      </c>
      <c r="F42" t="s">
        <v>49</v>
      </c>
    </row>
    <row r="43" spans="1:7" x14ac:dyDescent="0.25">
      <c r="A43" t="s">
        <v>47</v>
      </c>
      <c r="B43" s="5">
        <f>B42*C3/B2*C40/C41</f>
        <v>7.4074074074074086E-3</v>
      </c>
      <c r="E43" t="s">
        <v>16</v>
      </c>
    </row>
    <row r="44" spans="1:7" x14ac:dyDescent="0.25">
      <c r="A44" t="s">
        <v>53</v>
      </c>
      <c r="B44" s="2">
        <f>C4*(1-B2/C3)/(C39*C41*C22)</f>
        <v>2.0793729372937286E-2</v>
      </c>
    </row>
    <row r="47" spans="1:7" x14ac:dyDescent="0.25">
      <c r="A47" s="7" t="s">
        <v>54</v>
      </c>
    </row>
    <row r="48" spans="1:7" x14ac:dyDescent="0.25">
      <c r="A48" t="s">
        <v>55</v>
      </c>
      <c r="C48">
        <v>0.5</v>
      </c>
      <c r="E48" t="s">
        <v>56</v>
      </c>
    </row>
    <row r="49" spans="1:7" x14ac:dyDescent="0.25">
      <c r="A49" t="s">
        <v>57</v>
      </c>
      <c r="C49">
        <f>C4*(C48*(1-C48))^0.5</f>
        <v>1.25</v>
      </c>
    </row>
    <row r="50" spans="1:7" x14ac:dyDescent="0.25">
      <c r="A50" t="s">
        <v>42</v>
      </c>
      <c r="C50" s="2">
        <v>1.0000000000000001E-5</v>
      </c>
      <c r="E50" t="s">
        <v>19</v>
      </c>
      <c r="F50" t="s">
        <v>50</v>
      </c>
      <c r="G50" t="s">
        <v>52</v>
      </c>
    </row>
    <row r="51" spans="1:7" x14ac:dyDescent="0.25">
      <c r="A51" t="s">
        <v>43</v>
      </c>
      <c r="C51">
        <v>2.4E-2</v>
      </c>
      <c r="E51" t="s">
        <v>44</v>
      </c>
    </row>
    <row r="52" spans="1:7" x14ac:dyDescent="0.25">
      <c r="A52" t="s">
        <v>45</v>
      </c>
      <c r="C52">
        <v>3</v>
      </c>
    </row>
    <row r="53" spans="1:7" x14ac:dyDescent="0.25">
      <c r="A53" s="7" t="s">
        <v>58</v>
      </c>
    </row>
    <row r="54" spans="1:7" x14ac:dyDescent="0.25">
      <c r="A54" t="s">
        <v>63</v>
      </c>
      <c r="C54">
        <v>1E-3</v>
      </c>
      <c r="E54" t="s">
        <v>60</v>
      </c>
    </row>
    <row r="55" spans="1:7" x14ac:dyDescent="0.25">
      <c r="A55" t="s">
        <v>59</v>
      </c>
      <c r="B55" s="2">
        <v>8.8999999999999995E-6</v>
      </c>
      <c r="C55" s="2">
        <v>1.0000000000000001E-5</v>
      </c>
      <c r="D55" s="2">
        <v>1.1E-5</v>
      </c>
      <c r="E55" t="s">
        <v>24</v>
      </c>
    </row>
    <row r="56" spans="1:7" x14ac:dyDescent="0.25">
      <c r="A56" t="s">
        <v>62</v>
      </c>
      <c r="B56">
        <v>3</v>
      </c>
      <c r="C56">
        <v>5</v>
      </c>
      <c r="D56">
        <v>5.25</v>
      </c>
    </row>
    <row r="57" spans="1:7" x14ac:dyDescent="0.25">
      <c r="A57" t="s">
        <v>61</v>
      </c>
      <c r="B57" s="2">
        <f>C57*(1-F$57)</f>
        <v>1.8000000000000002E-9</v>
      </c>
      <c r="C57" s="2">
        <f>C55*C54/C56</f>
        <v>2.0000000000000001E-9</v>
      </c>
      <c r="D57" s="2">
        <f>C57*(1+F$57)</f>
        <v>2.2000000000000003E-9</v>
      </c>
      <c r="E57" t="s">
        <v>4</v>
      </c>
      <c r="F57" s="4">
        <v>0.1</v>
      </c>
    </row>
    <row r="58" spans="1:7" x14ac:dyDescent="0.25">
      <c r="A58" t="s">
        <v>64</v>
      </c>
      <c r="B58" s="2">
        <f>B57*B56/D55</f>
        <v>4.90909090909091E-4</v>
      </c>
      <c r="C58" s="3">
        <f>C57*C56/C55</f>
        <v>1E-3</v>
      </c>
      <c r="D58" s="2">
        <f>D57*D56/B55</f>
        <v>1.2977528089887643E-3</v>
      </c>
      <c r="E58" t="s">
        <v>60</v>
      </c>
    </row>
    <row r="60" spans="1:7" x14ac:dyDescent="0.25">
      <c r="A60" s="7" t="s">
        <v>65</v>
      </c>
    </row>
    <row r="61" spans="1:7" x14ac:dyDescent="0.25">
      <c r="A61" t="s">
        <v>67</v>
      </c>
      <c r="C61">
        <v>3.5999999999999999E-3</v>
      </c>
      <c r="D61">
        <v>4.4000000000000003E-3</v>
      </c>
      <c r="E61" t="s">
        <v>44</v>
      </c>
    </row>
    <row r="62" spans="1:7" x14ac:dyDescent="0.25">
      <c r="A62" t="s">
        <v>68</v>
      </c>
      <c r="C62" s="1">
        <v>1.0000000000000001E-9</v>
      </c>
      <c r="E62" t="s">
        <v>60</v>
      </c>
    </row>
    <row r="63" spans="1:7" x14ac:dyDescent="0.25">
      <c r="A63" t="s">
        <v>69</v>
      </c>
      <c r="C63" s="1">
        <v>8.0000000000000005E-9</v>
      </c>
      <c r="E63" t="s">
        <v>60</v>
      </c>
    </row>
    <row r="64" spans="1:7" x14ac:dyDescent="0.25">
      <c r="A64" t="s">
        <v>66</v>
      </c>
      <c r="C64" s="5">
        <f>(C4*C3/C2)^2*C61</f>
        <v>1.1479591836734694E-2</v>
      </c>
      <c r="D64" s="5">
        <f>(C4*C3/C2)^2*D61</f>
        <v>1.4030612244897961E-2</v>
      </c>
      <c r="E64" t="s">
        <v>39</v>
      </c>
    </row>
    <row r="65" spans="1:6" x14ac:dyDescent="0.25">
      <c r="A65" t="s">
        <v>70</v>
      </c>
      <c r="C65" s="5">
        <f>C2*C4*(C62+C63)*C22/2</f>
        <v>0.12623998095389258</v>
      </c>
      <c r="D65" s="5">
        <f>D2*C4*(C62+C63)*D22/2</f>
        <v>0.16393475472907984</v>
      </c>
      <c r="E65" t="s">
        <v>39</v>
      </c>
    </row>
    <row r="66" spans="1:6" x14ac:dyDescent="0.25">
      <c r="A66" t="s">
        <v>71</v>
      </c>
      <c r="C66" s="5">
        <f>C65+C64</f>
        <v>0.13771957279062727</v>
      </c>
      <c r="D66" s="5">
        <f>D65+D64</f>
        <v>0.1779653669739778</v>
      </c>
      <c r="E66" t="s">
        <v>39</v>
      </c>
    </row>
    <row r="67" spans="1:6" x14ac:dyDescent="0.25">
      <c r="A67" t="s">
        <v>72</v>
      </c>
      <c r="C67" s="5">
        <f>(1-C3/C2)*C4^2*C61</f>
        <v>6.4285714285714276E-3</v>
      </c>
      <c r="D67" s="5">
        <f>(1-C3/D2)*C4^2*D61</f>
        <v>1.2222222222222223E-2</v>
      </c>
      <c r="E67" t="s">
        <v>39</v>
      </c>
    </row>
    <row r="68" spans="1:6" x14ac:dyDescent="0.25">
      <c r="A68" t="s">
        <v>73</v>
      </c>
      <c r="C68" s="5">
        <f>C4^2*C61</f>
        <v>2.2499999999999999E-2</v>
      </c>
      <c r="D68" s="5">
        <f>C4^2*D61</f>
        <v>2.75E-2</v>
      </c>
      <c r="E68" t="s">
        <v>39</v>
      </c>
      <c r="F68" t="s">
        <v>74</v>
      </c>
    </row>
    <row r="69" spans="1:6" x14ac:dyDescent="0.25">
      <c r="A69" t="s">
        <v>73</v>
      </c>
      <c r="C69">
        <f>B2/C3*(C4*C3/B2)^2*C61</f>
        <v>2.5000000000000001E-2</v>
      </c>
      <c r="D69" s="5">
        <f>B2/C3*(C4*C3/B2)^2*D61</f>
        <v>3.0555555555555558E-2</v>
      </c>
      <c r="E69" t="s">
        <v>39</v>
      </c>
      <c r="F69" t="s">
        <v>75</v>
      </c>
    </row>
    <row r="70" spans="1:6" x14ac:dyDescent="0.25">
      <c r="A70" t="s">
        <v>76</v>
      </c>
      <c r="C70" s="5">
        <f>(1-B2/C3)*(C4*C3/B2)^2*C61</f>
        <v>2.777777777777777E-3</v>
      </c>
      <c r="D70" s="5">
        <f>(1-B2/C3)*(C4*C3/B2)^2*D61</f>
        <v>3.3950617283950608E-3</v>
      </c>
      <c r="E70" t="s">
        <v>39</v>
      </c>
    </row>
    <row r="71" spans="1:6" x14ac:dyDescent="0.25">
      <c r="A71" t="s">
        <v>77</v>
      </c>
      <c r="C71" s="5">
        <f>C3*(C4*C3/B2)*(C62+C63)*C22/2</f>
        <v>0.10019046107451791</v>
      </c>
      <c r="E71" t="s">
        <v>39</v>
      </c>
    </row>
    <row r="72" spans="1:6" x14ac:dyDescent="0.25">
      <c r="A72" t="s">
        <v>78</v>
      </c>
      <c r="C72" s="5">
        <f>C70+C71</f>
        <v>0.1029682388522957</v>
      </c>
      <c r="D72" s="5">
        <f>C71+D70</f>
        <v>0.10358552280291297</v>
      </c>
      <c r="E72" t="s">
        <v>39</v>
      </c>
    </row>
    <row r="73" spans="1:6" x14ac:dyDescent="0.25">
      <c r="A73" t="s">
        <v>79</v>
      </c>
      <c r="D73">
        <v>70</v>
      </c>
      <c r="E73" t="s">
        <v>80</v>
      </c>
    </row>
    <row r="74" spans="1:6" x14ac:dyDescent="0.25">
      <c r="A74" t="s">
        <v>71</v>
      </c>
      <c r="D74" s="5">
        <f>D66</f>
        <v>0.1779653669739778</v>
      </c>
      <c r="E74" t="s">
        <v>39</v>
      </c>
    </row>
    <row r="75" spans="1:6" x14ac:dyDescent="0.25">
      <c r="A75" t="s">
        <v>81</v>
      </c>
      <c r="C75">
        <v>24.2</v>
      </c>
      <c r="E75" t="s">
        <v>82</v>
      </c>
    </row>
    <row r="76" spans="1:6" x14ac:dyDescent="0.25">
      <c r="A76" t="s">
        <v>83</v>
      </c>
      <c r="D76" s="8">
        <f>D73+D74*C75</f>
        <v>74.306761880770267</v>
      </c>
      <c r="E76" t="s">
        <v>80</v>
      </c>
    </row>
    <row r="78" spans="1:6" x14ac:dyDescent="0.25">
      <c r="A78" s="7" t="s">
        <v>84</v>
      </c>
    </row>
    <row r="79" spans="1:6" x14ac:dyDescent="0.25">
      <c r="A79" s="9" t="s">
        <v>85</v>
      </c>
      <c r="C79">
        <f>1/(2*PI())</f>
        <v>0.15915494309189535</v>
      </c>
    </row>
    <row r="80" spans="1:6" x14ac:dyDescent="0.25">
      <c r="A80" s="9" t="s">
        <v>86</v>
      </c>
      <c r="C80">
        <f>C3/C4</f>
        <v>8</v>
      </c>
      <c r="E80" t="s">
        <v>4</v>
      </c>
    </row>
    <row r="81" spans="1:14" x14ac:dyDescent="0.25">
      <c r="A81" s="9" t="s">
        <v>87</v>
      </c>
      <c r="C81">
        <f>1-(B2*0.95/C3)</f>
        <v>0.14500000000000013</v>
      </c>
    </row>
    <row r="82" spans="1:14" x14ac:dyDescent="0.25">
      <c r="A82" s="9" t="s">
        <v>91</v>
      </c>
      <c r="C82" s="2">
        <f>C39*C41</f>
        <v>3.0000000000000004E-5</v>
      </c>
    </row>
    <row r="83" spans="1:14" x14ac:dyDescent="0.25">
      <c r="A83" s="9" t="s">
        <v>43</v>
      </c>
      <c r="C83" s="2">
        <f>C40/C41</f>
        <v>8.0000000000000002E-3</v>
      </c>
    </row>
    <row r="84" spans="1:14" x14ac:dyDescent="0.25">
      <c r="A84" t="s">
        <v>88</v>
      </c>
      <c r="C84" s="2">
        <f>C79*(2/(C80*C82))</f>
        <v>1326.291192432461</v>
      </c>
      <c r="E84" t="s">
        <v>21</v>
      </c>
    </row>
    <row r="85" spans="1:14" x14ac:dyDescent="0.25">
      <c r="A85" t="s">
        <v>89</v>
      </c>
      <c r="C85" s="2">
        <f>C79*(1/(C83*C82))</f>
        <v>663145.59621623054</v>
      </c>
      <c r="E85" t="s">
        <v>21</v>
      </c>
    </row>
    <row r="86" spans="1:14" x14ac:dyDescent="0.25">
      <c r="A86" t="s">
        <v>90</v>
      </c>
      <c r="C86" s="2">
        <f>C79*(C80*(1-C81)^2)/C25</f>
        <v>62051.329212668134</v>
      </c>
      <c r="E86" t="s">
        <v>21</v>
      </c>
    </row>
    <row r="87" spans="1:14" x14ac:dyDescent="0.25">
      <c r="A87" t="s">
        <v>92</v>
      </c>
      <c r="C87" s="2">
        <f>C79*(1/(C80*C82))</f>
        <v>663.1455962162305</v>
      </c>
    </row>
    <row r="89" spans="1:14" x14ac:dyDescent="0.25">
      <c r="A89" t="s">
        <v>93</v>
      </c>
      <c r="C89" s="2">
        <f>C86/3</f>
        <v>20683.77640422271</v>
      </c>
      <c r="E89" t="s">
        <v>21</v>
      </c>
      <c r="F89" t="s">
        <v>94</v>
      </c>
    </row>
    <row r="90" spans="1:14" x14ac:dyDescent="0.25">
      <c r="A90" t="s">
        <v>93</v>
      </c>
      <c r="C90" s="2">
        <f>C22/20</f>
        <v>20038.09221490358</v>
      </c>
      <c r="E90" t="s">
        <v>21</v>
      </c>
      <c r="F90" t="s">
        <v>95</v>
      </c>
    </row>
    <row r="91" spans="1:14" x14ac:dyDescent="0.25">
      <c r="A91" t="s">
        <v>96</v>
      </c>
      <c r="C91" s="1">
        <v>5000</v>
      </c>
      <c r="E91" t="s">
        <v>21</v>
      </c>
    </row>
    <row r="92" spans="1:14" x14ac:dyDescent="0.25">
      <c r="A92" t="s">
        <v>97</v>
      </c>
      <c r="C92" s="2">
        <f>C84*1.5</f>
        <v>1989.4367886486916</v>
      </c>
      <c r="E92" t="s">
        <v>21</v>
      </c>
    </row>
    <row r="93" spans="1:14" x14ac:dyDescent="0.25">
      <c r="A93" t="s">
        <v>99</v>
      </c>
      <c r="C93" s="2">
        <v>5.9999999999999995E-4</v>
      </c>
      <c r="E93" t="s">
        <v>100</v>
      </c>
      <c r="N93" s="6"/>
    </row>
    <row r="94" spans="1:14" x14ac:dyDescent="0.25">
      <c r="B94" s="2"/>
      <c r="C94" s="6">
        <v>22</v>
      </c>
      <c r="D94" s="2"/>
    </row>
    <row r="95" spans="1:14" x14ac:dyDescent="0.25">
      <c r="A95" t="s">
        <v>98</v>
      </c>
      <c r="B95" s="2"/>
      <c r="C95" s="3">
        <f>(2*PI()*C91/C93)*((C11+C12)/C12)*(C94*C33*C82/(1-C81))*(1/(1+(C91/C86)^2)^0.5)</f>
        <v>6623.2767374387749</v>
      </c>
      <c r="D95" s="2"/>
    </row>
    <row r="96" spans="1:14" x14ac:dyDescent="0.25">
      <c r="C96">
        <f>(2*PI()*C91/C93)*((C11+C12)/C12)*(10*C33*C82/(1-C81))</f>
        <v>3020.3382002933463</v>
      </c>
      <c r="G96" t="s">
        <v>48</v>
      </c>
    </row>
    <row r="98" spans="1:3" x14ac:dyDescent="0.25">
      <c r="A98" t="s">
        <v>101</v>
      </c>
      <c r="C98" s="2">
        <f>1/(2*PI()*C92*C95)</f>
        <v>1.2078613527922141E-8</v>
      </c>
    </row>
    <row r="99" spans="1:3" x14ac:dyDescent="0.25">
      <c r="A99" t="s">
        <v>103</v>
      </c>
      <c r="C99">
        <v>6000</v>
      </c>
    </row>
    <row r="100" spans="1:3" x14ac:dyDescent="0.25">
      <c r="A100" t="s">
        <v>102</v>
      </c>
      <c r="C100" s="3">
        <f>1/(2*PI()*C99*C95)</f>
        <v>4.0049396847196778E-9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1C19A-9C67-4E76-BF1D-C26387983C27}">
  <dimension ref="A2:N100"/>
  <sheetViews>
    <sheetView tabSelected="1" topLeftCell="A72" workbookViewId="0">
      <selection activeCell="F107" sqref="F107"/>
    </sheetView>
  </sheetViews>
  <sheetFormatPr defaultRowHeight="15" x14ac:dyDescent="0.25"/>
  <cols>
    <col min="1" max="1" width="13.5703125" customWidth="1"/>
    <col min="3" max="3" width="9.5703125" bestFit="1" customWidth="1"/>
  </cols>
  <sheetData>
    <row r="2" spans="1:6" x14ac:dyDescent="0.25">
      <c r="A2" t="s">
        <v>0</v>
      </c>
      <c r="B2">
        <v>6</v>
      </c>
      <c r="C2">
        <v>13.5</v>
      </c>
      <c r="D2">
        <v>36</v>
      </c>
      <c r="E2" t="s">
        <v>1</v>
      </c>
    </row>
    <row r="3" spans="1:6" x14ac:dyDescent="0.25">
      <c r="A3" t="s">
        <v>2</v>
      </c>
      <c r="C3">
        <v>16</v>
      </c>
      <c r="E3" t="s">
        <v>16</v>
      </c>
    </row>
    <row r="4" spans="1:6" x14ac:dyDescent="0.25">
      <c r="A4" t="s">
        <v>3</v>
      </c>
      <c r="C4">
        <v>8</v>
      </c>
      <c r="E4" t="s">
        <v>24</v>
      </c>
    </row>
    <row r="5" spans="1:6" x14ac:dyDescent="0.25">
      <c r="A5" s="7" t="s">
        <v>35</v>
      </c>
    </row>
    <row r="6" spans="1:6" x14ac:dyDescent="0.25">
      <c r="A6" t="s">
        <v>8</v>
      </c>
      <c r="B6" s="2">
        <f>C6*(1-F$6)</f>
        <v>70785</v>
      </c>
      <c r="C6" s="2">
        <v>71500</v>
      </c>
      <c r="D6" s="2">
        <f>C6*(1+F$6)</f>
        <v>72215</v>
      </c>
      <c r="E6" t="s">
        <v>4</v>
      </c>
      <c r="F6" s="4">
        <v>0.01</v>
      </c>
    </row>
    <row r="7" spans="1:6" x14ac:dyDescent="0.25">
      <c r="A7" t="s">
        <v>9</v>
      </c>
      <c r="B7" s="3">
        <f>C7*(1-F$6)</f>
        <v>4821.3</v>
      </c>
      <c r="C7" s="3">
        <v>4870</v>
      </c>
      <c r="D7" s="3">
        <f>C7*(1+F$6)</f>
        <v>4918.7</v>
      </c>
      <c r="E7" t="s">
        <v>4</v>
      </c>
    </row>
    <row r="8" spans="1:6" x14ac:dyDescent="0.25">
      <c r="A8" t="s">
        <v>5</v>
      </c>
      <c r="B8">
        <v>0.99</v>
      </c>
      <c r="C8" s="6">
        <v>1</v>
      </c>
      <c r="D8">
        <v>1.01</v>
      </c>
      <c r="E8" t="s">
        <v>1</v>
      </c>
    </row>
    <row r="9" spans="1:6" x14ac:dyDescent="0.25">
      <c r="A9" t="s">
        <v>2</v>
      </c>
      <c r="B9" s="6">
        <f>(B6/D7)*D8+D8</f>
        <v>15.544907597535934</v>
      </c>
      <c r="C9" s="6">
        <f>(C6/C7)*C8+C8</f>
        <v>15.681724845995893</v>
      </c>
      <c r="D9" s="6">
        <f>(D6/B7)*B8+B8</f>
        <v>15.818542094455852</v>
      </c>
      <c r="E9" t="s">
        <v>1</v>
      </c>
    </row>
    <row r="10" spans="1:6" x14ac:dyDescent="0.25">
      <c r="A10" s="7" t="s">
        <v>34</v>
      </c>
    </row>
    <row r="11" spans="1:6" x14ac:dyDescent="0.25">
      <c r="A11" t="s">
        <v>6</v>
      </c>
      <c r="B11" s="2">
        <f>C11*(1-F$6)</f>
        <v>74250</v>
      </c>
      <c r="C11" s="2">
        <v>75000</v>
      </c>
      <c r="D11" s="2">
        <f>C11*(1+F$6)</f>
        <v>75750</v>
      </c>
      <c r="E11" t="s">
        <v>4</v>
      </c>
      <c r="F11" s="4">
        <v>0.01</v>
      </c>
    </row>
    <row r="12" spans="1:6" x14ac:dyDescent="0.25">
      <c r="A12" t="s">
        <v>7</v>
      </c>
      <c r="B12" s="2">
        <f>C12*(1-F$6)</f>
        <v>20295</v>
      </c>
      <c r="C12" s="2">
        <v>20500</v>
      </c>
      <c r="D12" s="2">
        <f>C12*(1+F$6)</f>
        <v>20705</v>
      </c>
      <c r="E12" t="s">
        <v>4</v>
      </c>
    </row>
    <row r="13" spans="1:6" x14ac:dyDescent="0.25">
      <c r="A13" t="s">
        <v>10</v>
      </c>
      <c r="B13">
        <v>3.3</v>
      </c>
      <c r="C13">
        <v>3.4</v>
      </c>
      <c r="D13">
        <v>3.55</v>
      </c>
      <c r="E13" t="s">
        <v>1</v>
      </c>
    </row>
    <row r="14" spans="1:6" x14ac:dyDescent="0.25">
      <c r="A14" t="s">
        <v>11</v>
      </c>
      <c r="B14">
        <v>2.6</v>
      </c>
      <c r="C14">
        <v>2.7</v>
      </c>
      <c r="D14">
        <v>2.85</v>
      </c>
      <c r="E14" t="s">
        <v>1</v>
      </c>
    </row>
    <row r="15" spans="1:6" x14ac:dyDescent="0.25">
      <c r="A15" t="s">
        <v>12</v>
      </c>
      <c r="B15">
        <v>1.22</v>
      </c>
      <c r="C15">
        <v>1.25</v>
      </c>
      <c r="D15">
        <v>1.28</v>
      </c>
      <c r="E15" t="s">
        <v>1</v>
      </c>
    </row>
    <row r="16" spans="1:6" x14ac:dyDescent="0.25">
      <c r="A16" t="s">
        <v>13</v>
      </c>
      <c r="B16">
        <v>1.17</v>
      </c>
      <c r="C16">
        <v>1.2</v>
      </c>
      <c r="D16">
        <v>1.23</v>
      </c>
      <c r="E16" t="s">
        <v>1</v>
      </c>
    </row>
    <row r="17" spans="1:14" x14ac:dyDescent="0.25">
      <c r="A17" t="s">
        <v>14</v>
      </c>
      <c r="B17" s="1">
        <v>3.9999999999999998E-6</v>
      </c>
      <c r="C17" s="1">
        <v>5.0000000000000004E-6</v>
      </c>
      <c r="D17" s="1">
        <v>6.0000000000000002E-6</v>
      </c>
      <c r="E17" t="s">
        <v>15</v>
      </c>
    </row>
    <row r="18" spans="1:14" x14ac:dyDescent="0.25">
      <c r="A18" t="s">
        <v>17</v>
      </c>
      <c r="B18" s="2">
        <f>B15*(1+B11/D12)+(B11*B17)</f>
        <v>5.8920301859454227</v>
      </c>
      <c r="C18" s="2">
        <f>C15*(1+C11/C12)+(C11*C17)</f>
        <v>6.1981707317073162</v>
      </c>
      <c r="D18" s="2">
        <f>D15*(1+D11/B12)+(D2*D17)</f>
        <v>6.0577474116777532</v>
      </c>
      <c r="E18" t="s">
        <v>1</v>
      </c>
      <c r="M18" s="2"/>
      <c r="N18" s="2"/>
    </row>
    <row r="19" spans="1:14" x14ac:dyDescent="0.25">
      <c r="A19" t="s">
        <v>18</v>
      </c>
      <c r="B19" s="2">
        <f>B16*(1+B11/D12)+(B11*B17)</f>
        <v>5.6627256701279878</v>
      </c>
      <c r="C19" s="2">
        <f>C16*(1+C11/C12)+(C11*C17)</f>
        <v>5.965243902439024</v>
      </c>
      <c r="D19" s="2">
        <f>D16*(1+D11/B12)+(D2*D17)</f>
        <v>5.8211250909090904</v>
      </c>
      <c r="E19" t="s">
        <v>1</v>
      </c>
      <c r="M19" s="2"/>
      <c r="N19" s="2"/>
    </row>
    <row r="20" spans="1:14" x14ac:dyDescent="0.25">
      <c r="A20" s="7" t="s">
        <v>33</v>
      </c>
      <c r="M20" s="2"/>
      <c r="N20" s="2"/>
    </row>
    <row r="21" spans="1:14" x14ac:dyDescent="0.25">
      <c r="A21" t="s">
        <v>20</v>
      </c>
      <c r="B21" s="2">
        <f>C21*(1-F$6)</f>
        <v>74250</v>
      </c>
      <c r="C21" s="2">
        <v>75000</v>
      </c>
      <c r="D21" s="2">
        <f>C21*(1+F$6)</f>
        <v>75750</v>
      </c>
      <c r="E21" t="s">
        <v>4</v>
      </c>
      <c r="F21" s="4">
        <v>0.01</v>
      </c>
    </row>
    <row r="22" spans="1:14" x14ac:dyDescent="0.25">
      <c r="A22" t="s">
        <v>19</v>
      </c>
      <c r="B22" s="2">
        <f>1/((D21/30300000000)+0.00000002)</f>
        <v>396825.39682539681</v>
      </c>
      <c r="C22" s="2">
        <f>1/((C21/30300000000)+0.00000002)</f>
        <v>400761.84429807158</v>
      </c>
      <c r="D22" s="2">
        <f>1/((B21/30300000000)+0.00000002)</f>
        <v>404777.1721705675</v>
      </c>
      <c r="E22" t="s">
        <v>21</v>
      </c>
    </row>
    <row r="23" spans="1:14" x14ac:dyDescent="0.25">
      <c r="A23" s="7" t="s">
        <v>32</v>
      </c>
      <c r="F23" t="s">
        <v>50</v>
      </c>
      <c r="G23" t="s">
        <v>51</v>
      </c>
    </row>
    <row r="24" spans="1:14" x14ac:dyDescent="0.25">
      <c r="A24" t="s">
        <v>22</v>
      </c>
      <c r="C24" s="2">
        <f>B2^2*(C3-B2)/(0.2*C4*C22*C3^2)</f>
        <v>2.1930886448019802E-6</v>
      </c>
      <c r="E24" t="s">
        <v>23</v>
      </c>
    </row>
    <row r="25" spans="1:14" x14ac:dyDescent="0.25">
      <c r="A25" t="s">
        <v>25</v>
      </c>
      <c r="C25" s="2">
        <v>1.7999999999999999E-6</v>
      </c>
    </row>
    <row r="26" spans="1:14" x14ac:dyDescent="0.25">
      <c r="A26" t="s">
        <v>27</v>
      </c>
      <c r="C26" s="6">
        <f>(1-B2/C3)*B2/(C25*C22)</f>
        <v>5.198432343234324</v>
      </c>
      <c r="E26" t="s">
        <v>24</v>
      </c>
    </row>
    <row r="27" spans="1:14" x14ac:dyDescent="0.25">
      <c r="A27" t="s">
        <v>26</v>
      </c>
      <c r="C27" s="5">
        <f>C3*C4/(0.95*B2)</f>
        <v>22.456140350877195</v>
      </c>
      <c r="E27" t="s">
        <v>24</v>
      </c>
    </row>
    <row r="28" spans="1:14" x14ac:dyDescent="0.25">
      <c r="A28" t="s">
        <v>28</v>
      </c>
      <c r="C28" s="5">
        <f>C27+C26</f>
        <v>27.654572694111518</v>
      </c>
      <c r="E28" t="s">
        <v>24</v>
      </c>
    </row>
    <row r="29" spans="1:14" x14ac:dyDescent="0.25">
      <c r="A29" s="7" t="s">
        <v>31</v>
      </c>
    </row>
    <row r="30" spans="1:14" x14ac:dyDescent="0.25">
      <c r="A30" t="s">
        <v>29</v>
      </c>
      <c r="B30" s="2">
        <v>4.3900000000000002E-2</v>
      </c>
      <c r="C30" s="2">
        <v>0.05</v>
      </c>
      <c r="D30" s="2">
        <v>5.4100000000000002E-2</v>
      </c>
      <c r="E30" t="s">
        <v>16</v>
      </c>
    </row>
    <row r="31" spans="1:14" x14ac:dyDescent="0.25">
      <c r="A31" t="s">
        <v>30</v>
      </c>
      <c r="B31" s="2">
        <v>-5.7500000000000002E-2</v>
      </c>
      <c r="C31" s="2">
        <v>-0.05</v>
      </c>
      <c r="D31" s="2">
        <v>-4.2900000000000001E-2</v>
      </c>
      <c r="E31" t="s">
        <v>16</v>
      </c>
    </row>
    <row r="32" spans="1:14" x14ac:dyDescent="0.25">
      <c r="A32" t="s">
        <v>36</v>
      </c>
      <c r="C32" s="3">
        <f>B30/((C27+C26/2)*1.2)</f>
        <v>1.4601002903506608E-3</v>
      </c>
      <c r="E32" t="s">
        <v>4</v>
      </c>
    </row>
    <row r="33" spans="1:7" x14ac:dyDescent="0.25">
      <c r="A33" t="s">
        <v>37</v>
      </c>
      <c r="C33" s="2">
        <v>1E-3</v>
      </c>
      <c r="E33" t="s">
        <v>4</v>
      </c>
    </row>
    <row r="34" spans="1:7" x14ac:dyDescent="0.25">
      <c r="A34" t="s">
        <v>38</v>
      </c>
      <c r="C34" s="5">
        <f>(D30/C33)^2*C33*(1-C3/D2)</f>
        <v>1.6260055555555557</v>
      </c>
      <c r="E34" t="s">
        <v>39</v>
      </c>
    </row>
    <row r="36" spans="1:7" x14ac:dyDescent="0.25">
      <c r="A36" t="s">
        <v>40</v>
      </c>
      <c r="C36" s="2">
        <f>C25/C33*50</f>
        <v>0.09</v>
      </c>
    </row>
    <row r="38" spans="1:7" x14ac:dyDescent="0.25">
      <c r="A38" s="7" t="s">
        <v>41</v>
      </c>
    </row>
    <row r="39" spans="1:7" x14ac:dyDescent="0.25">
      <c r="A39" t="s">
        <v>42</v>
      </c>
      <c r="C39" s="2">
        <v>1.2999999999999999E-4</v>
      </c>
      <c r="E39" t="s">
        <v>19</v>
      </c>
      <c r="F39" t="s">
        <v>50</v>
      </c>
      <c r="G39" t="s">
        <v>52</v>
      </c>
    </row>
    <row r="40" spans="1:7" x14ac:dyDescent="0.25">
      <c r="A40" t="s">
        <v>43</v>
      </c>
      <c r="C40">
        <v>2E-3</v>
      </c>
      <c r="E40" t="s">
        <v>44</v>
      </c>
    </row>
    <row r="41" spans="1:7" x14ac:dyDescent="0.25">
      <c r="A41" t="s">
        <v>45</v>
      </c>
      <c r="C41">
        <v>1</v>
      </c>
    </row>
    <row r="42" spans="1:7" x14ac:dyDescent="0.25">
      <c r="A42" t="s">
        <v>46</v>
      </c>
      <c r="B42" s="5">
        <f>C4*(C3/B2-1)^0.5</f>
        <v>10.327955589886445</v>
      </c>
      <c r="C42" s="5"/>
      <c r="D42" s="5"/>
      <c r="E42" t="s">
        <v>24</v>
      </c>
      <c r="F42" t="s">
        <v>49</v>
      </c>
    </row>
    <row r="43" spans="1:7" x14ac:dyDescent="0.25">
      <c r="A43" t="s">
        <v>47</v>
      </c>
      <c r="B43" s="5">
        <f>B42*C3/B2*C40/C41</f>
        <v>5.5082429812727707E-2</v>
      </c>
      <c r="E43" t="s">
        <v>16</v>
      </c>
    </row>
    <row r="44" spans="1:7" x14ac:dyDescent="0.25">
      <c r="A44" t="s">
        <v>53</v>
      </c>
      <c r="B44" s="2">
        <f>C4*(1-B2/C3)/(C39*C41*C22)</f>
        <v>9.5971058644325979E-2</v>
      </c>
    </row>
    <row r="47" spans="1:7" x14ac:dyDescent="0.25">
      <c r="A47" s="7" t="s">
        <v>54</v>
      </c>
    </row>
    <row r="48" spans="1:7" x14ac:dyDescent="0.25">
      <c r="A48" t="s">
        <v>55</v>
      </c>
      <c r="C48">
        <v>0.5</v>
      </c>
      <c r="E48" t="s">
        <v>56</v>
      </c>
    </row>
    <row r="49" spans="1:7" x14ac:dyDescent="0.25">
      <c r="A49" t="s">
        <v>57</v>
      </c>
      <c r="C49">
        <f>C4*(C48*(1-C48))^0.5</f>
        <v>4</v>
      </c>
    </row>
    <row r="50" spans="1:7" x14ac:dyDescent="0.25">
      <c r="A50" t="s">
        <v>42</v>
      </c>
      <c r="C50" s="2">
        <v>1.0000000000000001E-5</v>
      </c>
      <c r="E50" t="s">
        <v>19</v>
      </c>
      <c r="F50" t="s">
        <v>50</v>
      </c>
      <c r="G50" t="s">
        <v>52</v>
      </c>
    </row>
    <row r="51" spans="1:7" x14ac:dyDescent="0.25">
      <c r="A51" t="s">
        <v>43</v>
      </c>
      <c r="C51">
        <v>2.4E-2</v>
      </c>
      <c r="E51" t="s">
        <v>44</v>
      </c>
    </row>
    <row r="52" spans="1:7" x14ac:dyDescent="0.25">
      <c r="A52" t="s">
        <v>45</v>
      </c>
      <c r="C52">
        <v>3</v>
      </c>
    </row>
    <row r="53" spans="1:7" x14ac:dyDescent="0.25">
      <c r="A53" s="7" t="s">
        <v>58</v>
      </c>
    </row>
    <row r="54" spans="1:7" x14ac:dyDescent="0.25">
      <c r="A54" t="s">
        <v>63</v>
      </c>
      <c r="C54">
        <v>1.8E-3</v>
      </c>
      <c r="E54" t="s">
        <v>60</v>
      </c>
    </row>
    <row r="55" spans="1:7" x14ac:dyDescent="0.25">
      <c r="A55" t="s">
        <v>59</v>
      </c>
      <c r="B55" s="2">
        <v>8.8999999999999995E-6</v>
      </c>
      <c r="C55" s="2">
        <v>1.0000000000000001E-5</v>
      </c>
      <c r="D55" s="2">
        <v>1.1E-5</v>
      </c>
      <c r="E55" t="s">
        <v>24</v>
      </c>
    </row>
    <row r="56" spans="1:7" x14ac:dyDescent="0.25">
      <c r="A56" t="s">
        <v>62</v>
      </c>
      <c r="B56">
        <v>3</v>
      </c>
      <c r="C56">
        <v>5</v>
      </c>
      <c r="D56">
        <v>5.25</v>
      </c>
    </row>
    <row r="57" spans="1:7" x14ac:dyDescent="0.25">
      <c r="A57" t="s">
        <v>61</v>
      </c>
      <c r="B57" s="2">
        <f>C57*(1-F$57)</f>
        <v>3.2400000000000004E-9</v>
      </c>
      <c r="C57" s="2">
        <f>C55*C54/C56</f>
        <v>3.6000000000000004E-9</v>
      </c>
      <c r="D57" s="2">
        <f>C57*(1+F$57)</f>
        <v>3.9600000000000004E-9</v>
      </c>
      <c r="E57" t="s">
        <v>4</v>
      </c>
      <c r="F57" s="4">
        <v>0.1</v>
      </c>
    </row>
    <row r="58" spans="1:7" x14ac:dyDescent="0.25">
      <c r="A58" t="s">
        <v>64</v>
      </c>
      <c r="B58" s="2">
        <f>B57*B56/D55</f>
        <v>8.8363636363636368E-4</v>
      </c>
      <c r="C58" s="3">
        <f>C57*C56/C55</f>
        <v>1.8000000000000002E-3</v>
      </c>
      <c r="D58" s="2">
        <f>D57*D56/B55</f>
        <v>2.3359550561797759E-3</v>
      </c>
      <c r="E58" t="s">
        <v>60</v>
      </c>
    </row>
    <row r="60" spans="1:7" x14ac:dyDescent="0.25">
      <c r="A60" s="7" t="s">
        <v>65</v>
      </c>
    </row>
    <row r="61" spans="1:7" x14ac:dyDescent="0.25">
      <c r="A61" t="s">
        <v>67</v>
      </c>
      <c r="C61">
        <v>3.5999999999999999E-3</v>
      </c>
      <c r="D61">
        <v>4.4000000000000003E-3</v>
      </c>
      <c r="E61" t="s">
        <v>44</v>
      </c>
    </row>
    <row r="62" spans="1:7" x14ac:dyDescent="0.25">
      <c r="A62" t="s">
        <v>68</v>
      </c>
      <c r="C62" s="1">
        <v>1.0000000000000001E-9</v>
      </c>
      <c r="E62" t="s">
        <v>60</v>
      </c>
    </row>
    <row r="63" spans="1:7" x14ac:dyDescent="0.25">
      <c r="A63" t="s">
        <v>69</v>
      </c>
      <c r="C63" s="1">
        <v>8.0000000000000005E-9</v>
      </c>
      <c r="E63" t="s">
        <v>60</v>
      </c>
    </row>
    <row r="64" spans="1:7" x14ac:dyDescent="0.25">
      <c r="A64" t="s">
        <v>66</v>
      </c>
      <c r="C64" s="5">
        <f>(C4*C3/C2)^2*C61</f>
        <v>0.32363456790123452</v>
      </c>
      <c r="D64" s="5">
        <f>(C4*C3/C2)^2*D61</f>
        <v>0.3955533607681756</v>
      </c>
      <c r="E64" t="s">
        <v>39</v>
      </c>
    </row>
    <row r="65" spans="1:6" x14ac:dyDescent="0.25">
      <c r="A65" t="s">
        <v>70</v>
      </c>
      <c r="C65" s="5">
        <f>C2*C4*(C62+C63)*C22/2</f>
        <v>0.19477025632886283</v>
      </c>
      <c r="D65" s="5">
        <f>D2*C4*(C62+C63)*D22/2</f>
        <v>0.52459121513305551</v>
      </c>
      <c r="E65" t="s">
        <v>39</v>
      </c>
    </row>
    <row r="66" spans="1:6" x14ac:dyDescent="0.25">
      <c r="A66" t="s">
        <v>71</v>
      </c>
      <c r="C66" s="5">
        <f>C65+C64</f>
        <v>0.51840482423009737</v>
      </c>
      <c r="D66" s="5">
        <f>D65+D64</f>
        <v>0.92014457590123111</v>
      </c>
      <c r="E66" t="s">
        <v>39</v>
      </c>
    </row>
    <row r="67" spans="1:6" x14ac:dyDescent="0.25">
      <c r="A67" t="s">
        <v>72</v>
      </c>
      <c r="C67" s="5">
        <f>(1-C3/C2)*C4^2*C61</f>
        <v>-4.2666666666666651E-2</v>
      </c>
      <c r="D67" s="5">
        <f>(1-C3/D2)*C4^2*D61</f>
        <v>0.15644444444444447</v>
      </c>
      <c r="E67" t="s">
        <v>39</v>
      </c>
    </row>
    <row r="68" spans="1:6" x14ac:dyDescent="0.25">
      <c r="A68" t="s">
        <v>73</v>
      </c>
      <c r="C68" s="5">
        <f>C4^2*C61</f>
        <v>0.23039999999999999</v>
      </c>
      <c r="D68" s="5">
        <f>C4^2*D61</f>
        <v>0.28160000000000002</v>
      </c>
      <c r="E68" t="s">
        <v>39</v>
      </c>
      <c r="F68" t="s">
        <v>74</v>
      </c>
    </row>
    <row r="69" spans="1:6" x14ac:dyDescent="0.25">
      <c r="A69" t="s">
        <v>73</v>
      </c>
      <c r="C69">
        <f>B2/C3*(C4*C3/B2)^2*C61</f>
        <v>0.61439999999999995</v>
      </c>
      <c r="D69" s="5">
        <f>B2/C3*(C4*C3/B2)^2*D61</f>
        <v>0.75093333333333334</v>
      </c>
      <c r="E69" t="s">
        <v>39</v>
      </c>
      <c r="F69" t="s">
        <v>75</v>
      </c>
    </row>
    <row r="70" spans="1:6" x14ac:dyDescent="0.25">
      <c r="A70" t="s">
        <v>76</v>
      </c>
      <c r="C70" s="5">
        <f>(1-B2/C3)*(C4*C3/B2)^2*C61</f>
        <v>1.024</v>
      </c>
      <c r="D70" s="5">
        <f>(1-B2/C3)*(C4*C3/B2)^2*D61</f>
        <v>1.2515555555555558</v>
      </c>
      <c r="E70" t="s">
        <v>39</v>
      </c>
    </row>
    <row r="71" spans="1:6" x14ac:dyDescent="0.25">
      <c r="A71" t="s">
        <v>77</v>
      </c>
      <c r="C71" s="5">
        <f>C3*(C4*C3/B2)*(C62+C63)*C22/2</f>
        <v>0.615570192841838</v>
      </c>
      <c r="E71" t="s">
        <v>39</v>
      </c>
    </row>
    <row r="72" spans="1:6" x14ac:dyDescent="0.25">
      <c r="A72" t="s">
        <v>78</v>
      </c>
      <c r="C72" s="5">
        <f>C70+C71</f>
        <v>1.639570192841838</v>
      </c>
      <c r="D72" s="5">
        <f>C71+D70</f>
        <v>1.8671257483973938</v>
      </c>
      <c r="E72" t="s">
        <v>39</v>
      </c>
    </row>
    <row r="73" spans="1:6" x14ac:dyDescent="0.25">
      <c r="A73" t="s">
        <v>79</v>
      </c>
      <c r="D73">
        <v>70</v>
      </c>
      <c r="E73" t="s">
        <v>80</v>
      </c>
    </row>
    <row r="74" spans="1:6" x14ac:dyDescent="0.25">
      <c r="A74" t="s">
        <v>71</v>
      </c>
      <c r="D74" s="5">
        <f>D66</f>
        <v>0.92014457590123111</v>
      </c>
      <c r="E74" t="s">
        <v>39</v>
      </c>
    </row>
    <row r="75" spans="1:6" x14ac:dyDescent="0.25">
      <c r="A75" t="s">
        <v>81</v>
      </c>
      <c r="C75">
        <v>24.2</v>
      </c>
      <c r="E75" t="s">
        <v>82</v>
      </c>
    </row>
    <row r="76" spans="1:6" x14ac:dyDescent="0.25">
      <c r="A76" t="s">
        <v>83</v>
      </c>
      <c r="D76" s="8">
        <f>D73+D74*C75</f>
        <v>92.267498736809785</v>
      </c>
      <c r="E76" t="s">
        <v>80</v>
      </c>
    </row>
    <row r="78" spans="1:6" x14ac:dyDescent="0.25">
      <c r="A78" s="7" t="s">
        <v>84</v>
      </c>
    </row>
    <row r="79" spans="1:6" x14ac:dyDescent="0.25">
      <c r="A79" s="9" t="s">
        <v>85</v>
      </c>
      <c r="C79">
        <f>1/(2*PI())</f>
        <v>0.15915494309189535</v>
      </c>
    </row>
    <row r="80" spans="1:6" x14ac:dyDescent="0.25">
      <c r="A80" s="9" t="s">
        <v>86</v>
      </c>
      <c r="C80">
        <f>C3/C4</f>
        <v>2</v>
      </c>
      <c r="E80" t="s">
        <v>4</v>
      </c>
    </row>
    <row r="81" spans="1:6" x14ac:dyDescent="0.25">
      <c r="A81" s="9" t="s">
        <v>87</v>
      </c>
      <c r="C81">
        <f>1-(B2*0.95/C3)</f>
        <v>0.64375000000000004</v>
      </c>
    </row>
    <row r="82" spans="1:6" x14ac:dyDescent="0.25">
      <c r="A82" s="9" t="s">
        <v>91</v>
      </c>
      <c r="C82" s="2">
        <f>C39*C41</f>
        <v>1.2999999999999999E-4</v>
      </c>
    </row>
    <row r="83" spans="1:6" x14ac:dyDescent="0.25">
      <c r="A83" s="9" t="s">
        <v>43</v>
      </c>
      <c r="C83" s="2">
        <f>C40/C41</f>
        <v>2E-3</v>
      </c>
    </row>
    <row r="84" spans="1:6" x14ac:dyDescent="0.25">
      <c r="A84" t="s">
        <v>88</v>
      </c>
      <c r="C84" s="3">
        <f>C79*(2/(C80*C82))</f>
        <v>1224.2687930145798</v>
      </c>
      <c r="E84" t="s">
        <v>21</v>
      </c>
    </row>
    <row r="85" spans="1:6" x14ac:dyDescent="0.25">
      <c r="A85" t="s">
        <v>89</v>
      </c>
      <c r="C85" s="2">
        <f>C79*(1/(C83*C82))</f>
        <v>612134.39650728973</v>
      </c>
      <c r="E85" t="s">
        <v>21</v>
      </c>
    </row>
    <row r="86" spans="1:6" x14ac:dyDescent="0.25">
      <c r="A86" t="s">
        <v>90</v>
      </c>
      <c r="C86" s="2">
        <f>C79*(C80*(1-C81)^2)/C25</f>
        <v>22443.333771943053</v>
      </c>
      <c r="E86" t="s">
        <v>21</v>
      </c>
    </row>
    <row r="87" spans="1:6" x14ac:dyDescent="0.25">
      <c r="A87" t="s">
        <v>92</v>
      </c>
      <c r="C87" s="2">
        <f>C79*(1/(C80*C82))</f>
        <v>612.13439650728992</v>
      </c>
    </row>
    <row r="89" spans="1:6" x14ac:dyDescent="0.25">
      <c r="A89" t="s">
        <v>93</v>
      </c>
      <c r="C89" s="2">
        <f>C86/3</f>
        <v>7481.111257314351</v>
      </c>
      <c r="E89" t="s">
        <v>21</v>
      </c>
      <c r="F89" t="s">
        <v>94</v>
      </c>
    </row>
    <row r="90" spans="1:6" x14ac:dyDescent="0.25">
      <c r="A90" t="s">
        <v>93</v>
      </c>
      <c r="C90" s="2">
        <f>C22/20</f>
        <v>20038.09221490358</v>
      </c>
      <c r="E90" t="s">
        <v>21</v>
      </c>
      <c r="F90" t="s">
        <v>95</v>
      </c>
    </row>
    <row r="91" spans="1:6" x14ac:dyDescent="0.25">
      <c r="A91" t="s">
        <v>96</v>
      </c>
      <c r="C91" s="1">
        <v>5000</v>
      </c>
      <c r="E91" t="s">
        <v>21</v>
      </c>
    </row>
    <row r="92" spans="1:6" x14ac:dyDescent="0.25">
      <c r="A92" t="s">
        <v>97</v>
      </c>
      <c r="C92" s="2">
        <f>C84*1.5</f>
        <v>1836.4031895218698</v>
      </c>
      <c r="E92" t="s">
        <v>21</v>
      </c>
    </row>
    <row r="93" spans="1:6" x14ac:dyDescent="0.25">
      <c r="A93" t="s">
        <v>99</v>
      </c>
      <c r="C93" s="2">
        <v>5.9999999999999995E-4</v>
      </c>
      <c r="E93" t="s">
        <v>100</v>
      </c>
    </row>
    <row r="94" spans="1:6" x14ac:dyDescent="0.25">
      <c r="A94" t="s">
        <v>104</v>
      </c>
      <c r="B94" s="2"/>
      <c r="C94" s="6">
        <v>22</v>
      </c>
      <c r="D94" s="2"/>
    </row>
    <row r="95" spans="1:6" x14ac:dyDescent="0.25">
      <c r="A95" t="s">
        <v>98</v>
      </c>
      <c r="B95" s="2"/>
      <c r="C95" s="3">
        <f>(2*PI()*C91/C93)*((C11+C12)/C12)*(C94*C33*C82/(1-C81))*(1/(1+(C91/C86)^2)^0.5)</f>
        <v>1911.3520163456542</v>
      </c>
      <c r="D95" s="2"/>
    </row>
    <row r="96" spans="1:6" x14ac:dyDescent="0.25">
      <c r="C96" s="2">
        <f>(2*PI()*C91/C93)*((C11+C12)/C12)*(10*C33*C82/(1-C81))</f>
        <v>890.09551377703121</v>
      </c>
    </row>
    <row r="98" spans="1:3" x14ac:dyDescent="0.25">
      <c r="A98" t="s">
        <v>101</v>
      </c>
      <c r="C98" s="2">
        <f>1/(2*PI()*C92*C95)</f>
        <v>4.5343121479195701E-8</v>
      </c>
    </row>
    <row r="99" spans="1:3" x14ac:dyDescent="0.25">
      <c r="A99" t="s">
        <v>103</v>
      </c>
      <c r="C99">
        <v>6000</v>
      </c>
    </row>
    <row r="100" spans="1:3" x14ac:dyDescent="0.25">
      <c r="A100" t="s">
        <v>102</v>
      </c>
      <c r="C100" s="3">
        <f>1/(2*PI()*C99*C95)</f>
        <v>1.3878042151212099E-8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</vt:lpstr>
      <vt:lpstr>Reference</vt:lpstr>
    </vt:vector>
  </TitlesOfParts>
  <Company>Extant Aerospace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Clayton Wrobel</dc:creator>
  <cp:lastModifiedBy>Clayton Wrobel</cp:lastModifiedBy>
  <dcterms:created xsi:type="dcterms:W3CDTF">2025-12-11T14:00:52Z</dcterms:created>
  <dcterms:modified xsi:type="dcterms:W3CDTF">2025-12-15T12:40:37Z</dcterms:modified>
</cp:coreProperties>
</file>